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www.facebook.com/rapplerdotcom/photos/a.317154781638645/5596022273751843/" TargetMode="External"/><Relationship Id="rId2181" Type="http://schemas.openxmlformats.org/officeDocument/2006/relationships/hyperlink" Target="https://www.facebook.com/marygracie.tamayo" TargetMode="External"/><Relationship Id="rId2182" Type="http://schemas.openxmlformats.org/officeDocument/2006/relationships/hyperlink" Target="https://www.facebook.com/rapplerdotcom/photos/a.317154781638645/5596022273751843/" TargetMode="External"/><Relationship Id="rId2183" Type="http://schemas.openxmlformats.org/officeDocument/2006/relationships/hyperlink" Target="https://www.facebook.com/arlene.buela.9" TargetMode="External"/><Relationship Id="rId2184" Type="http://schemas.openxmlformats.org/officeDocument/2006/relationships/hyperlink" Target="https://www.facebook.com/rapplerdotcom/photos/a.317154781638645/5596022273751843/" TargetMode="External"/><Relationship Id="rId2185" Type="http://schemas.openxmlformats.org/officeDocument/2006/relationships/hyperlink" Target="https://www.facebook.com/marygracie.tamayo" TargetMode="External"/><Relationship Id="rId2186" Type="http://schemas.openxmlformats.org/officeDocument/2006/relationships/hyperlink" Target="https://www.facebook.com/rapplerdotcom/photos/a.317154781638645/5596022273751843/" TargetMode="External"/><Relationship Id="rId2187" Type="http://schemas.openxmlformats.org/officeDocument/2006/relationships/hyperlink" Target="https://www.facebook.com/arlene.buela.9" TargetMode="External"/><Relationship Id="rId2188" Type="http://schemas.openxmlformats.org/officeDocument/2006/relationships/hyperlink" Target="https://www.facebook.com/rapplerdotcom/photos/a.317154781638645/5596022273751843/" TargetMode="External"/><Relationship Id="rId2189" Type="http://schemas.openxmlformats.org/officeDocument/2006/relationships/hyperlink" Target="https://www.facebook.com/marygracie.tamayo" TargetMode="External"/><Relationship Id="rId2170" Type="http://schemas.openxmlformats.org/officeDocument/2006/relationships/hyperlink" Target="https://www.facebook.com/rapplerdotcom/photos/a.317154781638645/5596022273751843/" TargetMode="External"/><Relationship Id="rId2171" Type="http://schemas.openxmlformats.org/officeDocument/2006/relationships/hyperlink" Target="https://www.facebook.com/annruth.bolisaygochingco" TargetMode="External"/><Relationship Id="rId2172" Type="http://schemas.openxmlformats.org/officeDocument/2006/relationships/hyperlink" Target="https://www.facebook.com/rapplerdotcom/photos/a.317154781638645/5596022273751843/" TargetMode="External"/><Relationship Id="rId2173" Type="http://schemas.openxmlformats.org/officeDocument/2006/relationships/hyperlink" Target="https://www.facebook.com/johnmark.maclang" TargetMode="External"/><Relationship Id="rId2174" Type="http://schemas.openxmlformats.org/officeDocument/2006/relationships/hyperlink" Target="https://www.facebook.com/rapplerdotcom/photos/a.317154781638645/5596022273751843/" TargetMode="External"/><Relationship Id="rId2175" Type="http://schemas.openxmlformats.org/officeDocument/2006/relationships/hyperlink" Target="https://www.facebook.com/dynah.ferrer.1" TargetMode="External"/><Relationship Id="rId2176" Type="http://schemas.openxmlformats.org/officeDocument/2006/relationships/hyperlink" Target="https://www.facebook.com/rapplerdotcom/photos/a.317154781638645/5596022273751843/" TargetMode="External"/><Relationship Id="rId2177" Type="http://schemas.openxmlformats.org/officeDocument/2006/relationships/hyperlink" Target="https://www.facebook.com/ofelia.guimbaolibot" TargetMode="External"/><Relationship Id="rId2178" Type="http://schemas.openxmlformats.org/officeDocument/2006/relationships/hyperlink" Target="https://www.facebook.com/rapplerdotcom/photos/a.317154781638645/5596022273751843/" TargetMode="External"/><Relationship Id="rId2179" Type="http://schemas.openxmlformats.org/officeDocument/2006/relationships/hyperlink" Target="https://www.facebook.com/almher.manalo" TargetMode="External"/><Relationship Id="rId2190" Type="http://schemas.openxmlformats.org/officeDocument/2006/relationships/hyperlink" Target="https://www.facebook.com/rapplerdotcom/photos/a.317154781638645/5596022273751843/" TargetMode="External"/><Relationship Id="rId2191" Type="http://schemas.openxmlformats.org/officeDocument/2006/relationships/hyperlink" Target="https://www.facebook.com/litomn" TargetMode="External"/><Relationship Id="rId2192" Type="http://schemas.openxmlformats.org/officeDocument/2006/relationships/hyperlink" Target="https://www.facebook.com/rapplerdotcom/photos/a.317154781638645/5596022273751843/" TargetMode="External"/><Relationship Id="rId2193" Type="http://schemas.openxmlformats.org/officeDocument/2006/relationships/hyperlink" Target="https://www.facebook.com/faithjoan.gaerlan.5" TargetMode="External"/><Relationship Id="rId2194" Type="http://schemas.openxmlformats.org/officeDocument/2006/relationships/hyperlink" Target="https://www.facebook.com/rapplerdotcom/photos/a.317154781638645/5596022273751843/" TargetMode="External"/><Relationship Id="rId2195" Type="http://schemas.openxmlformats.org/officeDocument/2006/relationships/hyperlink" Target="https://www.facebook.com/helen.pesquisa" TargetMode="External"/><Relationship Id="rId2196" Type="http://schemas.openxmlformats.org/officeDocument/2006/relationships/hyperlink" Target="https://www.facebook.com/rapplerdotcom/photos/a.317154781638645/5596022273751843/" TargetMode="External"/><Relationship Id="rId2197" Type="http://schemas.openxmlformats.org/officeDocument/2006/relationships/hyperlink" Target="https://www.facebook.com/finkvarna" TargetMode="External"/><Relationship Id="rId2198" Type="http://schemas.openxmlformats.org/officeDocument/2006/relationships/hyperlink" Target="https://www.facebook.com/rapplerdotcom/photos/a.317154781638645/5596022273751843/" TargetMode="External"/><Relationship Id="rId2199" Type="http://schemas.openxmlformats.org/officeDocument/2006/relationships/hyperlink" Target="https://www.facebook.com/nhienyanz14" TargetMode="External"/><Relationship Id="rId3513" Type="http://schemas.openxmlformats.org/officeDocument/2006/relationships/hyperlink" Target="https://www.facebook.com/profile.php?id=100067656224446" TargetMode="External"/><Relationship Id="rId4844" Type="http://schemas.openxmlformats.org/officeDocument/2006/relationships/hyperlink" Target="https://www.facebook.com/profile.php?id=100075363020565" TargetMode="External"/><Relationship Id="rId3512" Type="http://schemas.openxmlformats.org/officeDocument/2006/relationships/hyperlink" Target="https://www.facebook.com/rapplerdotcom/photos/a.317154781638645/5595372260483511/" TargetMode="External"/><Relationship Id="rId4843" Type="http://schemas.openxmlformats.org/officeDocument/2006/relationships/hyperlink" Target="https://www.facebook.com/watch/live/?ref=watch_permalink&amp;v=923735834984653" TargetMode="External"/><Relationship Id="rId3515" Type="http://schemas.openxmlformats.org/officeDocument/2006/relationships/hyperlink" Target="https://www.facebook.com/pamilyado" TargetMode="External"/><Relationship Id="rId4846" Type="http://schemas.openxmlformats.org/officeDocument/2006/relationships/hyperlink" Target="https://www.facebook.com/profile.php?id=100078777143189" TargetMode="External"/><Relationship Id="rId3514" Type="http://schemas.openxmlformats.org/officeDocument/2006/relationships/hyperlink" Target="https://www.facebook.com/rapplerdotcom/photos/a.317154781638645/5595372260483511/" TargetMode="External"/><Relationship Id="rId4845" Type="http://schemas.openxmlformats.org/officeDocument/2006/relationships/hyperlink" Target="https://www.facebook.com/watch/live/?ref=watch_permalink&amp;v=923735834984653" TargetMode="External"/><Relationship Id="rId3517" Type="http://schemas.openxmlformats.org/officeDocument/2006/relationships/hyperlink" Target="https://www.facebook.com/profile.php?id=100078937432698" TargetMode="External"/><Relationship Id="rId4848" Type="http://schemas.openxmlformats.org/officeDocument/2006/relationships/hyperlink" Target="https://www.facebook.com/profile.php?id=100078786653080" TargetMode="External"/><Relationship Id="rId3516" Type="http://schemas.openxmlformats.org/officeDocument/2006/relationships/hyperlink" Target="https://www.facebook.com/rapplerdotcom/photos/a.317154781638645/5595372260483511/" TargetMode="External"/><Relationship Id="rId4847" Type="http://schemas.openxmlformats.org/officeDocument/2006/relationships/hyperlink" Target="https://www.facebook.com/watch/live/?ref=watch_permalink&amp;v=923735834984653" TargetMode="External"/><Relationship Id="rId3519" Type="http://schemas.openxmlformats.org/officeDocument/2006/relationships/hyperlink" Target="https://www.facebook.com/michelle.v.gomonit" TargetMode="External"/><Relationship Id="rId3518" Type="http://schemas.openxmlformats.org/officeDocument/2006/relationships/hyperlink" Target="https://www.facebook.com/rapplerdotcom/photos/a.317154781638645/5595372260483511/" TargetMode="External"/><Relationship Id="rId4849" Type="http://schemas.openxmlformats.org/officeDocument/2006/relationships/hyperlink" Target="https://www.facebook.com/watch/live/?ref=watch_permalink&amp;v=923735834984653" TargetMode="External"/><Relationship Id="rId4840" Type="http://schemas.openxmlformats.org/officeDocument/2006/relationships/hyperlink" Target="https://www.facebook.com/danisley.casalme.7" TargetMode="External"/><Relationship Id="rId3511" Type="http://schemas.openxmlformats.org/officeDocument/2006/relationships/hyperlink" Target="https://www.facebook.com/inday.jayme.5" TargetMode="External"/><Relationship Id="rId4842" Type="http://schemas.openxmlformats.org/officeDocument/2006/relationships/hyperlink" Target="https://www.facebook.com/leony.dumantay" TargetMode="External"/><Relationship Id="rId3510" Type="http://schemas.openxmlformats.org/officeDocument/2006/relationships/hyperlink" Target="https://www.facebook.com/rapplerdotcom/photos/a.317154781638645/5595372260483511/" TargetMode="External"/><Relationship Id="rId4841" Type="http://schemas.openxmlformats.org/officeDocument/2006/relationships/hyperlink" Target="https://www.facebook.com/watch/live/?ref=watch_permalink&amp;v=923735834984653" TargetMode="External"/><Relationship Id="rId3502" Type="http://schemas.openxmlformats.org/officeDocument/2006/relationships/hyperlink" Target="https://www.facebook.com/rapplerdotcom/photos/a.317154781638645/5595372260483511/" TargetMode="External"/><Relationship Id="rId4833" Type="http://schemas.openxmlformats.org/officeDocument/2006/relationships/hyperlink" Target="https://www.facebook.com/watch/live/?ref=watch_permalink&amp;v=923735834984653" TargetMode="External"/><Relationship Id="rId3501" Type="http://schemas.openxmlformats.org/officeDocument/2006/relationships/hyperlink" Target="https://www.facebook.com/eva.jimenez.39794895" TargetMode="External"/><Relationship Id="rId4832" Type="http://schemas.openxmlformats.org/officeDocument/2006/relationships/hyperlink" Target="https://www.facebook.com/gilbey.huisken" TargetMode="External"/><Relationship Id="rId3504" Type="http://schemas.openxmlformats.org/officeDocument/2006/relationships/hyperlink" Target="https://www.facebook.com/rapplerdotcom/photos/a.317154781638645/5595372260483511/" TargetMode="External"/><Relationship Id="rId4835" Type="http://schemas.openxmlformats.org/officeDocument/2006/relationships/hyperlink" Target="https://www.facebook.com/watch/live/?ref=watch_permalink&amp;v=923735834984653" TargetMode="External"/><Relationship Id="rId3503" Type="http://schemas.openxmlformats.org/officeDocument/2006/relationships/hyperlink" Target="https://www.facebook.com/profile.php?id=100073772812583" TargetMode="External"/><Relationship Id="rId4834" Type="http://schemas.openxmlformats.org/officeDocument/2006/relationships/hyperlink" Target="https://www.facebook.com/profile.php?id=100074054030710" TargetMode="External"/><Relationship Id="rId3506" Type="http://schemas.openxmlformats.org/officeDocument/2006/relationships/hyperlink" Target="https://www.facebook.com/rapplerdotcom/photos/a.317154781638645/5595372260483511/" TargetMode="External"/><Relationship Id="rId4837" Type="http://schemas.openxmlformats.org/officeDocument/2006/relationships/hyperlink" Target="https://www.facebook.com/watch/live/?ref=watch_permalink&amp;v=923735834984653" TargetMode="External"/><Relationship Id="rId3505" Type="http://schemas.openxmlformats.org/officeDocument/2006/relationships/hyperlink" Target="https://www.facebook.com/manuel.cero.750" TargetMode="External"/><Relationship Id="rId4836" Type="http://schemas.openxmlformats.org/officeDocument/2006/relationships/hyperlink" Target="https://www.facebook.com/ryan.vandolf" TargetMode="External"/><Relationship Id="rId3508" Type="http://schemas.openxmlformats.org/officeDocument/2006/relationships/hyperlink" Target="https://www.facebook.com/rapplerdotcom/photos/a.317154781638645/5595372260483511/" TargetMode="External"/><Relationship Id="rId4839" Type="http://schemas.openxmlformats.org/officeDocument/2006/relationships/hyperlink" Target="https://www.facebook.com/watch/live/?ref=watch_permalink&amp;v=923735834984653" TargetMode="External"/><Relationship Id="rId3507" Type="http://schemas.openxmlformats.org/officeDocument/2006/relationships/hyperlink" Target="https://www.facebook.com/rhey.olan.3" TargetMode="External"/><Relationship Id="rId4838" Type="http://schemas.openxmlformats.org/officeDocument/2006/relationships/hyperlink" Target="https://www.facebook.com/irene.bolano.56" TargetMode="External"/><Relationship Id="rId3509" Type="http://schemas.openxmlformats.org/officeDocument/2006/relationships/hyperlink" Target="https://www.facebook.com/cezar.borja.96" TargetMode="External"/><Relationship Id="rId3500" Type="http://schemas.openxmlformats.org/officeDocument/2006/relationships/hyperlink" Target="https://www.facebook.com/rapplerdotcom/photos/a.317154781638645/5595372260483511/" TargetMode="External"/><Relationship Id="rId4831" Type="http://schemas.openxmlformats.org/officeDocument/2006/relationships/hyperlink" Target="https://www.facebook.com/watch/live/?ref=watch_permalink&amp;v=923735834984653" TargetMode="External"/><Relationship Id="rId4830" Type="http://schemas.openxmlformats.org/officeDocument/2006/relationships/hyperlink" Target="https://www.facebook.com/danica.ucillos.90" TargetMode="External"/><Relationship Id="rId2203" Type="http://schemas.openxmlformats.org/officeDocument/2006/relationships/hyperlink" Target="https://www.facebook.com/raquel.timones" TargetMode="External"/><Relationship Id="rId3535" Type="http://schemas.openxmlformats.org/officeDocument/2006/relationships/hyperlink" Target="https://www.facebook.com/jerome.sebedorio" TargetMode="External"/><Relationship Id="rId4866" Type="http://schemas.openxmlformats.org/officeDocument/2006/relationships/hyperlink" Target="https://www.facebook.com/helen.koike" TargetMode="External"/><Relationship Id="rId2204" Type="http://schemas.openxmlformats.org/officeDocument/2006/relationships/hyperlink" Target="https://www.facebook.com/rapplerdotcom/photos/a.317154781638645/5596022273751843/" TargetMode="External"/><Relationship Id="rId3534" Type="http://schemas.openxmlformats.org/officeDocument/2006/relationships/hyperlink" Target="https://www.facebook.com/rapplerdotcom/photos/a.317154781638645/5595372260483511/" TargetMode="External"/><Relationship Id="rId4865" Type="http://schemas.openxmlformats.org/officeDocument/2006/relationships/hyperlink" Target="https://www.facebook.com/watch/live/?ref=watch_permalink&amp;v=923735834984653" TargetMode="External"/><Relationship Id="rId2205" Type="http://schemas.openxmlformats.org/officeDocument/2006/relationships/hyperlink" Target="https://www.facebook.com/mariatheresa.cabantog" TargetMode="External"/><Relationship Id="rId3537" Type="http://schemas.openxmlformats.org/officeDocument/2006/relationships/hyperlink" Target="https://www.facebook.com/cyrilljoy.baldera.3" TargetMode="External"/><Relationship Id="rId4868" Type="http://schemas.openxmlformats.org/officeDocument/2006/relationships/hyperlink" Target="https://www.facebook.com/nelia.forteza.1" TargetMode="External"/><Relationship Id="rId2206" Type="http://schemas.openxmlformats.org/officeDocument/2006/relationships/hyperlink" Target="https://www.facebook.com/rapplerdotcom/photos/a.317154781638645/5596022273751843/" TargetMode="External"/><Relationship Id="rId3536" Type="http://schemas.openxmlformats.org/officeDocument/2006/relationships/hyperlink" Target="https://www.facebook.com/rapplerdotcom/photos/a.317154781638645/5595372260483511/" TargetMode="External"/><Relationship Id="rId4867" Type="http://schemas.openxmlformats.org/officeDocument/2006/relationships/hyperlink" Target="https://www.facebook.com/watch/live/?ref=watch_permalink&amp;v=923735834984653" TargetMode="External"/><Relationship Id="rId2207" Type="http://schemas.openxmlformats.org/officeDocument/2006/relationships/hyperlink" Target="https://www.facebook.com/arlene.buela.9" TargetMode="External"/><Relationship Id="rId3539" Type="http://schemas.openxmlformats.org/officeDocument/2006/relationships/hyperlink" Target="https://www.facebook.com/emilyanne.viar.50" TargetMode="External"/><Relationship Id="rId2208" Type="http://schemas.openxmlformats.org/officeDocument/2006/relationships/hyperlink" Target="https://www.facebook.com/rapplerdotcom/photos/a.317154781638645/5596022273751843/" TargetMode="External"/><Relationship Id="rId3538" Type="http://schemas.openxmlformats.org/officeDocument/2006/relationships/hyperlink" Target="https://www.facebook.com/rapplerdotcom/photos/a.317154781638645/5595372260483511/" TargetMode="External"/><Relationship Id="rId4869" Type="http://schemas.openxmlformats.org/officeDocument/2006/relationships/hyperlink" Target="https://www.facebook.com/watch/live/?ref=watch_permalink&amp;v=923735834984653" TargetMode="External"/><Relationship Id="rId2209" Type="http://schemas.openxmlformats.org/officeDocument/2006/relationships/hyperlink" Target="https://www.facebook.com/lourdeseleanor.miranda" TargetMode="External"/><Relationship Id="rId4860" Type="http://schemas.openxmlformats.org/officeDocument/2006/relationships/hyperlink" Target="https://www.facebook.com/robert.reforsado.98" TargetMode="External"/><Relationship Id="rId3531" Type="http://schemas.openxmlformats.org/officeDocument/2006/relationships/hyperlink" Target="https://www.facebook.com/edwin.portillo.100" TargetMode="External"/><Relationship Id="rId4862" Type="http://schemas.openxmlformats.org/officeDocument/2006/relationships/hyperlink" Target="https://www.facebook.com/mae.caampued.9" TargetMode="External"/><Relationship Id="rId2200" Type="http://schemas.openxmlformats.org/officeDocument/2006/relationships/hyperlink" Target="https://www.facebook.com/rapplerdotcom/photos/a.317154781638645/5596022273751843/" TargetMode="External"/><Relationship Id="rId3530" Type="http://schemas.openxmlformats.org/officeDocument/2006/relationships/hyperlink" Target="https://www.facebook.com/rapplerdotcom/photos/a.317154781638645/5595372260483511/" TargetMode="External"/><Relationship Id="rId4861" Type="http://schemas.openxmlformats.org/officeDocument/2006/relationships/hyperlink" Target="https://www.facebook.com/watch/live/?ref=watch_permalink&amp;v=923735834984653" TargetMode="External"/><Relationship Id="rId2201" Type="http://schemas.openxmlformats.org/officeDocument/2006/relationships/hyperlink" Target="https://www.facebook.com/dez.delmundosamson" TargetMode="External"/><Relationship Id="rId3533" Type="http://schemas.openxmlformats.org/officeDocument/2006/relationships/hyperlink" Target="https://www.facebook.com/rohan2009" TargetMode="External"/><Relationship Id="rId4864" Type="http://schemas.openxmlformats.org/officeDocument/2006/relationships/hyperlink" Target="https://www.facebook.com/oliverioalicabo.orland.9" TargetMode="External"/><Relationship Id="rId2202" Type="http://schemas.openxmlformats.org/officeDocument/2006/relationships/hyperlink" Target="https://www.facebook.com/rapplerdotcom/photos/a.317154781638645/5596022273751843/" TargetMode="External"/><Relationship Id="rId3532" Type="http://schemas.openxmlformats.org/officeDocument/2006/relationships/hyperlink" Target="https://www.facebook.com/rapplerdotcom/photos/a.317154781638645/5595372260483511/" TargetMode="External"/><Relationship Id="rId4863" Type="http://schemas.openxmlformats.org/officeDocument/2006/relationships/hyperlink" Target="https://www.facebook.com/watch/live/?ref=watch_permalink&amp;v=923735834984653" TargetMode="External"/><Relationship Id="rId3524" Type="http://schemas.openxmlformats.org/officeDocument/2006/relationships/hyperlink" Target="https://www.facebook.com/rapplerdotcom/photos/a.317154781638645/5595372260483511/" TargetMode="External"/><Relationship Id="rId4855" Type="http://schemas.openxmlformats.org/officeDocument/2006/relationships/hyperlink" Target="https://www.facebook.com/watch/live/?ref=watch_permalink&amp;v=923735834984653" TargetMode="External"/><Relationship Id="rId3523" Type="http://schemas.openxmlformats.org/officeDocument/2006/relationships/hyperlink" Target="https://www.facebook.com/eveloren.gulla" TargetMode="External"/><Relationship Id="rId4854" Type="http://schemas.openxmlformats.org/officeDocument/2006/relationships/hyperlink" Target="https://www.facebook.com/canlas.adonis" TargetMode="External"/><Relationship Id="rId3526" Type="http://schemas.openxmlformats.org/officeDocument/2006/relationships/hyperlink" Target="https://www.facebook.com/rapplerdotcom/photos/a.317154781638645/5595372260483511/" TargetMode="External"/><Relationship Id="rId4857" Type="http://schemas.openxmlformats.org/officeDocument/2006/relationships/hyperlink" Target="https://www.facebook.com/watch/live/?ref=watch_permalink&amp;v=923735834984653" TargetMode="External"/><Relationship Id="rId3525" Type="http://schemas.openxmlformats.org/officeDocument/2006/relationships/hyperlink" Target="https://www.facebook.com/schezo12" TargetMode="External"/><Relationship Id="rId4856" Type="http://schemas.openxmlformats.org/officeDocument/2006/relationships/hyperlink" Target="https://www.facebook.com/rick.galang.58" TargetMode="External"/><Relationship Id="rId3528" Type="http://schemas.openxmlformats.org/officeDocument/2006/relationships/hyperlink" Target="https://www.facebook.com/rapplerdotcom/photos/a.317154781638645/5595372260483511/" TargetMode="External"/><Relationship Id="rId4859" Type="http://schemas.openxmlformats.org/officeDocument/2006/relationships/hyperlink" Target="https://www.facebook.com/watch/live/?ref=watch_permalink&amp;v=923735834984653" TargetMode="External"/><Relationship Id="rId3527" Type="http://schemas.openxmlformats.org/officeDocument/2006/relationships/hyperlink" Target="https://www.facebook.com/ferdinandferdinandzein" TargetMode="External"/><Relationship Id="rId4858" Type="http://schemas.openxmlformats.org/officeDocument/2006/relationships/hyperlink" Target="https://www.facebook.com/profile.php?id=100078777143189" TargetMode="External"/><Relationship Id="rId3529" Type="http://schemas.openxmlformats.org/officeDocument/2006/relationships/hyperlink" Target="https://www.facebook.com/ed.saenz" TargetMode="External"/><Relationship Id="rId3520" Type="http://schemas.openxmlformats.org/officeDocument/2006/relationships/hyperlink" Target="https://www.facebook.com/rapplerdotcom/photos/a.317154781638645/5595372260483511/" TargetMode="External"/><Relationship Id="rId4851" Type="http://schemas.openxmlformats.org/officeDocument/2006/relationships/hyperlink" Target="https://www.facebook.com/watch/live/?ref=watch_permalink&amp;v=923735834984653" TargetMode="External"/><Relationship Id="rId4850" Type="http://schemas.openxmlformats.org/officeDocument/2006/relationships/hyperlink" Target="https://www.facebook.com/profile.php?id=100009525769322" TargetMode="External"/><Relationship Id="rId3522" Type="http://schemas.openxmlformats.org/officeDocument/2006/relationships/hyperlink" Target="https://www.facebook.com/rapplerdotcom/photos/a.317154781638645/5595372260483511/" TargetMode="External"/><Relationship Id="rId4853" Type="http://schemas.openxmlformats.org/officeDocument/2006/relationships/hyperlink" Target="https://www.facebook.com/watch/live/?ref=watch_permalink&amp;v=923735834984653" TargetMode="External"/><Relationship Id="rId3521" Type="http://schemas.openxmlformats.org/officeDocument/2006/relationships/hyperlink" Target="https://www.facebook.com/icmayordo" TargetMode="External"/><Relationship Id="rId4852" Type="http://schemas.openxmlformats.org/officeDocument/2006/relationships/hyperlink" Target="https://www.facebook.com/luzviminda.tanedo.3" TargetMode="External"/><Relationship Id="rId4800" Type="http://schemas.openxmlformats.org/officeDocument/2006/relationships/hyperlink" Target="https://www.facebook.com/renzky.zerep" TargetMode="External"/><Relationship Id="rId4802" Type="http://schemas.openxmlformats.org/officeDocument/2006/relationships/hyperlink" Target="https://www.facebook.com/vic.montero.9" TargetMode="External"/><Relationship Id="rId4801" Type="http://schemas.openxmlformats.org/officeDocument/2006/relationships/hyperlink" Target="https://www.facebook.com/watch/live/?ref=watch_permalink&amp;v=923735834984653" TargetMode="External"/><Relationship Id="rId4804" Type="http://schemas.openxmlformats.org/officeDocument/2006/relationships/hyperlink" Target="https://www.facebook.com/cherry.sarte.14" TargetMode="External"/><Relationship Id="rId4803" Type="http://schemas.openxmlformats.org/officeDocument/2006/relationships/hyperlink" Target="https://www.facebook.com/watch/live/?ref=watch_permalink&amp;v=923735834984653" TargetMode="External"/><Relationship Id="rId4806" Type="http://schemas.openxmlformats.org/officeDocument/2006/relationships/hyperlink" Target="https://www.facebook.com/nelia.forteza.1" TargetMode="External"/><Relationship Id="rId4805" Type="http://schemas.openxmlformats.org/officeDocument/2006/relationships/hyperlink" Target="https://www.facebook.com/watch/live/?ref=watch_permalink&amp;v=923735834984653" TargetMode="External"/><Relationship Id="rId4808" Type="http://schemas.openxmlformats.org/officeDocument/2006/relationships/hyperlink" Target="https://www.facebook.com/profile.php?id=100009525769322" TargetMode="External"/><Relationship Id="rId4807" Type="http://schemas.openxmlformats.org/officeDocument/2006/relationships/hyperlink" Target="https://www.facebook.com/watch/live/?ref=watch_permalink&amp;v=923735834984653" TargetMode="External"/><Relationship Id="rId4809" Type="http://schemas.openxmlformats.org/officeDocument/2006/relationships/hyperlink" Target="https://www.facebook.com/watch/live/?ref=watch_permalink&amp;v=923735834984653" TargetMode="External"/><Relationship Id="rId4822" Type="http://schemas.openxmlformats.org/officeDocument/2006/relationships/hyperlink" Target="https://www.facebook.com/emerald.pieris" TargetMode="External"/><Relationship Id="rId4821" Type="http://schemas.openxmlformats.org/officeDocument/2006/relationships/hyperlink" Target="https://www.facebook.com/watch/live/?ref=watch_permalink&amp;v=923735834984653" TargetMode="External"/><Relationship Id="rId4824" Type="http://schemas.openxmlformats.org/officeDocument/2006/relationships/hyperlink" Target="https://www.facebook.com/mayde.torillo" TargetMode="External"/><Relationship Id="rId4823" Type="http://schemas.openxmlformats.org/officeDocument/2006/relationships/hyperlink" Target="https://www.facebook.com/watch/live/?ref=watch_permalink&amp;v=923735834984653" TargetMode="External"/><Relationship Id="rId4826" Type="http://schemas.openxmlformats.org/officeDocument/2006/relationships/hyperlink" Target="https://www.facebook.com/profile.php?id=100011572841614" TargetMode="External"/><Relationship Id="rId4825" Type="http://schemas.openxmlformats.org/officeDocument/2006/relationships/hyperlink" Target="https://www.facebook.com/watch/live/?ref=watch_permalink&amp;v=923735834984653" TargetMode="External"/><Relationship Id="rId4828" Type="http://schemas.openxmlformats.org/officeDocument/2006/relationships/hyperlink" Target="https://www.facebook.com/randy.b.auxtero" TargetMode="External"/><Relationship Id="rId4827" Type="http://schemas.openxmlformats.org/officeDocument/2006/relationships/hyperlink" Target="https://www.facebook.com/watch/live/?ref=watch_permalink&amp;v=923735834984653" TargetMode="External"/><Relationship Id="rId4829" Type="http://schemas.openxmlformats.org/officeDocument/2006/relationships/hyperlink" Target="https://www.facebook.com/watch/live/?ref=watch_permalink&amp;v=923735834984653" TargetMode="External"/><Relationship Id="rId4820" Type="http://schemas.openxmlformats.org/officeDocument/2006/relationships/hyperlink" Target="https://www.facebook.com/MarjunRPh" TargetMode="External"/><Relationship Id="rId4811" Type="http://schemas.openxmlformats.org/officeDocument/2006/relationships/hyperlink" Target="https://www.facebook.com/watch/live/?ref=watch_permalink&amp;v=923735834984653" TargetMode="External"/><Relationship Id="rId4810" Type="http://schemas.openxmlformats.org/officeDocument/2006/relationships/hyperlink" Target="https://www.facebook.com/nelia.forteza.1" TargetMode="External"/><Relationship Id="rId4813" Type="http://schemas.openxmlformats.org/officeDocument/2006/relationships/hyperlink" Target="https://www.facebook.com/watch/live/?ref=watch_permalink&amp;v=923735834984653" TargetMode="External"/><Relationship Id="rId4812" Type="http://schemas.openxmlformats.org/officeDocument/2006/relationships/hyperlink" Target="https://www.facebook.com/profile.php?id=100074054030710" TargetMode="External"/><Relationship Id="rId4815" Type="http://schemas.openxmlformats.org/officeDocument/2006/relationships/hyperlink" Target="https://www.facebook.com/watch/live/?ref=watch_permalink&amp;v=923735834984653" TargetMode="External"/><Relationship Id="rId4814" Type="http://schemas.openxmlformats.org/officeDocument/2006/relationships/hyperlink" Target="https://www.facebook.com/profile.php?id=100078514241454" TargetMode="External"/><Relationship Id="rId4817" Type="http://schemas.openxmlformats.org/officeDocument/2006/relationships/hyperlink" Target="https://www.facebook.com/watch/live/?ref=watch_permalink&amp;v=923735834984653" TargetMode="External"/><Relationship Id="rId4816" Type="http://schemas.openxmlformats.org/officeDocument/2006/relationships/hyperlink" Target="https://www.facebook.com/rhaisa.saban" TargetMode="External"/><Relationship Id="rId4819" Type="http://schemas.openxmlformats.org/officeDocument/2006/relationships/hyperlink" Target="https://www.facebook.com/watch/live/?ref=watch_permalink&amp;v=923735834984653" TargetMode="External"/><Relationship Id="rId4818" Type="http://schemas.openxmlformats.org/officeDocument/2006/relationships/hyperlink" Target="https://www.facebook.com/mayeth.suller" TargetMode="External"/><Relationship Id="rId2269" Type="http://schemas.openxmlformats.org/officeDocument/2006/relationships/hyperlink" Target="https://www.facebook.com/mikhail.maslog" TargetMode="External"/><Relationship Id="rId3591" Type="http://schemas.openxmlformats.org/officeDocument/2006/relationships/hyperlink" Target="https://www.facebook.com/profile.php?id=100078467486543" TargetMode="External"/><Relationship Id="rId2260" Type="http://schemas.openxmlformats.org/officeDocument/2006/relationships/hyperlink" Target="https://www.facebook.com/rapplerdotcom/photos/a.317154781638645/5596022273751843/" TargetMode="External"/><Relationship Id="rId3590" Type="http://schemas.openxmlformats.org/officeDocument/2006/relationships/hyperlink" Target="https://www.facebook.com/rapplerdotcom/photos/a.317154781638645/5595372260483511/" TargetMode="External"/><Relationship Id="rId2261" Type="http://schemas.openxmlformats.org/officeDocument/2006/relationships/hyperlink" Target="https://www.facebook.com/senpaiz09" TargetMode="External"/><Relationship Id="rId3593" Type="http://schemas.openxmlformats.org/officeDocument/2006/relationships/hyperlink" Target="https://www.facebook.com/tony.deguzman.104" TargetMode="External"/><Relationship Id="rId2262" Type="http://schemas.openxmlformats.org/officeDocument/2006/relationships/hyperlink" Target="https://www.facebook.com/rapplerdotcom/photos/a.317154781638645/5596022273751843/" TargetMode="External"/><Relationship Id="rId3592" Type="http://schemas.openxmlformats.org/officeDocument/2006/relationships/hyperlink" Target="https://www.facebook.com/rapplerdotcom/photos/a.317154781638645/5595372260483511/" TargetMode="External"/><Relationship Id="rId2263" Type="http://schemas.openxmlformats.org/officeDocument/2006/relationships/hyperlink" Target="https://www.facebook.com/ronnie.mangaoang.1" TargetMode="External"/><Relationship Id="rId3595" Type="http://schemas.openxmlformats.org/officeDocument/2006/relationships/hyperlink" Target="https://www.facebook.com/elmer.cordero.3" TargetMode="External"/><Relationship Id="rId2264" Type="http://schemas.openxmlformats.org/officeDocument/2006/relationships/hyperlink" Target="https://www.facebook.com/rapplerdotcom/photos/a.317154781638645/5596022273751843/" TargetMode="External"/><Relationship Id="rId3594" Type="http://schemas.openxmlformats.org/officeDocument/2006/relationships/hyperlink" Target="https://www.facebook.com/rapplerdotcom/photos/a.317154781638645/5595372260483511/" TargetMode="External"/><Relationship Id="rId2265" Type="http://schemas.openxmlformats.org/officeDocument/2006/relationships/hyperlink" Target="https://www.facebook.com/jianson" TargetMode="External"/><Relationship Id="rId3597" Type="http://schemas.openxmlformats.org/officeDocument/2006/relationships/hyperlink" Target="https://www.facebook.com/profile.php?id=100077069798588" TargetMode="External"/><Relationship Id="rId2266" Type="http://schemas.openxmlformats.org/officeDocument/2006/relationships/hyperlink" Target="https://www.facebook.com/rapplerdotcom/photos/a.317154781638645/5596022273751843/" TargetMode="External"/><Relationship Id="rId3596" Type="http://schemas.openxmlformats.org/officeDocument/2006/relationships/hyperlink" Target="https://www.facebook.com/rapplerdotcom/photos/a.317154781638645/5595372260483511/" TargetMode="External"/><Relationship Id="rId2267" Type="http://schemas.openxmlformats.org/officeDocument/2006/relationships/hyperlink" Target="https://www.facebook.com/profile.php?id=100009111409816" TargetMode="External"/><Relationship Id="rId3599" Type="http://schemas.openxmlformats.org/officeDocument/2006/relationships/hyperlink" Target="https://www.facebook.com/profile.php?id=100079452280429" TargetMode="External"/><Relationship Id="rId2268" Type="http://schemas.openxmlformats.org/officeDocument/2006/relationships/hyperlink" Target="https://www.facebook.com/rapplerdotcom/photos/a.317154781638645/5596022273751843/" TargetMode="External"/><Relationship Id="rId3598" Type="http://schemas.openxmlformats.org/officeDocument/2006/relationships/hyperlink" Target="https://www.facebook.com/rapplerdotcom/photos/a.317154781638645/5595372260483511/" TargetMode="External"/><Relationship Id="rId2258" Type="http://schemas.openxmlformats.org/officeDocument/2006/relationships/hyperlink" Target="https://www.facebook.com/rapplerdotcom/photos/a.317154781638645/5596022273751843/" TargetMode="External"/><Relationship Id="rId2259" Type="http://schemas.openxmlformats.org/officeDocument/2006/relationships/hyperlink" Target="https://www.facebook.com/yonehl.inasor" TargetMode="External"/><Relationship Id="rId3589" Type="http://schemas.openxmlformats.org/officeDocument/2006/relationships/hyperlink" Target="https://www.facebook.com/rolando.adriano" TargetMode="External"/><Relationship Id="rId3580" Type="http://schemas.openxmlformats.org/officeDocument/2006/relationships/hyperlink" Target="https://www.facebook.com/rapplerdotcom/photos/a.317154781638645/5595372260483511/" TargetMode="External"/><Relationship Id="rId2250" Type="http://schemas.openxmlformats.org/officeDocument/2006/relationships/hyperlink" Target="https://www.facebook.com/rapplerdotcom/photos/a.317154781638645/5596022273751843/" TargetMode="External"/><Relationship Id="rId3582" Type="http://schemas.openxmlformats.org/officeDocument/2006/relationships/hyperlink" Target="https://www.facebook.com/rapplerdotcom/photos/a.317154781638645/5595372260483511/" TargetMode="External"/><Relationship Id="rId2251" Type="http://schemas.openxmlformats.org/officeDocument/2006/relationships/hyperlink" Target="https://www.facebook.com/profile.php?id=100009501826063" TargetMode="External"/><Relationship Id="rId3581" Type="http://schemas.openxmlformats.org/officeDocument/2006/relationships/hyperlink" Target="https://www.facebook.com/sham.cunanan.7" TargetMode="External"/><Relationship Id="rId2252" Type="http://schemas.openxmlformats.org/officeDocument/2006/relationships/hyperlink" Target="https://www.facebook.com/rapplerdotcom/photos/a.317154781638645/5596022273751843/" TargetMode="External"/><Relationship Id="rId3584" Type="http://schemas.openxmlformats.org/officeDocument/2006/relationships/hyperlink" Target="https://www.facebook.com/rapplerdotcom/photos/a.317154781638645/5595372260483511/" TargetMode="External"/><Relationship Id="rId2253" Type="http://schemas.openxmlformats.org/officeDocument/2006/relationships/hyperlink" Target="https://www.facebook.com/kylie.azure" TargetMode="External"/><Relationship Id="rId3583" Type="http://schemas.openxmlformats.org/officeDocument/2006/relationships/hyperlink" Target="https://www.facebook.com/rlduldulao" TargetMode="External"/><Relationship Id="rId2254" Type="http://schemas.openxmlformats.org/officeDocument/2006/relationships/hyperlink" Target="https://www.facebook.com/rapplerdotcom/photos/a.317154781638645/5596022273751843/" TargetMode="External"/><Relationship Id="rId3586" Type="http://schemas.openxmlformats.org/officeDocument/2006/relationships/hyperlink" Target="https://www.facebook.com/rapplerdotcom/photos/a.317154781638645/5595372260483511/" TargetMode="External"/><Relationship Id="rId2255" Type="http://schemas.openxmlformats.org/officeDocument/2006/relationships/hyperlink" Target="https://www.facebook.com/marlene.delacruz.5602" TargetMode="External"/><Relationship Id="rId3585" Type="http://schemas.openxmlformats.org/officeDocument/2006/relationships/hyperlink" Target="https://www.facebook.com/clark.collin.583" TargetMode="External"/><Relationship Id="rId2256" Type="http://schemas.openxmlformats.org/officeDocument/2006/relationships/hyperlink" Target="https://www.facebook.com/rapplerdotcom/photos/a.317154781638645/5596022273751843/" TargetMode="External"/><Relationship Id="rId3588" Type="http://schemas.openxmlformats.org/officeDocument/2006/relationships/hyperlink" Target="https://www.facebook.com/rapplerdotcom/photos/a.317154781638645/5595372260483511/" TargetMode="External"/><Relationship Id="rId2257" Type="http://schemas.openxmlformats.org/officeDocument/2006/relationships/hyperlink" Target="https://www.facebook.com/NelvieParilla" TargetMode="External"/><Relationship Id="rId3587" Type="http://schemas.openxmlformats.org/officeDocument/2006/relationships/hyperlink" Target="https://www.facebook.com/profile.php?id=100074949353472" TargetMode="External"/><Relationship Id="rId2280" Type="http://schemas.openxmlformats.org/officeDocument/2006/relationships/hyperlink" Target="https://www.facebook.com/rapplerdotcom/photos/a.317154781638645/5596022273751843/" TargetMode="External"/><Relationship Id="rId2281" Type="http://schemas.openxmlformats.org/officeDocument/2006/relationships/hyperlink" Target="https://www.facebook.com/lmfloralde" TargetMode="External"/><Relationship Id="rId2282" Type="http://schemas.openxmlformats.org/officeDocument/2006/relationships/hyperlink" Target="https://www.facebook.com/rapplerdotcom/photos/a.317154781638645/5596022273751843/" TargetMode="External"/><Relationship Id="rId2283" Type="http://schemas.openxmlformats.org/officeDocument/2006/relationships/hyperlink" Target="https://www.facebook.com/nigeltan.ph" TargetMode="External"/><Relationship Id="rId2284" Type="http://schemas.openxmlformats.org/officeDocument/2006/relationships/hyperlink" Target="https://www.facebook.com/rapplerdotcom/photos/a.317154781638645/5596022273751843/" TargetMode="External"/><Relationship Id="rId2285" Type="http://schemas.openxmlformats.org/officeDocument/2006/relationships/hyperlink" Target="https://www.facebook.com/profile.php?id=100005732081750" TargetMode="External"/><Relationship Id="rId2286" Type="http://schemas.openxmlformats.org/officeDocument/2006/relationships/hyperlink" Target="https://www.facebook.com/rapplerdotcom/photos/a.317154781638645/5596022273751843/" TargetMode="External"/><Relationship Id="rId2287" Type="http://schemas.openxmlformats.org/officeDocument/2006/relationships/hyperlink" Target="https://www.facebook.com/lmfloralde" TargetMode="External"/><Relationship Id="rId2288" Type="http://schemas.openxmlformats.org/officeDocument/2006/relationships/hyperlink" Target="https://www.facebook.com/rapplerdotcom/photos/a.317154781638645/5596022273751843/" TargetMode="External"/><Relationship Id="rId2289" Type="http://schemas.openxmlformats.org/officeDocument/2006/relationships/hyperlink" Target="https://www.facebook.com/lmfloralde" TargetMode="External"/><Relationship Id="rId2270" Type="http://schemas.openxmlformats.org/officeDocument/2006/relationships/hyperlink" Target="https://www.facebook.com/rapplerdotcom/photos/a.317154781638645/5596022273751843/" TargetMode="External"/><Relationship Id="rId2271" Type="http://schemas.openxmlformats.org/officeDocument/2006/relationships/hyperlink" Target="https://www.facebook.com/nissan.urvan.779" TargetMode="External"/><Relationship Id="rId2272" Type="http://schemas.openxmlformats.org/officeDocument/2006/relationships/hyperlink" Target="https://www.facebook.com/rapplerdotcom/photos/a.317154781638645/5596022273751843/" TargetMode="External"/><Relationship Id="rId2273" Type="http://schemas.openxmlformats.org/officeDocument/2006/relationships/hyperlink" Target="https://www.facebook.com/carie.tablismaaguila" TargetMode="External"/><Relationship Id="rId2274" Type="http://schemas.openxmlformats.org/officeDocument/2006/relationships/hyperlink" Target="https://www.facebook.com/rapplerdotcom/photos/a.317154781638645/5596022273751843/" TargetMode="External"/><Relationship Id="rId2275" Type="http://schemas.openxmlformats.org/officeDocument/2006/relationships/hyperlink" Target="https://www.facebook.com/josh.riguer" TargetMode="External"/><Relationship Id="rId2276" Type="http://schemas.openxmlformats.org/officeDocument/2006/relationships/hyperlink" Target="https://www.facebook.com/rapplerdotcom/photos/a.317154781638645/5596022273751843/" TargetMode="External"/><Relationship Id="rId2277" Type="http://schemas.openxmlformats.org/officeDocument/2006/relationships/hyperlink" Target="https://www.facebook.com/Agtakhanisla14" TargetMode="External"/><Relationship Id="rId2278" Type="http://schemas.openxmlformats.org/officeDocument/2006/relationships/hyperlink" Target="https://www.facebook.com/rapplerdotcom/photos/a.317154781638645/5596022273751843/" TargetMode="External"/><Relationship Id="rId2279" Type="http://schemas.openxmlformats.org/officeDocument/2006/relationships/hyperlink" Target="https://www.facebook.com/ferrerantonia" TargetMode="External"/><Relationship Id="rId2225" Type="http://schemas.openxmlformats.org/officeDocument/2006/relationships/hyperlink" Target="https://www.facebook.com/jening.martinez" TargetMode="External"/><Relationship Id="rId3557" Type="http://schemas.openxmlformats.org/officeDocument/2006/relationships/hyperlink" Target="https://www.facebook.com/cyrilljoy.baldera.3" TargetMode="External"/><Relationship Id="rId4888" Type="http://schemas.openxmlformats.org/officeDocument/2006/relationships/hyperlink" Target="https://www.facebook.com/dionisiapiano.rebese" TargetMode="External"/><Relationship Id="rId2226" Type="http://schemas.openxmlformats.org/officeDocument/2006/relationships/hyperlink" Target="https://www.facebook.com/rapplerdotcom/photos/a.317154781638645/5596022273751843/" TargetMode="External"/><Relationship Id="rId3556" Type="http://schemas.openxmlformats.org/officeDocument/2006/relationships/hyperlink" Target="https://www.facebook.com/rapplerdotcom/photos/a.317154781638645/5595372260483511/" TargetMode="External"/><Relationship Id="rId4887" Type="http://schemas.openxmlformats.org/officeDocument/2006/relationships/hyperlink" Target="https://www.facebook.com/watch/live/?ref=watch_permalink&amp;v=923735834984653" TargetMode="External"/><Relationship Id="rId2227" Type="http://schemas.openxmlformats.org/officeDocument/2006/relationships/hyperlink" Target="https://www.facebook.com/joelcueno30" TargetMode="External"/><Relationship Id="rId3559" Type="http://schemas.openxmlformats.org/officeDocument/2006/relationships/hyperlink" Target="https://www.facebook.com/bautista.jimmy.98" TargetMode="External"/><Relationship Id="rId2228" Type="http://schemas.openxmlformats.org/officeDocument/2006/relationships/hyperlink" Target="https://www.facebook.com/rapplerdotcom/photos/a.317154781638645/5596022273751843/" TargetMode="External"/><Relationship Id="rId3558" Type="http://schemas.openxmlformats.org/officeDocument/2006/relationships/hyperlink" Target="https://www.facebook.com/rapplerdotcom/photos/a.317154781638645/5595372260483511/" TargetMode="External"/><Relationship Id="rId4889" Type="http://schemas.openxmlformats.org/officeDocument/2006/relationships/hyperlink" Target="https://www.facebook.com/watch/live/?ref=watch_permalink&amp;v=923735834984653" TargetMode="External"/><Relationship Id="rId2229" Type="http://schemas.openxmlformats.org/officeDocument/2006/relationships/hyperlink" Target="https://www.facebook.com/remzi.onal.9" TargetMode="External"/><Relationship Id="rId4880" Type="http://schemas.openxmlformats.org/officeDocument/2006/relationships/hyperlink" Target="https://www.facebook.com/ricardo.malonzo" TargetMode="External"/><Relationship Id="rId3551" Type="http://schemas.openxmlformats.org/officeDocument/2006/relationships/hyperlink" Target="https://www.facebook.com/bautista.jimmy.98" TargetMode="External"/><Relationship Id="rId4882" Type="http://schemas.openxmlformats.org/officeDocument/2006/relationships/hyperlink" Target="https://www.facebook.com/belen.simbul.58" TargetMode="External"/><Relationship Id="rId2220" Type="http://schemas.openxmlformats.org/officeDocument/2006/relationships/hyperlink" Target="https://www.facebook.com/rapplerdotcom/photos/a.317154781638645/5596022273751843/" TargetMode="External"/><Relationship Id="rId3550" Type="http://schemas.openxmlformats.org/officeDocument/2006/relationships/hyperlink" Target="https://www.facebook.com/rapplerdotcom/photos/a.317154781638645/5595372260483511/" TargetMode="External"/><Relationship Id="rId4881" Type="http://schemas.openxmlformats.org/officeDocument/2006/relationships/hyperlink" Target="https://www.facebook.com/watch/live/?ref=watch_permalink&amp;v=923735834984653" TargetMode="External"/><Relationship Id="rId2221" Type="http://schemas.openxmlformats.org/officeDocument/2006/relationships/hyperlink" Target="https://www.facebook.com/rmdsierra" TargetMode="External"/><Relationship Id="rId3553" Type="http://schemas.openxmlformats.org/officeDocument/2006/relationships/hyperlink" Target="https://www.facebook.com/ann070694" TargetMode="External"/><Relationship Id="rId4884" Type="http://schemas.openxmlformats.org/officeDocument/2006/relationships/hyperlink" Target="https://www.facebook.com/profile.php?id=100069812281148" TargetMode="External"/><Relationship Id="rId2222" Type="http://schemas.openxmlformats.org/officeDocument/2006/relationships/hyperlink" Target="https://www.facebook.com/rapplerdotcom/photos/a.317154781638645/5596022273751843/" TargetMode="External"/><Relationship Id="rId3552" Type="http://schemas.openxmlformats.org/officeDocument/2006/relationships/hyperlink" Target="https://www.facebook.com/rapplerdotcom/photos/a.317154781638645/5595372260483511/" TargetMode="External"/><Relationship Id="rId4883" Type="http://schemas.openxmlformats.org/officeDocument/2006/relationships/hyperlink" Target="https://www.facebook.com/watch/live/?ref=watch_permalink&amp;v=923735834984653" TargetMode="External"/><Relationship Id="rId2223" Type="http://schemas.openxmlformats.org/officeDocument/2006/relationships/hyperlink" Target="https://www.facebook.com/jbmcaballero" TargetMode="External"/><Relationship Id="rId3555" Type="http://schemas.openxmlformats.org/officeDocument/2006/relationships/hyperlink" Target="https://www.facebook.com/bautista.jimmy.98" TargetMode="External"/><Relationship Id="rId4886" Type="http://schemas.openxmlformats.org/officeDocument/2006/relationships/hyperlink" Target="https://www.facebook.com/neilson.beltran.75" TargetMode="External"/><Relationship Id="rId2224" Type="http://schemas.openxmlformats.org/officeDocument/2006/relationships/hyperlink" Target="https://www.facebook.com/rapplerdotcom/photos/a.317154781638645/5596022273751843/" TargetMode="External"/><Relationship Id="rId3554" Type="http://schemas.openxmlformats.org/officeDocument/2006/relationships/hyperlink" Target="https://www.facebook.com/rapplerdotcom/photos/a.317154781638645/5595372260483511/" TargetMode="External"/><Relationship Id="rId4885" Type="http://schemas.openxmlformats.org/officeDocument/2006/relationships/hyperlink" Target="https://www.facebook.com/watch/live/?ref=watch_permalink&amp;v=923735834984653" TargetMode="External"/><Relationship Id="rId2214" Type="http://schemas.openxmlformats.org/officeDocument/2006/relationships/hyperlink" Target="https://www.facebook.com/rapplerdotcom/photos/a.317154781638645/5596022273751843/" TargetMode="External"/><Relationship Id="rId3546" Type="http://schemas.openxmlformats.org/officeDocument/2006/relationships/hyperlink" Target="https://www.facebook.com/rapplerdotcom/photos/a.317154781638645/5595372260483511/" TargetMode="External"/><Relationship Id="rId4877" Type="http://schemas.openxmlformats.org/officeDocument/2006/relationships/hyperlink" Target="https://www.facebook.com/watch/live/?ref=watch_permalink&amp;v=923735834984653" TargetMode="External"/><Relationship Id="rId2215" Type="http://schemas.openxmlformats.org/officeDocument/2006/relationships/hyperlink" Target="https://www.facebook.com/johnraffy.patrocinio" TargetMode="External"/><Relationship Id="rId3545" Type="http://schemas.openxmlformats.org/officeDocument/2006/relationships/hyperlink" Target="https://www.facebook.com/jasperg5" TargetMode="External"/><Relationship Id="rId4876" Type="http://schemas.openxmlformats.org/officeDocument/2006/relationships/hyperlink" Target="https://www.facebook.com/randy.aniano" TargetMode="External"/><Relationship Id="rId2216" Type="http://schemas.openxmlformats.org/officeDocument/2006/relationships/hyperlink" Target="https://www.facebook.com/rapplerdotcom/photos/a.317154781638645/5596022273751843/" TargetMode="External"/><Relationship Id="rId3548" Type="http://schemas.openxmlformats.org/officeDocument/2006/relationships/hyperlink" Target="https://www.facebook.com/rapplerdotcom/photos/a.317154781638645/5595372260483511/" TargetMode="External"/><Relationship Id="rId4879" Type="http://schemas.openxmlformats.org/officeDocument/2006/relationships/hyperlink" Target="https://www.facebook.com/watch/live/?ref=watch_permalink&amp;v=923735834984653" TargetMode="External"/><Relationship Id="rId2217" Type="http://schemas.openxmlformats.org/officeDocument/2006/relationships/hyperlink" Target="https://www.facebook.com/rmdsierra" TargetMode="External"/><Relationship Id="rId3547" Type="http://schemas.openxmlformats.org/officeDocument/2006/relationships/hyperlink" Target="https://www.facebook.com/bautista.jimmy.98" TargetMode="External"/><Relationship Id="rId4878" Type="http://schemas.openxmlformats.org/officeDocument/2006/relationships/hyperlink" Target="https://www.facebook.com/vhengvheng.manlapaz" TargetMode="External"/><Relationship Id="rId2218" Type="http://schemas.openxmlformats.org/officeDocument/2006/relationships/hyperlink" Target="https://www.facebook.com/rapplerdotcom/photos/a.317154781638645/5596022273751843/" TargetMode="External"/><Relationship Id="rId2219" Type="http://schemas.openxmlformats.org/officeDocument/2006/relationships/hyperlink" Target="https://www.facebook.com/johnraffy.patrocinio" TargetMode="External"/><Relationship Id="rId3549" Type="http://schemas.openxmlformats.org/officeDocument/2006/relationships/hyperlink" Target="https://www.facebook.com/bautista.jimmy.98" TargetMode="External"/><Relationship Id="rId3540" Type="http://schemas.openxmlformats.org/officeDocument/2006/relationships/hyperlink" Target="https://www.facebook.com/rapplerdotcom/photos/a.317154781638645/5595372260483511/" TargetMode="External"/><Relationship Id="rId4871" Type="http://schemas.openxmlformats.org/officeDocument/2006/relationships/hyperlink" Target="https://www.facebook.com/watch/live/?ref=watch_permalink&amp;v=923735834984653" TargetMode="External"/><Relationship Id="rId4870" Type="http://schemas.openxmlformats.org/officeDocument/2006/relationships/hyperlink" Target="https://www.facebook.com/nelia.forteza.1" TargetMode="External"/><Relationship Id="rId2210" Type="http://schemas.openxmlformats.org/officeDocument/2006/relationships/hyperlink" Target="https://www.facebook.com/rapplerdotcom/photos/a.317154781638645/5596022273751843/" TargetMode="External"/><Relationship Id="rId3542" Type="http://schemas.openxmlformats.org/officeDocument/2006/relationships/hyperlink" Target="https://www.facebook.com/rapplerdotcom/photos/a.317154781638645/5595372260483511/" TargetMode="External"/><Relationship Id="rId4873" Type="http://schemas.openxmlformats.org/officeDocument/2006/relationships/hyperlink" Target="https://www.facebook.com/watch/live/?ref=watch_permalink&amp;v=923735834984653" TargetMode="External"/><Relationship Id="rId2211" Type="http://schemas.openxmlformats.org/officeDocument/2006/relationships/hyperlink" Target="https://www.facebook.com/roberto.sembrano" TargetMode="External"/><Relationship Id="rId3541" Type="http://schemas.openxmlformats.org/officeDocument/2006/relationships/hyperlink" Target="https://www.facebook.com/wagakopre123" TargetMode="External"/><Relationship Id="rId4872" Type="http://schemas.openxmlformats.org/officeDocument/2006/relationships/hyperlink" Target="https://www.facebook.com/nelia.forteza.1" TargetMode="External"/><Relationship Id="rId2212" Type="http://schemas.openxmlformats.org/officeDocument/2006/relationships/hyperlink" Target="https://www.facebook.com/rapplerdotcom/photos/a.317154781638645/5596022273751843/" TargetMode="External"/><Relationship Id="rId3544" Type="http://schemas.openxmlformats.org/officeDocument/2006/relationships/hyperlink" Target="https://www.facebook.com/rapplerdotcom/photos/a.317154781638645/5595372260483511/" TargetMode="External"/><Relationship Id="rId4875" Type="http://schemas.openxmlformats.org/officeDocument/2006/relationships/hyperlink" Target="https://www.facebook.com/watch/live/?ref=watch_permalink&amp;v=923735834984653" TargetMode="External"/><Relationship Id="rId2213" Type="http://schemas.openxmlformats.org/officeDocument/2006/relationships/hyperlink" Target="https://www.facebook.com/noel.ahadan" TargetMode="External"/><Relationship Id="rId3543" Type="http://schemas.openxmlformats.org/officeDocument/2006/relationships/hyperlink" Target="https://www.facebook.com/mussulleni.vega" TargetMode="External"/><Relationship Id="rId4874" Type="http://schemas.openxmlformats.org/officeDocument/2006/relationships/hyperlink" Target="https://www.facebook.com/aida.tytco" TargetMode="External"/><Relationship Id="rId2247" Type="http://schemas.openxmlformats.org/officeDocument/2006/relationships/hyperlink" Target="https://www.facebook.com/totskie.alkhan" TargetMode="External"/><Relationship Id="rId3579" Type="http://schemas.openxmlformats.org/officeDocument/2006/relationships/hyperlink" Target="https://www.facebook.com/pol.lareza.9" TargetMode="External"/><Relationship Id="rId2248" Type="http://schemas.openxmlformats.org/officeDocument/2006/relationships/hyperlink" Target="https://www.facebook.com/rapplerdotcom/photos/a.317154781638645/5596022273751843/" TargetMode="External"/><Relationship Id="rId3578" Type="http://schemas.openxmlformats.org/officeDocument/2006/relationships/hyperlink" Target="https://www.facebook.com/rapplerdotcom/photos/a.317154781638645/5595372260483511/" TargetMode="External"/><Relationship Id="rId2249" Type="http://schemas.openxmlformats.org/officeDocument/2006/relationships/hyperlink" Target="https://www.facebook.com/vicky.v.quiachon" TargetMode="External"/><Relationship Id="rId3571" Type="http://schemas.openxmlformats.org/officeDocument/2006/relationships/hyperlink" Target="https://www.facebook.com/profile.php?id=100060978745003" TargetMode="External"/><Relationship Id="rId2240" Type="http://schemas.openxmlformats.org/officeDocument/2006/relationships/hyperlink" Target="https://www.facebook.com/rapplerdotcom/photos/a.317154781638645/5596022273751843/" TargetMode="External"/><Relationship Id="rId3570" Type="http://schemas.openxmlformats.org/officeDocument/2006/relationships/hyperlink" Target="https://www.facebook.com/rapplerdotcom/photos/a.317154781638645/5595372260483511/" TargetMode="External"/><Relationship Id="rId2241" Type="http://schemas.openxmlformats.org/officeDocument/2006/relationships/hyperlink" Target="https://www.facebook.com/noel.sison.96" TargetMode="External"/><Relationship Id="rId3573" Type="http://schemas.openxmlformats.org/officeDocument/2006/relationships/hyperlink" Target="https://www.facebook.com/profile.php?id=100072514314651" TargetMode="External"/><Relationship Id="rId2242" Type="http://schemas.openxmlformats.org/officeDocument/2006/relationships/hyperlink" Target="https://www.facebook.com/rapplerdotcom/photos/a.317154781638645/5596022273751843/" TargetMode="External"/><Relationship Id="rId3572" Type="http://schemas.openxmlformats.org/officeDocument/2006/relationships/hyperlink" Target="https://www.facebook.com/rapplerdotcom/photos/a.317154781638645/5595372260483511/" TargetMode="External"/><Relationship Id="rId2243" Type="http://schemas.openxmlformats.org/officeDocument/2006/relationships/hyperlink" Target="https://www.facebook.com/undress.bonifacio.100" TargetMode="External"/><Relationship Id="rId3575" Type="http://schemas.openxmlformats.org/officeDocument/2006/relationships/hyperlink" Target="https://www.facebook.com/louigie012" TargetMode="External"/><Relationship Id="rId2244" Type="http://schemas.openxmlformats.org/officeDocument/2006/relationships/hyperlink" Target="https://www.facebook.com/rapplerdotcom/photos/a.317154781638645/5596022273751843/" TargetMode="External"/><Relationship Id="rId3574" Type="http://schemas.openxmlformats.org/officeDocument/2006/relationships/hyperlink" Target="https://www.facebook.com/rapplerdotcom/photos/a.317154781638645/5595372260483511/" TargetMode="External"/><Relationship Id="rId2245" Type="http://schemas.openxmlformats.org/officeDocument/2006/relationships/hyperlink" Target="https://www.facebook.com/kenneth.shinkim" TargetMode="External"/><Relationship Id="rId3577" Type="http://schemas.openxmlformats.org/officeDocument/2006/relationships/hyperlink" Target="https://www.facebook.com/francisco.sabado.585" TargetMode="External"/><Relationship Id="rId2246" Type="http://schemas.openxmlformats.org/officeDocument/2006/relationships/hyperlink" Target="https://www.facebook.com/rapplerdotcom/photos/a.317154781638645/5596022273751843/" TargetMode="External"/><Relationship Id="rId3576" Type="http://schemas.openxmlformats.org/officeDocument/2006/relationships/hyperlink" Target="https://www.facebook.com/rapplerdotcom/photos/a.317154781638645/5595372260483511/" TargetMode="External"/><Relationship Id="rId2236" Type="http://schemas.openxmlformats.org/officeDocument/2006/relationships/hyperlink" Target="https://www.facebook.com/rapplerdotcom/photos/a.317154781638645/5596022273751843/" TargetMode="External"/><Relationship Id="rId3568" Type="http://schemas.openxmlformats.org/officeDocument/2006/relationships/hyperlink" Target="https://www.facebook.com/rapplerdotcom/photos/a.317154781638645/5595372260483511/" TargetMode="External"/><Relationship Id="rId4899" Type="http://schemas.openxmlformats.org/officeDocument/2006/relationships/hyperlink" Target="https://www.facebook.com/watch/live/?ref=watch_permalink&amp;v=923735834984653" TargetMode="External"/><Relationship Id="rId2237" Type="http://schemas.openxmlformats.org/officeDocument/2006/relationships/hyperlink" Target="https://www.facebook.com/lorenzfajardo.amin" TargetMode="External"/><Relationship Id="rId3567" Type="http://schemas.openxmlformats.org/officeDocument/2006/relationships/hyperlink" Target="https://www.facebook.com/bautista.jimmy.98" TargetMode="External"/><Relationship Id="rId4898" Type="http://schemas.openxmlformats.org/officeDocument/2006/relationships/hyperlink" Target="https://www.facebook.com/profile.php?id=100005160163120" TargetMode="External"/><Relationship Id="rId2238" Type="http://schemas.openxmlformats.org/officeDocument/2006/relationships/hyperlink" Target="https://www.facebook.com/rapplerdotcom/photos/a.317154781638645/5596022273751843/" TargetMode="External"/><Relationship Id="rId2239" Type="http://schemas.openxmlformats.org/officeDocument/2006/relationships/hyperlink" Target="https://www.facebook.com/angelica.perig.7" TargetMode="External"/><Relationship Id="rId3569" Type="http://schemas.openxmlformats.org/officeDocument/2006/relationships/hyperlink" Target="https://www.facebook.com/profile.php?id=100070381902310" TargetMode="External"/><Relationship Id="rId3560" Type="http://schemas.openxmlformats.org/officeDocument/2006/relationships/hyperlink" Target="https://www.facebook.com/rapplerdotcom/photos/a.317154781638645/5595372260483511/" TargetMode="External"/><Relationship Id="rId4891" Type="http://schemas.openxmlformats.org/officeDocument/2006/relationships/hyperlink" Target="https://www.facebook.com/watch/live/?ref=watch_permalink&amp;v=923735834984653" TargetMode="External"/><Relationship Id="rId4890" Type="http://schemas.openxmlformats.org/officeDocument/2006/relationships/hyperlink" Target="https://www.facebook.com/profile.php?id=100005160163120" TargetMode="External"/><Relationship Id="rId2230" Type="http://schemas.openxmlformats.org/officeDocument/2006/relationships/hyperlink" Target="https://www.facebook.com/rapplerdotcom/photos/a.317154781638645/5596022273751843/" TargetMode="External"/><Relationship Id="rId3562" Type="http://schemas.openxmlformats.org/officeDocument/2006/relationships/hyperlink" Target="https://www.facebook.com/rapplerdotcom/photos/a.317154781638645/5595372260483511/" TargetMode="External"/><Relationship Id="rId4893" Type="http://schemas.openxmlformats.org/officeDocument/2006/relationships/hyperlink" Target="https://www.facebook.com/watch/live/?ref=watch_permalink&amp;v=923735834984653" TargetMode="External"/><Relationship Id="rId2231" Type="http://schemas.openxmlformats.org/officeDocument/2006/relationships/hyperlink" Target="https://www.facebook.com/chabbykitz" TargetMode="External"/><Relationship Id="rId3561" Type="http://schemas.openxmlformats.org/officeDocument/2006/relationships/hyperlink" Target="https://www.facebook.com/bautista.jimmy.98" TargetMode="External"/><Relationship Id="rId4892" Type="http://schemas.openxmlformats.org/officeDocument/2006/relationships/hyperlink" Target="https://www.facebook.com/profile.php?id=100005160163120" TargetMode="External"/><Relationship Id="rId2232" Type="http://schemas.openxmlformats.org/officeDocument/2006/relationships/hyperlink" Target="https://www.facebook.com/rapplerdotcom/photos/a.317154781638645/5596022273751843/" TargetMode="External"/><Relationship Id="rId3564" Type="http://schemas.openxmlformats.org/officeDocument/2006/relationships/hyperlink" Target="https://www.facebook.com/rapplerdotcom/photos/a.317154781638645/5595372260483511/" TargetMode="External"/><Relationship Id="rId4895" Type="http://schemas.openxmlformats.org/officeDocument/2006/relationships/hyperlink" Target="https://www.facebook.com/watch/live/?ref=watch_permalink&amp;v=923735834984653" TargetMode="External"/><Relationship Id="rId2233" Type="http://schemas.openxmlformats.org/officeDocument/2006/relationships/hyperlink" Target="https://www.facebook.com/rueven.cuizon" TargetMode="External"/><Relationship Id="rId3563" Type="http://schemas.openxmlformats.org/officeDocument/2006/relationships/hyperlink" Target="https://www.facebook.com/cyrilljoy.baldera.3" TargetMode="External"/><Relationship Id="rId4894" Type="http://schemas.openxmlformats.org/officeDocument/2006/relationships/hyperlink" Target="https://www.facebook.com/profile.php?id=100005160163120" TargetMode="External"/><Relationship Id="rId2234" Type="http://schemas.openxmlformats.org/officeDocument/2006/relationships/hyperlink" Target="https://www.facebook.com/rapplerdotcom/photos/a.317154781638645/5596022273751843/" TargetMode="External"/><Relationship Id="rId3566" Type="http://schemas.openxmlformats.org/officeDocument/2006/relationships/hyperlink" Target="https://www.facebook.com/rapplerdotcom/photos/a.317154781638645/5595372260483511/" TargetMode="External"/><Relationship Id="rId4897" Type="http://schemas.openxmlformats.org/officeDocument/2006/relationships/hyperlink" Target="https://www.facebook.com/watch/live/?ref=watch_permalink&amp;v=923735834984653" TargetMode="External"/><Relationship Id="rId2235" Type="http://schemas.openxmlformats.org/officeDocument/2006/relationships/hyperlink" Target="https://www.facebook.com/ferdinand.arellano.92" TargetMode="External"/><Relationship Id="rId3565" Type="http://schemas.openxmlformats.org/officeDocument/2006/relationships/hyperlink" Target="https://www.facebook.com/jose.ladiana" TargetMode="External"/><Relationship Id="rId4896" Type="http://schemas.openxmlformats.org/officeDocument/2006/relationships/hyperlink" Target="https://www.facebook.com/profile.php?id=100005160163120" TargetMode="External"/><Relationship Id="rId2290" Type="http://schemas.openxmlformats.org/officeDocument/2006/relationships/hyperlink" Target="https://www.facebook.com/rapplerdotcom/photos/a.317154781638645/5596022273751843/" TargetMode="External"/><Relationship Id="rId2291" Type="http://schemas.openxmlformats.org/officeDocument/2006/relationships/hyperlink" Target="https://www.facebook.com/lmfloralde" TargetMode="External"/><Relationship Id="rId2292" Type="http://schemas.openxmlformats.org/officeDocument/2006/relationships/hyperlink" Target="https://www.facebook.com/rapplerdotcom/photos/a.317154781638645/5596022273751843/" TargetMode="External"/><Relationship Id="rId2293" Type="http://schemas.openxmlformats.org/officeDocument/2006/relationships/hyperlink" Target="https://www.facebook.com/lmfloralde" TargetMode="External"/><Relationship Id="rId2294" Type="http://schemas.openxmlformats.org/officeDocument/2006/relationships/hyperlink" Target="https://www.facebook.com/rapplerdotcom/photos/a.317154781638645/5596022273751843/" TargetMode="External"/><Relationship Id="rId2295" Type="http://schemas.openxmlformats.org/officeDocument/2006/relationships/hyperlink" Target="https://www.facebook.com/profile.php?id=100005732081750" TargetMode="External"/><Relationship Id="rId2296" Type="http://schemas.openxmlformats.org/officeDocument/2006/relationships/hyperlink" Target="https://www.facebook.com/rapplerdotcom/photos/a.317154781638645/5596022273751843/" TargetMode="External"/><Relationship Id="rId2297" Type="http://schemas.openxmlformats.org/officeDocument/2006/relationships/hyperlink" Target="https://www.facebook.com/lmfloralde" TargetMode="External"/><Relationship Id="rId2298" Type="http://schemas.openxmlformats.org/officeDocument/2006/relationships/hyperlink" Target="https://www.facebook.com/rapplerdotcom/photos/a.317154781638645/5596022273751843/" TargetMode="External"/><Relationship Id="rId2299" Type="http://schemas.openxmlformats.org/officeDocument/2006/relationships/hyperlink" Target="https://www.facebook.com/gerard.abangan.1" TargetMode="External"/><Relationship Id="rId4901" Type="http://schemas.openxmlformats.org/officeDocument/2006/relationships/hyperlink" Target="https://www.facebook.com/watch/live/?ref=watch_permalink&amp;v=923735834984653" TargetMode="External"/><Relationship Id="rId4900" Type="http://schemas.openxmlformats.org/officeDocument/2006/relationships/hyperlink" Target="https://www.facebook.com/profile.php?id=100005160163120" TargetMode="External"/><Relationship Id="rId4903" Type="http://schemas.openxmlformats.org/officeDocument/2006/relationships/hyperlink" Target="https://www.facebook.com/watch/live/?ref=watch_permalink&amp;v=923735834984653" TargetMode="External"/><Relationship Id="rId4902" Type="http://schemas.openxmlformats.org/officeDocument/2006/relationships/hyperlink" Target="https://www.facebook.com/profile.php?id=100005160163120" TargetMode="External"/><Relationship Id="rId4905" Type="http://schemas.openxmlformats.org/officeDocument/2006/relationships/hyperlink" Target="https://www.facebook.com/watch/live/?ref=watch_permalink&amp;v=923735834984653" TargetMode="External"/><Relationship Id="rId4904" Type="http://schemas.openxmlformats.org/officeDocument/2006/relationships/hyperlink" Target="https://www.facebook.com/ricky.marquez.58958" TargetMode="External"/><Relationship Id="rId4907" Type="http://schemas.openxmlformats.org/officeDocument/2006/relationships/hyperlink" Target="https://www.facebook.com/rapplerdotcom/posts/pfbid02BCyyacWVuuu1bwX5PwYK8PvqDGTANxekqEMy7qyV9vMmaGKTbC8sBf7i5j3Wbx9Ll" TargetMode="External"/><Relationship Id="rId4906" Type="http://schemas.openxmlformats.org/officeDocument/2006/relationships/hyperlink" Target="https://www.facebook.com/kaie.decal" TargetMode="External"/><Relationship Id="rId4909" Type="http://schemas.openxmlformats.org/officeDocument/2006/relationships/hyperlink" Target="https://www.facebook.com/rapplerdotcom/posts/pfbid02BCyyacWVuuu1bwX5PwYK8PvqDGTANxekqEMy7qyV9vMmaGKTbC8sBf7i5j3Wbx9Ll" TargetMode="External"/><Relationship Id="rId4908" Type="http://schemas.openxmlformats.org/officeDocument/2006/relationships/hyperlink" Target="https://www.facebook.com/gesponela" TargetMode="External"/><Relationship Id="rId2302" Type="http://schemas.openxmlformats.org/officeDocument/2006/relationships/hyperlink" Target="https://www.facebook.com/rapplerdotcom/photos/a.317154781638645/5596022273751843/" TargetMode="External"/><Relationship Id="rId3634" Type="http://schemas.openxmlformats.org/officeDocument/2006/relationships/hyperlink" Target="https://www.facebook.com/rapplerdotcom/photos/a.317154781638645/5595372260483511/" TargetMode="External"/><Relationship Id="rId4965" Type="http://schemas.openxmlformats.org/officeDocument/2006/relationships/hyperlink" Target="https://www.facebook.com/rapplerdotcom/posts/pfbid02BCyyacWVuuu1bwX5PwYK8PvqDGTANxekqEMy7qyV9vMmaGKTbC8sBf7i5j3Wbx9Ll" TargetMode="External"/><Relationship Id="rId2303" Type="http://schemas.openxmlformats.org/officeDocument/2006/relationships/hyperlink" Target="https://www.facebook.com/alfredofabro.boking" TargetMode="External"/><Relationship Id="rId3633" Type="http://schemas.openxmlformats.org/officeDocument/2006/relationships/hyperlink" Target="https://www.facebook.com/adelina.francisco.3" TargetMode="External"/><Relationship Id="rId4964" Type="http://schemas.openxmlformats.org/officeDocument/2006/relationships/hyperlink" Target="https://www.facebook.com/melinda.santelices" TargetMode="External"/><Relationship Id="rId2304" Type="http://schemas.openxmlformats.org/officeDocument/2006/relationships/hyperlink" Target="https://www.facebook.com/rapplerdotcom/photos/a.317154781638645/5596022273751843/" TargetMode="External"/><Relationship Id="rId3636" Type="http://schemas.openxmlformats.org/officeDocument/2006/relationships/hyperlink" Target="https://www.facebook.com/rapplerdotcom/photos/a.317154781638645/5595372260483511/" TargetMode="External"/><Relationship Id="rId4967" Type="http://schemas.openxmlformats.org/officeDocument/2006/relationships/hyperlink" Target="https://www.facebook.com/rapplerdotcom/posts/pfbid02BCyyacWVuuu1bwX5PwYK8PvqDGTANxekqEMy7qyV9vMmaGKTbC8sBf7i5j3Wbx9Ll" TargetMode="External"/><Relationship Id="rId2305" Type="http://schemas.openxmlformats.org/officeDocument/2006/relationships/hyperlink" Target="https://www.facebook.com/terrence.co" TargetMode="External"/><Relationship Id="rId3635" Type="http://schemas.openxmlformats.org/officeDocument/2006/relationships/hyperlink" Target="https://www.facebook.com/pilar.alejo.9" TargetMode="External"/><Relationship Id="rId4966" Type="http://schemas.openxmlformats.org/officeDocument/2006/relationships/hyperlink" Target="https://www.facebook.com/bot.kohtoh" TargetMode="External"/><Relationship Id="rId2306" Type="http://schemas.openxmlformats.org/officeDocument/2006/relationships/hyperlink" Target="https://www.facebook.com/rapplerdotcom/posts/pfbid0TYP6syjYwznxJKdhWv9YMaXK9NvsSEhQ2cyyCQCPMvGapWXrQBHehywgT156wqNPl" TargetMode="External"/><Relationship Id="rId3638" Type="http://schemas.openxmlformats.org/officeDocument/2006/relationships/hyperlink" Target="https://www.facebook.com/rapplerdotcom/photos/a.317154781638645/5595372260483511/" TargetMode="External"/><Relationship Id="rId4969" Type="http://schemas.openxmlformats.org/officeDocument/2006/relationships/hyperlink" Target="https://www.facebook.com/rapplerdotcom/posts/pfbid02BCyyacWVuuu1bwX5PwYK8PvqDGTANxekqEMy7qyV9vMmaGKTbC8sBf7i5j3Wbx9Ll" TargetMode="External"/><Relationship Id="rId2307" Type="http://schemas.openxmlformats.org/officeDocument/2006/relationships/hyperlink" Target="https://www.facebook.com/profile.php?id=100078461366052" TargetMode="External"/><Relationship Id="rId3637" Type="http://schemas.openxmlformats.org/officeDocument/2006/relationships/hyperlink" Target="https://www.facebook.com/reginald.gavini" TargetMode="External"/><Relationship Id="rId4968" Type="http://schemas.openxmlformats.org/officeDocument/2006/relationships/hyperlink" Target="https://www.facebook.com/josiephine.pajunar" TargetMode="External"/><Relationship Id="rId2308" Type="http://schemas.openxmlformats.org/officeDocument/2006/relationships/hyperlink" Target="https://www.facebook.com/rapplerdotcom/posts/pfbid0TYP6syjYwznxJKdhWv9YMaXK9NvsSEhQ2cyyCQCPMvGapWXrQBHehywgT156wqNPl" TargetMode="External"/><Relationship Id="rId2309" Type="http://schemas.openxmlformats.org/officeDocument/2006/relationships/hyperlink" Target="https://www.facebook.com/profile.php?id=100078433647836" TargetMode="External"/><Relationship Id="rId3639" Type="http://schemas.openxmlformats.org/officeDocument/2006/relationships/hyperlink" Target="https://www.facebook.com/vinceian06" TargetMode="External"/><Relationship Id="rId3630" Type="http://schemas.openxmlformats.org/officeDocument/2006/relationships/hyperlink" Target="https://www.facebook.com/rapplerdotcom/photos/a.317154781638645/5595372260483511/" TargetMode="External"/><Relationship Id="rId4961" Type="http://schemas.openxmlformats.org/officeDocument/2006/relationships/hyperlink" Target="https://www.facebook.com/rapplerdotcom/posts/pfbid02BCyyacWVuuu1bwX5PwYK8PvqDGTANxekqEMy7qyV9vMmaGKTbC8sBf7i5j3Wbx9Ll" TargetMode="External"/><Relationship Id="rId4960" Type="http://schemas.openxmlformats.org/officeDocument/2006/relationships/hyperlink" Target="https://www.facebook.com/melinda.santelices" TargetMode="External"/><Relationship Id="rId2300" Type="http://schemas.openxmlformats.org/officeDocument/2006/relationships/hyperlink" Target="https://www.facebook.com/rapplerdotcom/photos/a.317154781638645/5596022273751843/" TargetMode="External"/><Relationship Id="rId3632" Type="http://schemas.openxmlformats.org/officeDocument/2006/relationships/hyperlink" Target="https://www.facebook.com/rapplerdotcom/photos/a.317154781638645/5595372260483511/" TargetMode="External"/><Relationship Id="rId4963" Type="http://schemas.openxmlformats.org/officeDocument/2006/relationships/hyperlink" Target="https://www.facebook.com/rapplerdotcom/posts/pfbid02BCyyacWVuuu1bwX5PwYK8PvqDGTANxekqEMy7qyV9vMmaGKTbC8sBf7i5j3Wbx9Ll" TargetMode="External"/><Relationship Id="rId2301" Type="http://schemas.openxmlformats.org/officeDocument/2006/relationships/hyperlink" Target="https://www.facebook.com/rodelmadrid" TargetMode="External"/><Relationship Id="rId3631" Type="http://schemas.openxmlformats.org/officeDocument/2006/relationships/hyperlink" Target="https://www.facebook.com/profile.php?id=100014924436490" TargetMode="External"/><Relationship Id="rId4962" Type="http://schemas.openxmlformats.org/officeDocument/2006/relationships/hyperlink" Target="https://www.facebook.com/elena.cayandag.71" TargetMode="External"/><Relationship Id="rId3623" Type="http://schemas.openxmlformats.org/officeDocument/2006/relationships/hyperlink" Target="https://www.facebook.com/johndiazcortez" TargetMode="External"/><Relationship Id="rId4954" Type="http://schemas.openxmlformats.org/officeDocument/2006/relationships/hyperlink" Target="https://www.facebook.com/pangetkoh30" TargetMode="External"/><Relationship Id="rId3622" Type="http://schemas.openxmlformats.org/officeDocument/2006/relationships/hyperlink" Target="https://www.facebook.com/rapplerdotcom/photos/a.317154781638645/5595372260483511/" TargetMode="External"/><Relationship Id="rId4953" Type="http://schemas.openxmlformats.org/officeDocument/2006/relationships/hyperlink" Target="https://www.facebook.com/rapplerdotcom/posts/pfbid02BCyyacWVuuu1bwX5PwYK8PvqDGTANxekqEMy7qyV9vMmaGKTbC8sBf7i5j3Wbx9Ll" TargetMode="External"/><Relationship Id="rId3625" Type="http://schemas.openxmlformats.org/officeDocument/2006/relationships/hyperlink" Target="https://www.facebook.com/dez.delmundosamson" TargetMode="External"/><Relationship Id="rId4956" Type="http://schemas.openxmlformats.org/officeDocument/2006/relationships/hyperlink" Target="https://www.facebook.com/melinda.santelices" TargetMode="External"/><Relationship Id="rId3624" Type="http://schemas.openxmlformats.org/officeDocument/2006/relationships/hyperlink" Target="https://www.facebook.com/rapplerdotcom/photos/a.317154781638645/5595372260483511/" TargetMode="External"/><Relationship Id="rId4955" Type="http://schemas.openxmlformats.org/officeDocument/2006/relationships/hyperlink" Target="https://www.facebook.com/rapplerdotcom/posts/pfbid02BCyyacWVuuu1bwX5PwYK8PvqDGTANxekqEMy7qyV9vMmaGKTbC8sBf7i5j3Wbx9Ll" TargetMode="External"/><Relationship Id="rId3627" Type="http://schemas.openxmlformats.org/officeDocument/2006/relationships/hyperlink" Target="https://www.facebook.com/chitocmorales" TargetMode="External"/><Relationship Id="rId4958" Type="http://schemas.openxmlformats.org/officeDocument/2006/relationships/hyperlink" Target="https://www.facebook.com/rebecca.teodoro.79" TargetMode="External"/><Relationship Id="rId3626" Type="http://schemas.openxmlformats.org/officeDocument/2006/relationships/hyperlink" Target="https://www.facebook.com/rapplerdotcom/photos/a.317154781638645/5595372260483511/" TargetMode="External"/><Relationship Id="rId4957" Type="http://schemas.openxmlformats.org/officeDocument/2006/relationships/hyperlink" Target="https://www.facebook.com/rapplerdotcom/posts/pfbid02BCyyacWVuuu1bwX5PwYK8PvqDGTANxekqEMy7qyV9vMmaGKTbC8sBf7i5j3Wbx9Ll" TargetMode="External"/><Relationship Id="rId3629" Type="http://schemas.openxmlformats.org/officeDocument/2006/relationships/hyperlink" Target="https://www.facebook.com/lina.tomboconmiralles" TargetMode="External"/><Relationship Id="rId3628" Type="http://schemas.openxmlformats.org/officeDocument/2006/relationships/hyperlink" Target="https://www.facebook.com/rapplerdotcom/photos/a.317154781638645/5595372260483511/" TargetMode="External"/><Relationship Id="rId4959" Type="http://schemas.openxmlformats.org/officeDocument/2006/relationships/hyperlink" Target="https://www.facebook.com/rapplerdotcom/posts/pfbid02BCyyacWVuuu1bwX5PwYK8PvqDGTANxekqEMy7qyV9vMmaGKTbC8sBf7i5j3Wbx9Ll" TargetMode="External"/><Relationship Id="rId4950" Type="http://schemas.openxmlformats.org/officeDocument/2006/relationships/hyperlink" Target="https://www.facebook.com/melinda.santelices" TargetMode="External"/><Relationship Id="rId3621" Type="http://schemas.openxmlformats.org/officeDocument/2006/relationships/hyperlink" Target="https://www.facebook.com/dr.julius.uy" TargetMode="External"/><Relationship Id="rId4952" Type="http://schemas.openxmlformats.org/officeDocument/2006/relationships/hyperlink" Target="https://www.facebook.com/pangetkoh30" TargetMode="External"/><Relationship Id="rId3620" Type="http://schemas.openxmlformats.org/officeDocument/2006/relationships/hyperlink" Target="https://www.facebook.com/rapplerdotcom/photos/a.317154781638645/5595372260483511/" TargetMode="External"/><Relationship Id="rId4951" Type="http://schemas.openxmlformats.org/officeDocument/2006/relationships/hyperlink" Target="https://www.facebook.com/rapplerdotcom/posts/pfbid02BCyyacWVuuu1bwX5PwYK8PvqDGTANxekqEMy7qyV9vMmaGKTbC8sBf7i5j3Wbx9Ll" TargetMode="External"/><Relationship Id="rId2324" Type="http://schemas.openxmlformats.org/officeDocument/2006/relationships/hyperlink" Target="https://www.facebook.com/rapplerdotcom/posts/pfbid0TYP6syjYwznxJKdhWv9YMaXK9NvsSEhQ2cyyCQCPMvGapWXrQBHehywgT156wqNPl" TargetMode="External"/><Relationship Id="rId3656" Type="http://schemas.openxmlformats.org/officeDocument/2006/relationships/hyperlink" Target="https://www.facebook.com/rapplerdotcom/photos/a.317154781638645/5595372260483511/" TargetMode="External"/><Relationship Id="rId4987" Type="http://schemas.openxmlformats.org/officeDocument/2006/relationships/hyperlink" Target="https://www.facebook.com/rapplerdotcom/posts/pfbid02BCyyacWVuuu1bwX5PwYK8PvqDGTANxekqEMy7qyV9vMmaGKTbC8sBf7i5j3Wbx9Ll" TargetMode="External"/><Relationship Id="rId2325" Type="http://schemas.openxmlformats.org/officeDocument/2006/relationships/hyperlink" Target="https://www.facebook.com/lewizzz" TargetMode="External"/><Relationship Id="rId3655" Type="http://schemas.openxmlformats.org/officeDocument/2006/relationships/hyperlink" Target="https://www.facebook.com/cherryl.manjares.14" TargetMode="External"/><Relationship Id="rId4986" Type="http://schemas.openxmlformats.org/officeDocument/2006/relationships/hyperlink" Target="https://www.facebook.com/roldan.lago.75" TargetMode="External"/><Relationship Id="rId2326" Type="http://schemas.openxmlformats.org/officeDocument/2006/relationships/hyperlink" Target="https://www.facebook.com/rapplerdotcom/posts/pfbid0TYP6syjYwznxJKdhWv9YMaXK9NvsSEhQ2cyyCQCPMvGapWXrQBHehywgT156wqNPl" TargetMode="External"/><Relationship Id="rId3658" Type="http://schemas.openxmlformats.org/officeDocument/2006/relationships/hyperlink" Target="https://www.facebook.com/rapplerdotcom/photos/a.317154781638645/5595372260483511/" TargetMode="External"/><Relationship Id="rId4989" Type="http://schemas.openxmlformats.org/officeDocument/2006/relationships/hyperlink" Target="https://www.facebook.com/rapplerdotcom/posts/pfbid02BCyyacWVuuu1bwX5PwYK8PvqDGTANxekqEMy7qyV9vMmaGKTbC8sBf7i5j3Wbx9Ll" TargetMode="External"/><Relationship Id="rId2327" Type="http://schemas.openxmlformats.org/officeDocument/2006/relationships/hyperlink" Target="https://www.facebook.com/trish.arana.9" TargetMode="External"/><Relationship Id="rId3657" Type="http://schemas.openxmlformats.org/officeDocument/2006/relationships/hyperlink" Target="https://www.facebook.com/dale.paypa" TargetMode="External"/><Relationship Id="rId4988" Type="http://schemas.openxmlformats.org/officeDocument/2006/relationships/hyperlink" Target="https://www.facebook.com/roldan.lago.75" TargetMode="External"/><Relationship Id="rId2328" Type="http://schemas.openxmlformats.org/officeDocument/2006/relationships/hyperlink" Target="https://www.facebook.com/rapplerdotcom/posts/pfbid0TYP6syjYwznxJKdhWv9YMaXK9NvsSEhQ2cyyCQCPMvGapWXrQBHehywgT156wqNPl" TargetMode="External"/><Relationship Id="rId2329" Type="http://schemas.openxmlformats.org/officeDocument/2006/relationships/hyperlink" Target="https://www.facebook.com/cielo.dupayamendiola" TargetMode="External"/><Relationship Id="rId3659" Type="http://schemas.openxmlformats.org/officeDocument/2006/relationships/hyperlink" Target="https://www.facebook.com/cora.ropeta" TargetMode="External"/><Relationship Id="rId3650" Type="http://schemas.openxmlformats.org/officeDocument/2006/relationships/hyperlink" Target="https://www.facebook.com/rapplerdotcom/photos/a.317154781638645/5595372260483511/" TargetMode="External"/><Relationship Id="rId4981" Type="http://schemas.openxmlformats.org/officeDocument/2006/relationships/hyperlink" Target="https://www.facebook.com/rapplerdotcom/posts/pfbid02BCyyacWVuuu1bwX5PwYK8PvqDGTANxekqEMy7qyV9vMmaGKTbC8sBf7i5j3Wbx9Ll" TargetMode="External"/><Relationship Id="rId4980" Type="http://schemas.openxmlformats.org/officeDocument/2006/relationships/hyperlink" Target="https://www.facebook.com/eduardeddie.rocabo" TargetMode="External"/><Relationship Id="rId2320" Type="http://schemas.openxmlformats.org/officeDocument/2006/relationships/hyperlink" Target="https://www.facebook.com/rapplerdotcom/posts/pfbid0TYP6syjYwznxJKdhWv9YMaXK9NvsSEhQ2cyyCQCPMvGapWXrQBHehywgT156wqNPl" TargetMode="External"/><Relationship Id="rId3652" Type="http://schemas.openxmlformats.org/officeDocument/2006/relationships/hyperlink" Target="https://www.facebook.com/rapplerdotcom/photos/a.317154781638645/5595372260483511/" TargetMode="External"/><Relationship Id="rId4983" Type="http://schemas.openxmlformats.org/officeDocument/2006/relationships/hyperlink" Target="https://www.facebook.com/rapplerdotcom/posts/pfbid02BCyyacWVuuu1bwX5PwYK8PvqDGTANxekqEMy7qyV9vMmaGKTbC8sBf7i5j3Wbx9Ll" TargetMode="External"/><Relationship Id="rId2321" Type="http://schemas.openxmlformats.org/officeDocument/2006/relationships/hyperlink" Target="https://www.facebook.com/inquisitive.mind.739" TargetMode="External"/><Relationship Id="rId3651" Type="http://schemas.openxmlformats.org/officeDocument/2006/relationships/hyperlink" Target="https://www.facebook.com/john.f.papa" TargetMode="External"/><Relationship Id="rId4982" Type="http://schemas.openxmlformats.org/officeDocument/2006/relationships/hyperlink" Target="https://www.facebook.com/tiu.ag" TargetMode="External"/><Relationship Id="rId2322" Type="http://schemas.openxmlformats.org/officeDocument/2006/relationships/hyperlink" Target="https://www.facebook.com/rapplerdotcom/posts/pfbid0TYP6syjYwznxJKdhWv9YMaXK9NvsSEhQ2cyyCQCPMvGapWXrQBHehywgT156wqNPl" TargetMode="External"/><Relationship Id="rId3654" Type="http://schemas.openxmlformats.org/officeDocument/2006/relationships/hyperlink" Target="https://www.facebook.com/rapplerdotcom/photos/a.317154781638645/5595372260483511/" TargetMode="External"/><Relationship Id="rId4985" Type="http://schemas.openxmlformats.org/officeDocument/2006/relationships/hyperlink" Target="https://www.facebook.com/rapplerdotcom/posts/pfbid02BCyyacWVuuu1bwX5PwYK8PvqDGTANxekqEMy7qyV9vMmaGKTbC8sBf7i5j3Wbx9Ll" TargetMode="External"/><Relationship Id="rId2323" Type="http://schemas.openxmlformats.org/officeDocument/2006/relationships/hyperlink" Target="https://www.facebook.com/lian.calizo" TargetMode="External"/><Relationship Id="rId3653" Type="http://schemas.openxmlformats.org/officeDocument/2006/relationships/hyperlink" Target="https://www.facebook.com/araceli.ceciliobaduria" TargetMode="External"/><Relationship Id="rId4984" Type="http://schemas.openxmlformats.org/officeDocument/2006/relationships/hyperlink" Target="https://www.facebook.com/roldan.lago.75" TargetMode="External"/><Relationship Id="rId2313" Type="http://schemas.openxmlformats.org/officeDocument/2006/relationships/hyperlink" Target="https://www.facebook.com/leah.leonidas.9" TargetMode="External"/><Relationship Id="rId3645" Type="http://schemas.openxmlformats.org/officeDocument/2006/relationships/hyperlink" Target="https://www.facebook.com/maleolore.piczon" TargetMode="External"/><Relationship Id="rId4976" Type="http://schemas.openxmlformats.org/officeDocument/2006/relationships/hyperlink" Target="https://www.facebook.com/profile.php?id=100061205663342" TargetMode="External"/><Relationship Id="rId2314" Type="http://schemas.openxmlformats.org/officeDocument/2006/relationships/hyperlink" Target="https://www.facebook.com/rapplerdotcom/posts/pfbid0TYP6syjYwznxJKdhWv9YMaXK9NvsSEhQ2cyyCQCPMvGapWXrQBHehywgT156wqNPl" TargetMode="External"/><Relationship Id="rId3644" Type="http://schemas.openxmlformats.org/officeDocument/2006/relationships/hyperlink" Target="https://www.facebook.com/rapplerdotcom/photos/a.317154781638645/5595372260483511/" TargetMode="External"/><Relationship Id="rId4975" Type="http://schemas.openxmlformats.org/officeDocument/2006/relationships/hyperlink" Target="https://www.facebook.com/rapplerdotcom/posts/pfbid02BCyyacWVuuu1bwX5PwYK8PvqDGTANxekqEMy7qyV9vMmaGKTbC8sBf7i5j3Wbx9Ll" TargetMode="External"/><Relationship Id="rId2315" Type="http://schemas.openxmlformats.org/officeDocument/2006/relationships/hyperlink" Target="https://www.facebook.com/blesilda.bolante" TargetMode="External"/><Relationship Id="rId3647" Type="http://schemas.openxmlformats.org/officeDocument/2006/relationships/hyperlink" Target="https://www.facebook.com/john.f.papa" TargetMode="External"/><Relationship Id="rId4978" Type="http://schemas.openxmlformats.org/officeDocument/2006/relationships/hyperlink" Target="https://www.facebook.com/roldan.lago.75" TargetMode="External"/><Relationship Id="rId2316" Type="http://schemas.openxmlformats.org/officeDocument/2006/relationships/hyperlink" Target="https://www.facebook.com/rapplerdotcom/posts/pfbid0TYP6syjYwznxJKdhWv9YMaXK9NvsSEhQ2cyyCQCPMvGapWXrQBHehywgT156wqNPl" TargetMode="External"/><Relationship Id="rId3646" Type="http://schemas.openxmlformats.org/officeDocument/2006/relationships/hyperlink" Target="https://www.facebook.com/rapplerdotcom/photos/a.317154781638645/5595372260483511/" TargetMode="External"/><Relationship Id="rId4977" Type="http://schemas.openxmlformats.org/officeDocument/2006/relationships/hyperlink" Target="https://www.facebook.com/rapplerdotcom/posts/pfbid02BCyyacWVuuu1bwX5PwYK8PvqDGTANxekqEMy7qyV9vMmaGKTbC8sBf7i5j3Wbx9Ll" TargetMode="External"/><Relationship Id="rId2317" Type="http://schemas.openxmlformats.org/officeDocument/2006/relationships/hyperlink" Target="https://www.facebook.com/faithjoan.gaerlan.5" TargetMode="External"/><Relationship Id="rId3649" Type="http://schemas.openxmlformats.org/officeDocument/2006/relationships/hyperlink" Target="https://www.facebook.com/davidlacsina4" TargetMode="External"/><Relationship Id="rId2318" Type="http://schemas.openxmlformats.org/officeDocument/2006/relationships/hyperlink" Target="https://www.facebook.com/rapplerdotcom/posts/pfbid0TYP6syjYwznxJKdhWv9YMaXK9NvsSEhQ2cyyCQCPMvGapWXrQBHehywgT156wqNPl" TargetMode="External"/><Relationship Id="rId3648" Type="http://schemas.openxmlformats.org/officeDocument/2006/relationships/hyperlink" Target="https://www.facebook.com/rapplerdotcom/photos/a.317154781638645/5595372260483511/" TargetMode="External"/><Relationship Id="rId4979" Type="http://schemas.openxmlformats.org/officeDocument/2006/relationships/hyperlink" Target="https://www.facebook.com/rapplerdotcom/posts/pfbid02BCyyacWVuuu1bwX5PwYK8PvqDGTANxekqEMy7qyV9vMmaGKTbC8sBf7i5j3Wbx9Ll" TargetMode="External"/><Relationship Id="rId2319" Type="http://schemas.openxmlformats.org/officeDocument/2006/relationships/hyperlink" Target="https://www.facebook.com/steve.tamayo.18" TargetMode="External"/><Relationship Id="rId4970" Type="http://schemas.openxmlformats.org/officeDocument/2006/relationships/hyperlink" Target="https://www.facebook.com/melai.banirdag" TargetMode="External"/><Relationship Id="rId3641" Type="http://schemas.openxmlformats.org/officeDocument/2006/relationships/hyperlink" Target="https://www.facebook.com/joshybanez" TargetMode="External"/><Relationship Id="rId4972" Type="http://schemas.openxmlformats.org/officeDocument/2006/relationships/hyperlink" Target="https://www.facebook.com/cel.servando" TargetMode="External"/><Relationship Id="rId2310" Type="http://schemas.openxmlformats.org/officeDocument/2006/relationships/hyperlink" Target="https://www.facebook.com/rapplerdotcom/posts/pfbid0TYP6syjYwznxJKdhWv9YMaXK9NvsSEhQ2cyyCQCPMvGapWXrQBHehywgT156wqNPl" TargetMode="External"/><Relationship Id="rId3640" Type="http://schemas.openxmlformats.org/officeDocument/2006/relationships/hyperlink" Target="https://www.facebook.com/rapplerdotcom/photos/a.317154781638645/5595372260483511/" TargetMode="External"/><Relationship Id="rId4971" Type="http://schemas.openxmlformats.org/officeDocument/2006/relationships/hyperlink" Target="https://www.facebook.com/rapplerdotcom/posts/pfbid02BCyyacWVuuu1bwX5PwYK8PvqDGTANxekqEMy7qyV9vMmaGKTbC8sBf7i5j3Wbx9Ll" TargetMode="External"/><Relationship Id="rId2311" Type="http://schemas.openxmlformats.org/officeDocument/2006/relationships/hyperlink" Target="https://www.facebook.com/profile.php?id=100077975515176" TargetMode="External"/><Relationship Id="rId3643" Type="http://schemas.openxmlformats.org/officeDocument/2006/relationships/hyperlink" Target="https://www.facebook.com/champoybulletelbow" TargetMode="External"/><Relationship Id="rId4974" Type="http://schemas.openxmlformats.org/officeDocument/2006/relationships/hyperlink" Target="https://www.facebook.com/raullongkoy.palad" TargetMode="External"/><Relationship Id="rId2312" Type="http://schemas.openxmlformats.org/officeDocument/2006/relationships/hyperlink" Target="https://www.facebook.com/rapplerdotcom/posts/pfbid0TYP6syjYwznxJKdhWv9YMaXK9NvsSEhQ2cyyCQCPMvGapWXrQBHehywgT156wqNPl" TargetMode="External"/><Relationship Id="rId3642" Type="http://schemas.openxmlformats.org/officeDocument/2006/relationships/hyperlink" Target="https://www.facebook.com/rapplerdotcom/photos/a.317154781638645/5595372260483511/" TargetMode="External"/><Relationship Id="rId4973" Type="http://schemas.openxmlformats.org/officeDocument/2006/relationships/hyperlink" Target="https://www.facebook.com/rapplerdotcom/posts/pfbid02BCyyacWVuuu1bwX5PwYK8PvqDGTANxekqEMy7qyV9vMmaGKTbC8sBf7i5j3Wbx9Ll" TargetMode="External"/><Relationship Id="rId4921" Type="http://schemas.openxmlformats.org/officeDocument/2006/relationships/hyperlink" Target="https://www.facebook.com/rapplerdotcom/posts/pfbid02BCyyacWVuuu1bwX5PwYK8PvqDGTANxekqEMy7qyV9vMmaGKTbC8sBf7i5j3Wbx9Ll" TargetMode="External"/><Relationship Id="rId4920" Type="http://schemas.openxmlformats.org/officeDocument/2006/relationships/hyperlink" Target="https://www.facebook.com/rose.ranario.58" TargetMode="External"/><Relationship Id="rId4923" Type="http://schemas.openxmlformats.org/officeDocument/2006/relationships/hyperlink" Target="https://www.facebook.com/rapplerdotcom/posts/pfbid02BCyyacWVuuu1bwX5PwYK8PvqDGTANxekqEMy7qyV9vMmaGKTbC8sBf7i5j3Wbx9Ll" TargetMode="External"/><Relationship Id="rId4922" Type="http://schemas.openxmlformats.org/officeDocument/2006/relationships/hyperlink" Target="https://www.facebook.com/profile.php?id=100075051973694" TargetMode="External"/><Relationship Id="rId4925" Type="http://schemas.openxmlformats.org/officeDocument/2006/relationships/hyperlink" Target="https://www.facebook.com/rapplerdotcom/posts/pfbid02BCyyacWVuuu1bwX5PwYK8PvqDGTANxekqEMy7qyV9vMmaGKTbC8sBf7i5j3Wbx9Ll" TargetMode="External"/><Relationship Id="rId4924" Type="http://schemas.openxmlformats.org/officeDocument/2006/relationships/hyperlink" Target="https://www.facebook.com/gerly.amante1" TargetMode="External"/><Relationship Id="rId4927" Type="http://schemas.openxmlformats.org/officeDocument/2006/relationships/hyperlink" Target="https://www.facebook.com/rapplerdotcom/posts/pfbid02BCyyacWVuuu1bwX5PwYK8PvqDGTANxekqEMy7qyV9vMmaGKTbC8sBf7i5j3Wbx9Ll" TargetMode="External"/><Relationship Id="rId4926" Type="http://schemas.openxmlformats.org/officeDocument/2006/relationships/hyperlink" Target="https://www.facebook.com/barry.taganas.7" TargetMode="External"/><Relationship Id="rId4929" Type="http://schemas.openxmlformats.org/officeDocument/2006/relationships/hyperlink" Target="https://www.facebook.com/rapplerdotcom/posts/pfbid02BCyyacWVuuu1bwX5PwYK8PvqDGTANxekqEMy7qyV9vMmaGKTbC8sBf7i5j3Wbx9Ll" TargetMode="External"/><Relationship Id="rId4928" Type="http://schemas.openxmlformats.org/officeDocument/2006/relationships/hyperlink" Target="https://www.facebook.com/violet.panuringan" TargetMode="External"/><Relationship Id="rId4910" Type="http://schemas.openxmlformats.org/officeDocument/2006/relationships/hyperlink" Target="https://www.facebook.com/rose.ranario.58" TargetMode="External"/><Relationship Id="rId4912" Type="http://schemas.openxmlformats.org/officeDocument/2006/relationships/hyperlink" Target="https://www.facebook.com/profile.php?id=100071488868784" TargetMode="External"/><Relationship Id="rId4911" Type="http://schemas.openxmlformats.org/officeDocument/2006/relationships/hyperlink" Target="https://www.facebook.com/rapplerdotcom/posts/pfbid02BCyyacWVuuu1bwX5PwYK8PvqDGTANxekqEMy7qyV9vMmaGKTbC8sBf7i5j3Wbx9Ll" TargetMode="External"/><Relationship Id="rId4914" Type="http://schemas.openxmlformats.org/officeDocument/2006/relationships/hyperlink" Target="https://www.facebook.com/rose.ranario.58" TargetMode="External"/><Relationship Id="rId4913" Type="http://schemas.openxmlformats.org/officeDocument/2006/relationships/hyperlink" Target="https://www.facebook.com/rapplerdotcom/posts/pfbid02BCyyacWVuuu1bwX5PwYK8PvqDGTANxekqEMy7qyV9vMmaGKTbC8sBf7i5j3Wbx9Ll" TargetMode="External"/><Relationship Id="rId4916" Type="http://schemas.openxmlformats.org/officeDocument/2006/relationships/hyperlink" Target="https://www.facebook.com/EyronClavsky" TargetMode="External"/><Relationship Id="rId4915" Type="http://schemas.openxmlformats.org/officeDocument/2006/relationships/hyperlink" Target="https://www.facebook.com/rapplerdotcom/posts/pfbid02BCyyacWVuuu1bwX5PwYK8PvqDGTANxekqEMy7qyV9vMmaGKTbC8sBf7i5j3Wbx9Ll" TargetMode="External"/><Relationship Id="rId4918" Type="http://schemas.openxmlformats.org/officeDocument/2006/relationships/hyperlink" Target="https://www.facebook.com/gerly.amante1" TargetMode="External"/><Relationship Id="rId4917" Type="http://schemas.openxmlformats.org/officeDocument/2006/relationships/hyperlink" Target="https://www.facebook.com/rapplerdotcom/posts/pfbid02BCyyacWVuuu1bwX5PwYK8PvqDGTANxekqEMy7qyV9vMmaGKTbC8sBf7i5j3Wbx9Ll" TargetMode="External"/><Relationship Id="rId4919" Type="http://schemas.openxmlformats.org/officeDocument/2006/relationships/hyperlink" Target="https://www.facebook.com/rapplerdotcom/posts/pfbid02BCyyacWVuuu1bwX5PwYK8PvqDGTANxekqEMy7qyV9vMmaGKTbC8sBf7i5j3Wbx9Ll" TargetMode="External"/><Relationship Id="rId3612" Type="http://schemas.openxmlformats.org/officeDocument/2006/relationships/hyperlink" Target="https://www.facebook.com/rapplerdotcom/photos/a.317154781638645/5595372260483511/" TargetMode="External"/><Relationship Id="rId4943" Type="http://schemas.openxmlformats.org/officeDocument/2006/relationships/hyperlink" Target="https://www.facebook.com/rapplerdotcom/posts/pfbid02BCyyacWVuuu1bwX5PwYK8PvqDGTANxekqEMy7qyV9vMmaGKTbC8sBf7i5j3Wbx9Ll" TargetMode="External"/><Relationship Id="rId3611" Type="http://schemas.openxmlformats.org/officeDocument/2006/relationships/hyperlink" Target="https://www.facebook.com/irisjem.sanidad.9" TargetMode="External"/><Relationship Id="rId4942" Type="http://schemas.openxmlformats.org/officeDocument/2006/relationships/hyperlink" Target="https://www.facebook.com/pinedaRuda" TargetMode="External"/><Relationship Id="rId3614" Type="http://schemas.openxmlformats.org/officeDocument/2006/relationships/hyperlink" Target="https://www.facebook.com/rapplerdotcom/photos/a.317154781638645/5595372260483511/" TargetMode="External"/><Relationship Id="rId4945" Type="http://schemas.openxmlformats.org/officeDocument/2006/relationships/hyperlink" Target="https://www.facebook.com/rapplerdotcom/posts/pfbid02BCyyacWVuuu1bwX5PwYK8PvqDGTANxekqEMy7qyV9vMmaGKTbC8sBf7i5j3Wbx9Ll" TargetMode="External"/><Relationship Id="rId3613" Type="http://schemas.openxmlformats.org/officeDocument/2006/relationships/hyperlink" Target="https://www.facebook.com/202angelocruz" TargetMode="External"/><Relationship Id="rId4944" Type="http://schemas.openxmlformats.org/officeDocument/2006/relationships/hyperlink" Target="https://www.facebook.com/pangetkoh30" TargetMode="External"/><Relationship Id="rId3616" Type="http://schemas.openxmlformats.org/officeDocument/2006/relationships/hyperlink" Target="https://www.facebook.com/rapplerdotcom/photos/a.317154781638645/5595372260483511/" TargetMode="External"/><Relationship Id="rId4947" Type="http://schemas.openxmlformats.org/officeDocument/2006/relationships/hyperlink" Target="https://www.facebook.com/rapplerdotcom/posts/pfbid02BCyyacWVuuu1bwX5PwYK8PvqDGTANxekqEMy7qyV9vMmaGKTbC8sBf7i5j3Wbx9Ll" TargetMode="External"/><Relationship Id="rId3615" Type="http://schemas.openxmlformats.org/officeDocument/2006/relationships/hyperlink" Target="https://www.facebook.com/pepe.ledesma.7140" TargetMode="External"/><Relationship Id="rId4946" Type="http://schemas.openxmlformats.org/officeDocument/2006/relationships/hyperlink" Target="https://www.facebook.com/dawatanpaulo" TargetMode="External"/><Relationship Id="rId3618" Type="http://schemas.openxmlformats.org/officeDocument/2006/relationships/hyperlink" Target="https://www.facebook.com/rapplerdotcom/photos/a.317154781638645/5595372260483511/" TargetMode="External"/><Relationship Id="rId4949" Type="http://schemas.openxmlformats.org/officeDocument/2006/relationships/hyperlink" Target="https://www.facebook.com/rapplerdotcom/posts/pfbid02BCyyacWVuuu1bwX5PwYK8PvqDGTANxekqEMy7qyV9vMmaGKTbC8sBf7i5j3Wbx9Ll" TargetMode="External"/><Relationship Id="rId3617" Type="http://schemas.openxmlformats.org/officeDocument/2006/relationships/hyperlink" Target="https://www.facebook.com/dez.delmundosamson" TargetMode="External"/><Relationship Id="rId4948" Type="http://schemas.openxmlformats.org/officeDocument/2006/relationships/hyperlink" Target="https://www.facebook.com/melinda.santelices" TargetMode="External"/><Relationship Id="rId3619" Type="http://schemas.openxmlformats.org/officeDocument/2006/relationships/hyperlink" Target="https://www.facebook.com/dez.delmundosamson" TargetMode="External"/><Relationship Id="rId3610" Type="http://schemas.openxmlformats.org/officeDocument/2006/relationships/hyperlink" Target="https://www.facebook.com/rapplerdotcom/photos/a.317154781638645/5595372260483511/" TargetMode="External"/><Relationship Id="rId4941" Type="http://schemas.openxmlformats.org/officeDocument/2006/relationships/hyperlink" Target="https://www.facebook.com/rapplerdotcom/posts/pfbid02BCyyacWVuuu1bwX5PwYK8PvqDGTANxekqEMy7qyV9vMmaGKTbC8sBf7i5j3Wbx9Ll" TargetMode="External"/><Relationship Id="rId4940" Type="http://schemas.openxmlformats.org/officeDocument/2006/relationships/hyperlink" Target="https://www.facebook.com/melinda.santelices" TargetMode="External"/><Relationship Id="rId3601" Type="http://schemas.openxmlformats.org/officeDocument/2006/relationships/hyperlink" Target="https://www.facebook.com/claridad.delfin" TargetMode="External"/><Relationship Id="rId4932" Type="http://schemas.openxmlformats.org/officeDocument/2006/relationships/hyperlink" Target="https://www.facebook.com/profile.php?id=100061205663342" TargetMode="External"/><Relationship Id="rId3600" Type="http://schemas.openxmlformats.org/officeDocument/2006/relationships/hyperlink" Target="https://www.facebook.com/rapplerdotcom/photos/a.317154781638645/5595372260483511/" TargetMode="External"/><Relationship Id="rId4931" Type="http://schemas.openxmlformats.org/officeDocument/2006/relationships/hyperlink" Target="https://www.facebook.com/rapplerdotcom/posts/pfbid02BCyyacWVuuu1bwX5PwYK8PvqDGTANxekqEMy7qyV9vMmaGKTbC8sBf7i5j3Wbx9Ll" TargetMode="External"/><Relationship Id="rId3603" Type="http://schemas.openxmlformats.org/officeDocument/2006/relationships/hyperlink" Target="https://www.facebook.com/little.master.7792" TargetMode="External"/><Relationship Id="rId4934" Type="http://schemas.openxmlformats.org/officeDocument/2006/relationships/hyperlink" Target="https://www.facebook.com/ruben.musni" TargetMode="External"/><Relationship Id="rId3602" Type="http://schemas.openxmlformats.org/officeDocument/2006/relationships/hyperlink" Target="https://www.facebook.com/rapplerdotcom/photos/a.317154781638645/5595372260483511/" TargetMode="External"/><Relationship Id="rId4933" Type="http://schemas.openxmlformats.org/officeDocument/2006/relationships/hyperlink" Target="https://www.facebook.com/rapplerdotcom/posts/pfbid02BCyyacWVuuu1bwX5PwYK8PvqDGTANxekqEMy7qyV9vMmaGKTbC8sBf7i5j3Wbx9Ll" TargetMode="External"/><Relationship Id="rId3605" Type="http://schemas.openxmlformats.org/officeDocument/2006/relationships/hyperlink" Target="https://www.facebook.com/marlon.pumicpic" TargetMode="External"/><Relationship Id="rId4936" Type="http://schemas.openxmlformats.org/officeDocument/2006/relationships/hyperlink" Target="https://www.facebook.com/abetsuarez" TargetMode="External"/><Relationship Id="rId3604" Type="http://schemas.openxmlformats.org/officeDocument/2006/relationships/hyperlink" Target="https://www.facebook.com/rapplerdotcom/photos/a.317154781638645/5595372260483511/" TargetMode="External"/><Relationship Id="rId4935" Type="http://schemas.openxmlformats.org/officeDocument/2006/relationships/hyperlink" Target="https://www.facebook.com/rapplerdotcom/posts/pfbid02BCyyacWVuuu1bwX5PwYK8PvqDGTANxekqEMy7qyV9vMmaGKTbC8sBf7i5j3Wbx9Ll" TargetMode="External"/><Relationship Id="rId3607" Type="http://schemas.openxmlformats.org/officeDocument/2006/relationships/hyperlink" Target="https://www.facebook.com/profile.php?id=100079481263558" TargetMode="External"/><Relationship Id="rId4938" Type="http://schemas.openxmlformats.org/officeDocument/2006/relationships/hyperlink" Target="https://www.facebook.com/carlos.ligan" TargetMode="External"/><Relationship Id="rId3606" Type="http://schemas.openxmlformats.org/officeDocument/2006/relationships/hyperlink" Target="https://www.facebook.com/rapplerdotcom/photos/a.317154781638645/5595372260483511/" TargetMode="External"/><Relationship Id="rId4937" Type="http://schemas.openxmlformats.org/officeDocument/2006/relationships/hyperlink" Target="https://www.facebook.com/rapplerdotcom/posts/pfbid02BCyyacWVuuu1bwX5PwYK8PvqDGTANxekqEMy7qyV9vMmaGKTbC8sBf7i5j3Wbx9Ll" TargetMode="External"/><Relationship Id="rId3609" Type="http://schemas.openxmlformats.org/officeDocument/2006/relationships/hyperlink" Target="https://www.facebook.com/jeanpaul.jazmin" TargetMode="External"/><Relationship Id="rId3608" Type="http://schemas.openxmlformats.org/officeDocument/2006/relationships/hyperlink" Target="https://www.facebook.com/rapplerdotcom/photos/a.317154781638645/5595372260483511/" TargetMode="External"/><Relationship Id="rId4939" Type="http://schemas.openxmlformats.org/officeDocument/2006/relationships/hyperlink" Target="https://www.facebook.com/rapplerdotcom/posts/pfbid02BCyyacWVuuu1bwX5PwYK8PvqDGTANxekqEMy7qyV9vMmaGKTbC8sBf7i5j3Wbx9Ll" TargetMode="External"/><Relationship Id="rId4930" Type="http://schemas.openxmlformats.org/officeDocument/2006/relationships/hyperlink" Target="https://www.facebook.com/rolen.danque" TargetMode="External"/><Relationship Id="rId1059" Type="http://schemas.openxmlformats.org/officeDocument/2006/relationships/hyperlink" Target="https://www.facebook.com/lou.vega.16" TargetMode="External"/><Relationship Id="rId2380" Type="http://schemas.openxmlformats.org/officeDocument/2006/relationships/hyperlink" Target="https://www.facebook.com/rapplerdotcom/posts/pfbid0TYP6syjYwznxJKdhWv9YMaXK9NvsSEhQ2cyyCQCPMvGapWXrQBHehywgT156wqNPl" TargetMode="External"/><Relationship Id="rId1050" Type="http://schemas.openxmlformats.org/officeDocument/2006/relationships/hyperlink" Target="https://www.facebook.com/rapplerdotcom/posts/pfbid028Kg188FmebKa4aFvHZNp8zGTwjghWDDJuUmQ8agbSCvGAGJHZ7pBH9NmxLBmPZZdl" TargetMode="External"/><Relationship Id="rId2381" Type="http://schemas.openxmlformats.org/officeDocument/2006/relationships/hyperlink" Target="https://www.facebook.com/nyx.deleon" TargetMode="External"/><Relationship Id="rId1051" Type="http://schemas.openxmlformats.org/officeDocument/2006/relationships/hyperlink" Target="https://www.facebook.com/marc.sagad.1" TargetMode="External"/><Relationship Id="rId2382" Type="http://schemas.openxmlformats.org/officeDocument/2006/relationships/hyperlink" Target="https://www.facebook.com/rapplerdotcom/posts/pfbid0TYP6syjYwznxJKdhWv9YMaXK9NvsSEhQ2cyyCQCPMvGapWXrQBHehywgT156wqNPl" TargetMode="External"/><Relationship Id="rId1052" Type="http://schemas.openxmlformats.org/officeDocument/2006/relationships/hyperlink" Target="https://www.facebook.com/rapplerdotcom/posts/pfbid028Kg188FmebKa4aFvHZNp8zGTwjghWDDJuUmQ8agbSCvGAGJHZ7pBH9NmxLBmPZZdl" TargetMode="External"/><Relationship Id="rId2383" Type="http://schemas.openxmlformats.org/officeDocument/2006/relationships/hyperlink" Target="https://www.facebook.com/janlo" TargetMode="External"/><Relationship Id="rId1053" Type="http://schemas.openxmlformats.org/officeDocument/2006/relationships/hyperlink" Target="https://www.facebook.com/molinoqueensrowlenikikosupporters" TargetMode="External"/><Relationship Id="rId2384" Type="http://schemas.openxmlformats.org/officeDocument/2006/relationships/hyperlink" Target="https://www.facebook.com/rapplerdotcom/posts/pfbid0TYP6syjYwznxJKdhWv9YMaXK9NvsSEhQ2cyyCQCPMvGapWXrQBHehywgT156wqNPl" TargetMode="External"/><Relationship Id="rId1054" Type="http://schemas.openxmlformats.org/officeDocument/2006/relationships/hyperlink" Target="https://www.facebook.com/rapplerdotcom/posts/pfbid028Kg188FmebKa4aFvHZNp8zGTwjghWDDJuUmQ8agbSCvGAGJHZ7pBH9NmxLBmPZZdl" TargetMode="External"/><Relationship Id="rId2385" Type="http://schemas.openxmlformats.org/officeDocument/2006/relationships/hyperlink" Target="https://www.facebook.com/scott.wuming" TargetMode="External"/><Relationship Id="rId1055" Type="http://schemas.openxmlformats.org/officeDocument/2006/relationships/hyperlink" Target="https://www.facebook.com/jening.martinez" TargetMode="External"/><Relationship Id="rId2386" Type="http://schemas.openxmlformats.org/officeDocument/2006/relationships/hyperlink" Target="https://www.facebook.com/rapplerdotcom/posts/pfbid0TYP6syjYwznxJKdhWv9YMaXK9NvsSEhQ2cyyCQCPMvGapWXrQBHehywgT156wqNPl" TargetMode="External"/><Relationship Id="rId1056" Type="http://schemas.openxmlformats.org/officeDocument/2006/relationships/hyperlink" Target="https://www.facebook.com/rapplerdotcom/posts/pfbid028Kg188FmebKa4aFvHZNp8zGTwjghWDDJuUmQ8agbSCvGAGJHZ7pBH9NmxLBmPZZdl" TargetMode="External"/><Relationship Id="rId2387" Type="http://schemas.openxmlformats.org/officeDocument/2006/relationships/hyperlink" Target="https://www.facebook.com/profile.php?id=100077324863738" TargetMode="External"/><Relationship Id="rId1057" Type="http://schemas.openxmlformats.org/officeDocument/2006/relationships/hyperlink" Target="https://www.facebook.com/danilomorales.dan" TargetMode="External"/><Relationship Id="rId2388" Type="http://schemas.openxmlformats.org/officeDocument/2006/relationships/hyperlink" Target="https://www.facebook.com/rapplerdotcom/posts/pfbid0TYP6syjYwznxJKdhWv9YMaXK9NvsSEhQ2cyyCQCPMvGapWXrQBHehywgT156wqNPl" TargetMode="External"/><Relationship Id="rId1058" Type="http://schemas.openxmlformats.org/officeDocument/2006/relationships/hyperlink" Target="https://www.facebook.com/rapplerdotcom/posts/pfbid028Kg188FmebKa4aFvHZNp8zGTwjghWDDJuUmQ8agbSCvGAGJHZ7pBH9NmxLBmPZZdl" TargetMode="External"/><Relationship Id="rId2389" Type="http://schemas.openxmlformats.org/officeDocument/2006/relationships/hyperlink" Target="https://www.facebook.com/maryrose.t.zamora" TargetMode="External"/><Relationship Id="rId1048" Type="http://schemas.openxmlformats.org/officeDocument/2006/relationships/hyperlink" Target="https://www.facebook.com/rapplerdotcom/posts/pfbid028Kg188FmebKa4aFvHZNp8zGTwjghWDDJuUmQ8agbSCvGAGJHZ7pBH9NmxLBmPZZdl" TargetMode="External"/><Relationship Id="rId2379" Type="http://schemas.openxmlformats.org/officeDocument/2006/relationships/hyperlink" Target="https://www.facebook.com/scott.wuming" TargetMode="External"/><Relationship Id="rId1049" Type="http://schemas.openxmlformats.org/officeDocument/2006/relationships/hyperlink" Target="https://www.facebook.com/edna.morita" TargetMode="External"/><Relationship Id="rId2370" Type="http://schemas.openxmlformats.org/officeDocument/2006/relationships/hyperlink" Target="https://www.facebook.com/rapplerdotcom/posts/pfbid0TYP6syjYwznxJKdhWv9YMaXK9NvsSEhQ2cyyCQCPMvGapWXrQBHehywgT156wqNPl" TargetMode="External"/><Relationship Id="rId1040" Type="http://schemas.openxmlformats.org/officeDocument/2006/relationships/hyperlink" Target="https://www.facebook.com/rapplerdotcom/photos/a.317154781638645/5597592673594803/" TargetMode="External"/><Relationship Id="rId2371" Type="http://schemas.openxmlformats.org/officeDocument/2006/relationships/hyperlink" Target="https://www.facebook.com/profile.php?id=100078461366052" TargetMode="External"/><Relationship Id="rId1041" Type="http://schemas.openxmlformats.org/officeDocument/2006/relationships/hyperlink" Target="https://www.facebook.com/angelitoljaojr" TargetMode="External"/><Relationship Id="rId2372" Type="http://schemas.openxmlformats.org/officeDocument/2006/relationships/hyperlink" Target="https://www.facebook.com/rapplerdotcom/posts/pfbid0TYP6syjYwznxJKdhWv9YMaXK9NvsSEhQ2cyyCQCPMvGapWXrQBHehywgT156wqNPl" TargetMode="External"/><Relationship Id="rId1042" Type="http://schemas.openxmlformats.org/officeDocument/2006/relationships/hyperlink" Target="https://www.facebook.com/rapplerdotcom/photos/a.317154781638645/5597592673594803/" TargetMode="External"/><Relationship Id="rId2373" Type="http://schemas.openxmlformats.org/officeDocument/2006/relationships/hyperlink" Target="https://www.facebook.com/juliette.faith" TargetMode="External"/><Relationship Id="rId1043" Type="http://schemas.openxmlformats.org/officeDocument/2006/relationships/hyperlink" Target="https://www.facebook.com/danielle.jacque.5" TargetMode="External"/><Relationship Id="rId2374" Type="http://schemas.openxmlformats.org/officeDocument/2006/relationships/hyperlink" Target="https://www.facebook.com/rapplerdotcom/posts/pfbid0TYP6syjYwznxJKdhWv9YMaXK9NvsSEhQ2cyyCQCPMvGapWXrQBHehywgT156wqNPl" TargetMode="External"/><Relationship Id="rId1044" Type="http://schemas.openxmlformats.org/officeDocument/2006/relationships/hyperlink" Target="https://www.facebook.com/rapplerdotcom/photos/a.317154781638645/5597592673594803/" TargetMode="External"/><Relationship Id="rId2375" Type="http://schemas.openxmlformats.org/officeDocument/2006/relationships/hyperlink" Target="https://www.facebook.com/earl.liquigan" TargetMode="External"/><Relationship Id="rId1045" Type="http://schemas.openxmlformats.org/officeDocument/2006/relationships/hyperlink" Target="https://www.facebook.com/julia.seminio" TargetMode="External"/><Relationship Id="rId2376" Type="http://schemas.openxmlformats.org/officeDocument/2006/relationships/hyperlink" Target="https://www.facebook.com/rapplerdotcom/posts/pfbid0TYP6syjYwznxJKdhWv9YMaXK9NvsSEhQ2cyyCQCPMvGapWXrQBHehywgT156wqNPl" TargetMode="External"/><Relationship Id="rId1046" Type="http://schemas.openxmlformats.org/officeDocument/2006/relationships/hyperlink" Target="https://www.facebook.com/rapplerdotcom/posts/pfbid028Kg188FmebKa4aFvHZNp8zGTwjghWDDJuUmQ8agbSCvGAGJHZ7pBH9NmxLBmPZZdl" TargetMode="External"/><Relationship Id="rId2377" Type="http://schemas.openxmlformats.org/officeDocument/2006/relationships/hyperlink" Target="https://www.facebook.com/profile.php?id=100064228440132" TargetMode="External"/><Relationship Id="rId1047" Type="http://schemas.openxmlformats.org/officeDocument/2006/relationships/hyperlink" Target="https://www.facebook.com/profile.php?id=100011366202531" TargetMode="External"/><Relationship Id="rId2378" Type="http://schemas.openxmlformats.org/officeDocument/2006/relationships/hyperlink" Target="https://www.facebook.com/rapplerdotcom/posts/pfbid0TYP6syjYwznxJKdhWv9YMaXK9NvsSEhQ2cyyCQCPMvGapWXrQBHehywgT156wqNPl" TargetMode="External"/><Relationship Id="rId1070" Type="http://schemas.openxmlformats.org/officeDocument/2006/relationships/hyperlink" Target="https://www.facebook.com/rapplerdotcom/posts/pfbid028Kg188FmebKa4aFvHZNp8zGTwjghWDDJuUmQ8agbSCvGAGJHZ7pBH9NmxLBmPZZdl" TargetMode="External"/><Relationship Id="rId1071" Type="http://schemas.openxmlformats.org/officeDocument/2006/relationships/hyperlink" Target="https://www.facebook.com/ed.tangarcia" TargetMode="External"/><Relationship Id="rId1072" Type="http://schemas.openxmlformats.org/officeDocument/2006/relationships/hyperlink" Target="https://www.facebook.com/rapplerdotcom/posts/pfbid028Kg188FmebKa4aFvHZNp8zGTwjghWDDJuUmQ8agbSCvGAGJHZ7pBH9NmxLBmPZZdl" TargetMode="External"/><Relationship Id="rId1073" Type="http://schemas.openxmlformats.org/officeDocument/2006/relationships/hyperlink" Target="https://www.facebook.com/ruben.mallari" TargetMode="External"/><Relationship Id="rId1074" Type="http://schemas.openxmlformats.org/officeDocument/2006/relationships/hyperlink" Target="https://www.facebook.com/rapplerdotcom/posts/pfbid028Kg188FmebKa4aFvHZNp8zGTwjghWDDJuUmQ8agbSCvGAGJHZ7pBH9NmxLBmPZZdl" TargetMode="External"/><Relationship Id="rId1075" Type="http://schemas.openxmlformats.org/officeDocument/2006/relationships/hyperlink" Target="https://www.facebook.com/eddie.llanora" TargetMode="External"/><Relationship Id="rId1076" Type="http://schemas.openxmlformats.org/officeDocument/2006/relationships/hyperlink" Target="https://www.facebook.com/rapplerdotcom/posts/pfbid028Kg188FmebKa4aFvHZNp8zGTwjghWDDJuUmQ8agbSCvGAGJHZ7pBH9NmxLBmPZZdl" TargetMode="External"/><Relationship Id="rId1077" Type="http://schemas.openxmlformats.org/officeDocument/2006/relationships/hyperlink" Target="https://www.facebook.com/elgar.veril" TargetMode="External"/><Relationship Id="rId1078" Type="http://schemas.openxmlformats.org/officeDocument/2006/relationships/hyperlink" Target="https://www.facebook.com/rapplerdotcom/posts/pfbid028Kg188FmebKa4aFvHZNp8zGTwjghWDDJuUmQ8agbSCvGAGJHZ7pBH9NmxLBmPZZdl" TargetMode="External"/><Relationship Id="rId1079" Type="http://schemas.openxmlformats.org/officeDocument/2006/relationships/hyperlink" Target="https://www.facebook.com/profile.php?id=100028593196825" TargetMode="External"/><Relationship Id="rId2390" Type="http://schemas.openxmlformats.org/officeDocument/2006/relationships/hyperlink" Target="https://www.facebook.com/rapplerdotcom/posts/pfbid0TYP6syjYwznxJKdhWv9YMaXK9NvsSEhQ2cyyCQCPMvGapWXrQBHehywgT156wqNPl" TargetMode="External"/><Relationship Id="rId1060" Type="http://schemas.openxmlformats.org/officeDocument/2006/relationships/hyperlink" Target="https://www.facebook.com/rapplerdotcom/posts/pfbid028Kg188FmebKa4aFvHZNp8zGTwjghWDDJuUmQ8agbSCvGAGJHZ7pBH9NmxLBmPZZdl" TargetMode="External"/><Relationship Id="rId2391" Type="http://schemas.openxmlformats.org/officeDocument/2006/relationships/hyperlink" Target="https://www.facebook.com/tonitz.pepito" TargetMode="External"/><Relationship Id="rId1061" Type="http://schemas.openxmlformats.org/officeDocument/2006/relationships/hyperlink" Target="https://www.facebook.com/danilomorales.dan" TargetMode="External"/><Relationship Id="rId2392" Type="http://schemas.openxmlformats.org/officeDocument/2006/relationships/hyperlink" Target="https://www.facebook.com/rapplerdotcom/posts/pfbid0TYP6syjYwznxJKdhWv9YMaXK9NvsSEhQ2cyyCQCPMvGapWXrQBHehywgT156wqNPl" TargetMode="External"/><Relationship Id="rId1062" Type="http://schemas.openxmlformats.org/officeDocument/2006/relationships/hyperlink" Target="https://www.facebook.com/rapplerdotcom/posts/pfbid028Kg188FmebKa4aFvHZNp8zGTwjghWDDJuUmQ8agbSCvGAGJHZ7pBH9NmxLBmPZZdl" TargetMode="External"/><Relationship Id="rId2393" Type="http://schemas.openxmlformats.org/officeDocument/2006/relationships/hyperlink" Target="https://www.facebook.com/mae.empal" TargetMode="External"/><Relationship Id="rId1063" Type="http://schemas.openxmlformats.org/officeDocument/2006/relationships/hyperlink" Target="https://www.facebook.com/noli.palmero" TargetMode="External"/><Relationship Id="rId2394" Type="http://schemas.openxmlformats.org/officeDocument/2006/relationships/hyperlink" Target="https://www.facebook.com/rapplerdotcom/posts/pfbid0TYP6syjYwznxJKdhWv9YMaXK9NvsSEhQ2cyyCQCPMvGapWXrQBHehywgT156wqNPl" TargetMode="External"/><Relationship Id="rId1064" Type="http://schemas.openxmlformats.org/officeDocument/2006/relationships/hyperlink" Target="https://www.facebook.com/rapplerdotcom/posts/pfbid028Kg188FmebKa4aFvHZNp8zGTwjghWDDJuUmQ8agbSCvGAGJHZ7pBH9NmxLBmPZZdl" TargetMode="External"/><Relationship Id="rId2395" Type="http://schemas.openxmlformats.org/officeDocument/2006/relationships/hyperlink" Target="https://www.facebook.com/profile.php?id=100001497297306" TargetMode="External"/><Relationship Id="rId1065" Type="http://schemas.openxmlformats.org/officeDocument/2006/relationships/hyperlink" Target="https://www.facebook.com/dionisio.salmorin" TargetMode="External"/><Relationship Id="rId2396" Type="http://schemas.openxmlformats.org/officeDocument/2006/relationships/hyperlink" Target="https://www.facebook.com/rapplerdotcom/posts/pfbid0TYP6syjYwznxJKdhWv9YMaXK9NvsSEhQ2cyyCQCPMvGapWXrQBHehywgT156wqNPl" TargetMode="External"/><Relationship Id="rId1066" Type="http://schemas.openxmlformats.org/officeDocument/2006/relationships/hyperlink" Target="https://www.facebook.com/rapplerdotcom/posts/pfbid028Kg188FmebKa4aFvHZNp8zGTwjghWDDJuUmQ8agbSCvGAGJHZ7pBH9NmxLBmPZZdl" TargetMode="External"/><Relationship Id="rId2397" Type="http://schemas.openxmlformats.org/officeDocument/2006/relationships/hyperlink" Target="https://www.facebook.com/profile.php?id=100004736566728" TargetMode="External"/><Relationship Id="rId1067" Type="http://schemas.openxmlformats.org/officeDocument/2006/relationships/hyperlink" Target="https://www.facebook.com/marissa.cadacio" TargetMode="External"/><Relationship Id="rId2398" Type="http://schemas.openxmlformats.org/officeDocument/2006/relationships/hyperlink" Target="https://www.facebook.com/rapplerdotcom/posts/pfbid0TYP6syjYwznxJKdhWv9YMaXK9NvsSEhQ2cyyCQCPMvGapWXrQBHehywgT156wqNPl" TargetMode="External"/><Relationship Id="rId1068" Type="http://schemas.openxmlformats.org/officeDocument/2006/relationships/hyperlink" Target="https://www.facebook.com/rapplerdotcom/posts/pfbid028Kg188FmebKa4aFvHZNp8zGTwjghWDDJuUmQ8agbSCvGAGJHZ7pBH9NmxLBmPZZdl" TargetMode="External"/><Relationship Id="rId2399" Type="http://schemas.openxmlformats.org/officeDocument/2006/relationships/hyperlink" Target="https://www.facebook.com/mitzinorona" TargetMode="External"/><Relationship Id="rId1069" Type="http://schemas.openxmlformats.org/officeDocument/2006/relationships/hyperlink" Target="https://www.facebook.com/chelle.alvarez.581" TargetMode="External"/><Relationship Id="rId1015" Type="http://schemas.openxmlformats.org/officeDocument/2006/relationships/hyperlink" Target="https://www.facebook.com/jun.osorio.12" TargetMode="External"/><Relationship Id="rId2346" Type="http://schemas.openxmlformats.org/officeDocument/2006/relationships/hyperlink" Target="https://www.facebook.com/rapplerdotcom/posts/pfbid0TYP6syjYwznxJKdhWv9YMaXK9NvsSEhQ2cyyCQCPMvGapWXrQBHehywgT156wqNPl" TargetMode="External"/><Relationship Id="rId3678" Type="http://schemas.openxmlformats.org/officeDocument/2006/relationships/hyperlink" Target="https://www.facebook.com/rapplerdotcom/photos/a.317154781638645/5595162900504447/" TargetMode="External"/><Relationship Id="rId1016" Type="http://schemas.openxmlformats.org/officeDocument/2006/relationships/hyperlink" Target="https://www.facebook.com/rapplerdotcom/photos/a.317154781638645/5597592673594803/" TargetMode="External"/><Relationship Id="rId2347" Type="http://schemas.openxmlformats.org/officeDocument/2006/relationships/hyperlink" Target="https://www.facebook.com/ajejejejejelly" TargetMode="External"/><Relationship Id="rId3677" Type="http://schemas.openxmlformats.org/officeDocument/2006/relationships/hyperlink" Target="https://www.facebook.com/profile.php?id=100076244510404" TargetMode="External"/><Relationship Id="rId1017" Type="http://schemas.openxmlformats.org/officeDocument/2006/relationships/hyperlink" Target="https://www.facebook.com/profile.php?id=100078787512312" TargetMode="External"/><Relationship Id="rId2348" Type="http://schemas.openxmlformats.org/officeDocument/2006/relationships/hyperlink" Target="https://www.facebook.com/rapplerdotcom/posts/pfbid0TYP6syjYwznxJKdhWv9YMaXK9NvsSEhQ2cyyCQCPMvGapWXrQBHehywgT156wqNPl" TargetMode="External"/><Relationship Id="rId1018" Type="http://schemas.openxmlformats.org/officeDocument/2006/relationships/hyperlink" Target="https://www.facebook.com/rapplerdotcom/photos/a.317154781638645/5597592673594803/" TargetMode="External"/><Relationship Id="rId2349" Type="http://schemas.openxmlformats.org/officeDocument/2006/relationships/hyperlink" Target="https://www.facebook.com/christinejoy.cabrera.92" TargetMode="External"/><Relationship Id="rId3679" Type="http://schemas.openxmlformats.org/officeDocument/2006/relationships/hyperlink" Target="https://www.facebook.com/rolan.conos" TargetMode="External"/><Relationship Id="rId1019" Type="http://schemas.openxmlformats.org/officeDocument/2006/relationships/hyperlink" Target="https://www.facebook.com/gary.garcia.357" TargetMode="External"/><Relationship Id="rId3670" Type="http://schemas.openxmlformats.org/officeDocument/2006/relationships/hyperlink" Target="https://www.facebook.com/rapplerdotcom/photos/a.317154781638645/5595162900504447/" TargetMode="External"/><Relationship Id="rId2340" Type="http://schemas.openxmlformats.org/officeDocument/2006/relationships/hyperlink" Target="https://www.facebook.com/rapplerdotcom/posts/pfbid0TYP6syjYwznxJKdhWv9YMaXK9NvsSEhQ2cyyCQCPMvGapWXrQBHehywgT156wqNPl" TargetMode="External"/><Relationship Id="rId3672" Type="http://schemas.openxmlformats.org/officeDocument/2006/relationships/hyperlink" Target="https://www.facebook.com/rapplerdotcom/photos/a.317154781638645/5595162900504447/" TargetMode="External"/><Relationship Id="rId1010" Type="http://schemas.openxmlformats.org/officeDocument/2006/relationships/hyperlink" Target="https://www.facebook.com/rapplerdotcom/photos/a.317154781638645/5597592673594803/" TargetMode="External"/><Relationship Id="rId2341" Type="http://schemas.openxmlformats.org/officeDocument/2006/relationships/hyperlink" Target="https://www.facebook.com/ventura.mariejane" TargetMode="External"/><Relationship Id="rId3671" Type="http://schemas.openxmlformats.org/officeDocument/2006/relationships/hyperlink" Target="https://www.facebook.com/jimmy.ballesteros" TargetMode="External"/><Relationship Id="rId1011" Type="http://schemas.openxmlformats.org/officeDocument/2006/relationships/hyperlink" Target="https://www.facebook.com/abaco.charrie.3" TargetMode="External"/><Relationship Id="rId2342" Type="http://schemas.openxmlformats.org/officeDocument/2006/relationships/hyperlink" Target="https://www.facebook.com/rapplerdotcom/posts/pfbid0TYP6syjYwznxJKdhWv9YMaXK9NvsSEhQ2cyyCQCPMvGapWXrQBHehywgT156wqNPl" TargetMode="External"/><Relationship Id="rId3674" Type="http://schemas.openxmlformats.org/officeDocument/2006/relationships/hyperlink" Target="https://www.facebook.com/rapplerdotcom/photos/a.317154781638645/5595162900504447/" TargetMode="External"/><Relationship Id="rId1012" Type="http://schemas.openxmlformats.org/officeDocument/2006/relationships/hyperlink" Target="https://www.facebook.com/rapplerdotcom/photos/a.317154781638645/5597592673594803/" TargetMode="External"/><Relationship Id="rId2343" Type="http://schemas.openxmlformats.org/officeDocument/2006/relationships/hyperlink" Target="https://www.facebook.com/ditas.ravanilla" TargetMode="External"/><Relationship Id="rId3673" Type="http://schemas.openxmlformats.org/officeDocument/2006/relationships/hyperlink" Target="https://www.facebook.com/celia.menaje" TargetMode="External"/><Relationship Id="rId1013" Type="http://schemas.openxmlformats.org/officeDocument/2006/relationships/hyperlink" Target="https://www.facebook.com/erwin.aquino.5249349" TargetMode="External"/><Relationship Id="rId2344" Type="http://schemas.openxmlformats.org/officeDocument/2006/relationships/hyperlink" Target="https://www.facebook.com/rapplerdotcom/posts/pfbid0TYP6syjYwznxJKdhWv9YMaXK9NvsSEhQ2cyyCQCPMvGapWXrQBHehywgT156wqNPl" TargetMode="External"/><Relationship Id="rId3676" Type="http://schemas.openxmlformats.org/officeDocument/2006/relationships/hyperlink" Target="https://www.facebook.com/rapplerdotcom/photos/a.317154781638645/5595162900504447/" TargetMode="External"/><Relationship Id="rId1014" Type="http://schemas.openxmlformats.org/officeDocument/2006/relationships/hyperlink" Target="https://www.facebook.com/rapplerdotcom/photos/a.317154781638645/5597592673594803/" TargetMode="External"/><Relationship Id="rId2345" Type="http://schemas.openxmlformats.org/officeDocument/2006/relationships/hyperlink" Target="https://www.facebook.com/felicidad.lala.7" TargetMode="External"/><Relationship Id="rId3675" Type="http://schemas.openxmlformats.org/officeDocument/2006/relationships/hyperlink" Target="https://www.facebook.com/alma.deguzman.5891" TargetMode="External"/><Relationship Id="rId1004" Type="http://schemas.openxmlformats.org/officeDocument/2006/relationships/hyperlink" Target="https://www.facebook.com/rapplerdotcom/photos/a.317154781638645/5597592673594803/" TargetMode="External"/><Relationship Id="rId2335" Type="http://schemas.openxmlformats.org/officeDocument/2006/relationships/hyperlink" Target="https://www.facebook.com/marite513" TargetMode="External"/><Relationship Id="rId3667" Type="http://schemas.openxmlformats.org/officeDocument/2006/relationships/hyperlink" Target="https://www.facebook.com/jf.ortega.9" TargetMode="External"/><Relationship Id="rId4998" Type="http://schemas.openxmlformats.org/officeDocument/2006/relationships/hyperlink" Target="https://www.facebook.com/profile.php?id=100012069823437" TargetMode="External"/><Relationship Id="rId1005" Type="http://schemas.openxmlformats.org/officeDocument/2006/relationships/hyperlink" Target="https://www.facebook.com/jenelyn.balili.31" TargetMode="External"/><Relationship Id="rId2336" Type="http://schemas.openxmlformats.org/officeDocument/2006/relationships/hyperlink" Target="https://www.facebook.com/rapplerdotcom/posts/pfbid0TYP6syjYwznxJKdhWv9YMaXK9NvsSEhQ2cyyCQCPMvGapWXrQBHehywgT156wqNPl" TargetMode="External"/><Relationship Id="rId3666" Type="http://schemas.openxmlformats.org/officeDocument/2006/relationships/hyperlink" Target="https://www.facebook.com/rapplerdotcom/photos/a.317154781638645/5595372260483511/" TargetMode="External"/><Relationship Id="rId4997" Type="http://schemas.openxmlformats.org/officeDocument/2006/relationships/hyperlink" Target="https://www.facebook.com/rapplerdotcom/posts/pfbid02BCyyacWVuuu1bwX5PwYK8PvqDGTANxekqEMy7qyV9vMmaGKTbC8sBf7i5j3Wbx9Ll" TargetMode="External"/><Relationship Id="rId1006" Type="http://schemas.openxmlformats.org/officeDocument/2006/relationships/hyperlink" Target="https://www.facebook.com/rapplerdotcom/photos/a.317154781638645/5597592673594803/" TargetMode="External"/><Relationship Id="rId2337" Type="http://schemas.openxmlformats.org/officeDocument/2006/relationships/hyperlink" Target="https://www.facebook.com/siguenza.med96" TargetMode="External"/><Relationship Id="rId3669" Type="http://schemas.openxmlformats.org/officeDocument/2006/relationships/hyperlink" Target="https://www.facebook.com/ngorab.ngidnam" TargetMode="External"/><Relationship Id="rId1007" Type="http://schemas.openxmlformats.org/officeDocument/2006/relationships/hyperlink" Target="https://www.facebook.com/recel.romero.18" TargetMode="External"/><Relationship Id="rId2338" Type="http://schemas.openxmlformats.org/officeDocument/2006/relationships/hyperlink" Target="https://www.facebook.com/rapplerdotcom/posts/pfbid0TYP6syjYwznxJKdhWv9YMaXK9NvsSEhQ2cyyCQCPMvGapWXrQBHehywgT156wqNPl" TargetMode="External"/><Relationship Id="rId3668" Type="http://schemas.openxmlformats.org/officeDocument/2006/relationships/hyperlink" Target="https://www.facebook.com/rapplerdotcom/photos/a.317154781638645/5595162900504447/" TargetMode="External"/><Relationship Id="rId4999" Type="http://schemas.openxmlformats.org/officeDocument/2006/relationships/hyperlink" Target="https://www.facebook.com/rapplerdotcom/posts/pfbid02BCyyacWVuuu1bwX5PwYK8PvqDGTANxekqEMy7qyV9vMmaGKTbC8sBf7i5j3Wbx9Ll" TargetMode="External"/><Relationship Id="rId1008" Type="http://schemas.openxmlformats.org/officeDocument/2006/relationships/hyperlink" Target="https://www.facebook.com/rapplerdotcom/photos/a.317154781638645/5597592673594803/" TargetMode="External"/><Relationship Id="rId2339" Type="http://schemas.openxmlformats.org/officeDocument/2006/relationships/hyperlink" Target="https://www.facebook.com/myyaJrosales" TargetMode="External"/><Relationship Id="rId1009" Type="http://schemas.openxmlformats.org/officeDocument/2006/relationships/hyperlink" Target="https://www.facebook.com/rndllbailey" TargetMode="External"/><Relationship Id="rId4990" Type="http://schemas.openxmlformats.org/officeDocument/2006/relationships/hyperlink" Target="https://www.facebook.com/tiu.ag" TargetMode="External"/><Relationship Id="rId3661" Type="http://schemas.openxmlformats.org/officeDocument/2006/relationships/hyperlink" Target="https://www.facebook.com/malikbin6.581730" TargetMode="External"/><Relationship Id="rId4992" Type="http://schemas.openxmlformats.org/officeDocument/2006/relationships/hyperlink" Target="https://www.facebook.com/Bosx.Mikel" TargetMode="External"/><Relationship Id="rId2330" Type="http://schemas.openxmlformats.org/officeDocument/2006/relationships/hyperlink" Target="https://www.facebook.com/rapplerdotcom/posts/pfbid0TYP6syjYwznxJKdhWv9YMaXK9NvsSEhQ2cyyCQCPMvGapWXrQBHehywgT156wqNPl" TargetMode="External"/><Relationship Id="rId3660" Type="http://schemas.openxmlformats.org/officeDocument/2006/relationships/hyperlink" Target="https://www.facebook.com/rapplerdotcom/photos/a.317154781638645/5595372260483511/" TargetMode="External"/><Relationship Id="rId4991" Type="http://schemas.openxmlformats.org/officeDocument/2006/relationships/hyperlink" Target="https://www.facebook.com/rapplerdotcom/posts/pfbid02BCyyacWVuuu1bwX5PwYK8PvqDGTANxekqEMy7qyV9vMmaGKTbC8sBf7i5j3Wbx9Ll" TargetMode="External"/><Relationship Id="rId1000" Type="http://schemas.openxmlformats.org/officeDocument/2006/relationships/hyperlink" Target="https://www.facebook.com/rapplerdotcom/photos/a.317154781638645/5597592673594803/" TargetMode="External"/><Relationship Id="rId2331" Type="http://schemas.openxmlformats.org/officeDocument/2006/relationships/hyperlink" Target="https://www.facebook.com/profile.php?id=100075207451456" TargetMode="External"/><Relationship Id="rId3663" Type="http://schemas.openxmlformats.org/officeDocument/2006/relationships/hyperlink" Target="https://www.facebook.com/yvic.delapena" TargetMode="External"/><Relationship Id="rId4994" Type="http://schemas.openxmlformats.org/officeDocument/2006/relationships/hyperlink" Target="https://www.facebook.com/john.p.garsula" TargetMode="External"/><Relationship Id="rId1001" Type="http://schemas.openxmlformats.org/officeDocument/2006/relationships/hyperlink" Target="https://www.facebook.com/profile.php?id=100079476013075" TargetMode="External"/><Relationship Id="rId2332" Type="http://schemas.openxmlformats.org/officeDocument/2006/relationships/hyperlink" Target="https://www.facebook.com/rapplerdotcom/posts/pfbid0TYP6syjYwznxJKdhWv9YMaXK9NvsSEhQ2cyyCQCPMvGapWXrQBHehywgT156wqNPl" TargetMode="External"/><Relationship Id="rId3662" Type="http://schemas.openxmlformats.org/officeDocument/2006/relationships/hyperlink" Target="https://www.facebook.com/rapplerdotcom/photos/a.317154781638645/5595372260483511/" TargetMode="External"/><Relationship Id="rId4993" Type="http://schemas.openxmlformats.org/officeDocument/2006/relationships/hyperlink" Target="https://www.facebook.com/rapplerdotcom/posts/pfbid02BCyyacWVuuu1bwX5PwYK8PvqDGTANxekqEMy7qyV9vMmaGKTbC8sBf7i5j3Wbx9Ll" TargetMode="External"/><Relationship Id="rId1002" Type="http://schemas.openxmlformats.org/officeDocument/2006/relationships/hyperlink" Target="https://www.facebook.com/rapplerdotcom/photos/a.317154781638645/5597592673594803/" TargetMode="External"/><Relationship Id="rId2333" Type="http://schemas.openxmlformats.org/officeDocument/2006/relationships/hyperlink" Target="https://www.facebook.com/legong.banez.9" TargetMode="External"/><Relationship Id="rId3665" Type="http://schemas.openxmlformats.org/officeDocument/2006/relationships/hyperlink" Target="https://www.facebook.com/xtudie" TargetMode="External"/><Relationship Id="rId4996" Type="http://schemas.openxmlformats.org/officeDocument/2006/relationships/hyperlink" Target="https://www.facebook.com/tiu.ag" TargetMode="External"/><Relationship Id="rId1003" Type="http://schemas.openxmlformats.org/officeDocument/2006/relationships/hyperlink" Target="https://www.facebook.com/profile.php?id=100079476013075" TargetMode="External"/><Relationship Id="rId2334" Type="http://schemas.openxmlformats.org/officeDocument/2006/relationships/hyperlink" Target="https://www.facebook.com/rapplerdotcom/posts/pfbid0TYP6syjYwznxJKdhWv9YMaXK9NvsSEhQ2cyyCQCPMvGapWXrQBHehywgT156wqNPl" TargetMode="External"/><Relationship Id="rId3664" Type="http://schemas.openxmlformats.org/officeDocument/2006/relationships/hyperlink" Target="https://www.facebook.com/rapplerdotcom/photos/a.317154781638645/5595372260483511/" TargetMode="External"/><Relationship Id="rId4995" Type="http://schemas.openxmlformats.org/officeDocument/2006/relationships/hyperlink" Target="https://www.facebook.com/rapplerdotcom/posts/pfbid02BCyyacWVuuu1bwX5PwYK8PvqDGTANxekqEMy7qyV9vMmaGKTbC8sBf7i5j3Wbx9Ll" TargetMode="External"/><Relationship Id="rId1037" Type="http://schemas.openxmlformats.org/officeDocument/2006/relationships/hyperlink" Target="https://www.facebook.com/angelitoljaojr" TargetMode="External"/><Relationship Id="rId2368" Type="http://schemas.openxmlformats.org/officeDocument/2006/relationships/hyperlink" Target="https://www.facebook.com/rapplerdotcom/posts/pfbid0TYP6syjYwznxJKdhWv9YMaXK9NvsSEhQ2cyyCQCPMvGapWXrQBHehywgT156wqNPl" TargetMode="External"/><Relationship Id="rId1038" Type="http://schemas.openxmlformats.org/officeDocument/2006/relationships/hyperlink" Target="https://www.facebook.com/rapplerdotcom/photos/a.317154781638645/5597592673594803/" TargetMode="External"/><Relationship Id="rId2369" Type="http://schemas.openxmlformats.org/officeDocument/2006/relationships/hyperlink" Target="https://www.facebook.com/marissa.bernabetecson" TargetMode="External"/><Relationship Id="rId3699" Type="http://schemas.openxmlformats.org/officeDocument/2006/relationships/hyperlink" Target="https://www.facebook.com/jimmy.ballesteros" TargetMode="External"/><Relationship Id="rId1039" Type="http://schemas.openxmlformats.org/officeDocument/2006/relationships/hyperlink" Target="https://www.facebook.com/danielle.jacque.5" TargetMode="External"/><Relationship Id="rId3690" Type="http://schemas.openxmlformats.org/officeDocument/2006/relationships/hyperlink" Target="https://www.facebook.com/rapplerdotcom/photos/a.317154781638645/5595162900504447/" TargetMode="External"/><Relationship Id="rId2360" Type="http://schemas.openxmlformats.org/officeDocument/2006/relationships/hyperlink" Target="https://www.facebook.com/rapplerdotcom/posts/pfbid0TYP6syjYwznxJKdhWv9YMaXK9NvsSEhQ2cyyCQCPMvGapWXrQBHehywgT156wqNPl" TargetMode="External"/><Relationship Id="rId3692" Type="http://schemas.openxmlformats.org/officeDocument/2006/relationships/hyperlink" Target="https://www.facebook.com/rapplerdotcom/photos/a.317154781638645/5595162900504447/" TargetMode="External"/><Relationship Id="rId1030" Type="http://schemas.openxmlformats.org/officeDocument/2006/relationships/hyperlink" Target="https://www.facebook.com/rapplerdotcom/photos/a.317154781638645/5597592673594803/" TargetMode="External"/><Relationship Id="rId2361" Type="http://schemas.openxmlformats.org/officeDocument/2006/relationships/hyperlink" Target="https://www.facebook.com/ligaya.acsay" TargetMode="External"/><Relationship Id="rId3691" Type="http://schemas.openxmlformats.org/officeDocument/2006/relationships/hyperlink" Target="https://www.facebook.com/sally.benasfre" TargetMode="External"/><Relationship Id="rId1031" Type="http://schemas.openxmlformats.org/officeDocument/2006/relationships/hyperlink" Target="https://www.facebook.com/angelitoljaojr" TargetMode="External"/><Relationship Id="rId2362" Type="http://schemas.openxmlformats.org/officeDocument/2006/relationships/hyperlink" Target="https://www.facebook.com/rapplerdotcom/posts/pfbid0TYP6syjYwznxJKdhWv9YMaXK9NvsSEhQ2cyyCQCPMvGapWXrQBHehywgT156wqNPl" TargetMode="External"/><Relationship Id="rId3694" Type="http://schemas.openxmlformats.org/officeDocument/2006/relationships/hyperlink" Target="https://www.facebook.com/rapplerdotcom/photos/a.317154781638645/5595162900504447/" TargetMode="External"/><Relationship Id="rId1032" Type="http://schemas.openxmlformats.org/officeDocument/2006/relationships/hyperlink" Target="https://www.facebook.com/rapplerdotcom/photos/a.317154781638645/5597592673594803/" TargetMode="External"/><Relationship Id="rId2363" Type="http://schemas.openxmlformats.org/officeDocument/2006/relationships/hyperlink" Target="https://www.facebook.com/sweetverni" TargetMode="External"/><Relationship Id="rId3693" Type="http://schemas.openxmlformats.org/officeDocument/2006/relationships/hyperlink" Target="https://www.facebook.com/maricel.delacruz.399" TargetMode="External"/><Relationship Id="rId1033" Type="http://schemas.openxmlformats.org/officeDocument/2006/relationships/hyperlink" Target="https://www.facebook.com/profile.php?id=100052175882688" TargetMode="External"/><Relationship Id="rId2364" Type="http://schemas.openxmlformats.org/officeDocument/2006/relationships/hyperlink" Target="https://www.facebook.com/rapplerdotcom/posts/pfbid0TYP6syjYwznxJKdhWv9YMaXK9NvsSEhQ2cyyCQCPMvGapWXrQBHehywgT156wqNPl" TargetMode="External"/><Relationship Id="rId3696" Type="http://schemas.openxmlformats.org/officeDocument/2006/relationships/hyperlink" Target="https://www.facebook.com/rapplerdotcom/photos/a.317154781638645/5595162900504447/" TargetMode="External"/><Relationship Id="rId1034" Type="http://schemas.openxmlformats.org/officeDocument/2006/relationships/hyperlink" Target="https://www.facebook.com/rapplerdotcom/photos/a.317154781638645/5597592673594803/" TargetMode="External"/><Relationship Id="rId2365" Type="http://schemas.openxmlformats.org/officeDocument/2006/relationships/hyperlink" Target="https://www.facebook.com/hermiehernandez07" TargetMode="External"/><Relationship Id="rId3695" Type="http://schemas.openxmlformats.org/officeDocument/2006/relationships/hyperlink" Target="https://www.facebook.com/wystanc" TargetMode="External"/><Relationship Id="rId1035" Type="http://schemas.openxmlformats.org/officeDocument/2006/relationships/hyperlink" Target="https://www.facebook.com/danielle.jacque.5" TargetMode="External"/><Relationship Id="rId2366" Type="http://schemas.openxmlformats.org/officeDocument/2006/relationships/hyperlink" Target="https://www.facebook.com/rapplerdotcom/posts/pfbid0TYP6syjYwznxJKdhWv9YMaXK9NvsSEhQ2cyyCQCPMvGapWXrQBHehywgT156wqNPl" TargetMode="External"/><Relationship Id="rId3698" Type="http://schemas.openxmlformats.org/officeDocument/2006/relationships/hyperlink" Target="https://www.facebook.com/rapplerdotcom/photos/a.317154781638645/5595162900504447/" TargetMode="External"/><Relationship Id="rId1036" Type="http://schemas.openxmlformats.org/officeDocument/2006/relationships/hyperlink" Target="https://www.facebook.com/rapplerdotcom/photos/a.317154781638645/5597592673594803/" TargetMode="External"/><Relationship Id="rId2367" Type="http://schemas.openxmlformats.org/officeDocument/2006/relationships/hyperlink" Target="https://www.facebook.com/rey.ben.7758" TargetMode="External"/><Relationship Id="rId3697" Type="http://schemas.openxmlformats.org/officeDocument/2006/relationships/hyperlink" Target="https://www.facebook.com/pepe.jacinto" TargetMode="External"/><Relationship Id="rId1026" Type="http://schemas.openxmlformats.org/officeDocument/2006/relationships/hyperlink" Target="https://www.facebook.com/rapplerdotcom/photos/a.317154781638645/5597592673594803/" TargetMode="External"/><Relationship Id="rId2357" Type="http://schemas.openxmlformats.org/officeDocument/2006/relationships/hyperlink" Target="https://www.facebook.com/yisamagallanes" TargetMode="External"/><Relationship Id="rId3689" Type="http://schemas.openxmlformats.org/officeDocument/2006/relationships/hyperlink" Target="https://www.facebook.com/annabelle.cruz.98" TargetMode="External"/><Relationship Id="rId1027" Type="http://schemas.openxmlformats.org/officeDocument/2006/relationships/hyperlink" Target="https://www.facebook.com/aldus.grey2" TargetMode="External"/><Relationship Id="rId2358" Type="http://schemas.openxmlformats.org/officeDocument/2006/relationships/hyperlink" Target="https://www.facebook.com/rapplerdotcom/posts/pfbid0TYP6syjYwznxJKdhWv9YMaXK9NvsSEhQ2cyyCQCPMvGapWXrQBHehywgT156wqNPl" TargetMode="External"/><Relationship Id="rId3688" Type="http://schemas.openxmlformats.org/officeDocument/2006/relationships/hyperlink" Target="https://www.facebook.com/rapplerdotcom/photos/a.317154781638645/5595162900504447/" TargetMode="External"/><Relationship Id="rId1028" Type="http://schemas.openxmlformats.org/officeDocument/2006/relationships/hyperlink" Target="https://www.facebook.com/rapplerdotcom/photos/a.317154781638645/5597592673594803/" TargetMode="External"/><Relationship Id="rId2359" Type="http://schemas.openxmlformats.org/officeDocument/2006/relationships/hyperlink" Target="https://www.facebook.com/haidi.lim" TargetMode="External"/><Relationship Id="rId1029" Type="http://schemas.openxmlformats.org/officeDocument/2006/relationships/hyperlink" Target="https://www.facebook.com/ivan.mercadoii" TargetMode="External"/><Relationship Id="rId3681" Type="http://schemas.openxmlformats.org/officeDocument/2006/relationships/hyperlink" Target="https://www.facebook.com/JayArziiGee" TargetMode="External"/><Relationship Id="rId2350" Type="http://schemas.openxmlformats.org/officeDocument/2006/relationships/hyperlink" Target="https://www.facebook.com/rapplerdotcom/posts/pfbid0TYP6syjYwznxJKdhWv9YMaXK9NvsSEhQ2cyyCQCPMvGapWXrQBHehywgT156wqNPl" TargetMode="External"/><Relationship Id="rId3680" Type="http://schemas.openxmlformats.org/officeDocument/2006/relationships/hyperlink" Target="https://www.facebook.com/rapplerdotcom/photos/a.317154781638645/5595162900504447/" TargetMode="External"/><Relationship Id="rId1020" Type="http://schemas.openxmlformats.org/officeDocument/2006/relationships/hyperlink" Target="https://www.facebook.com/rapplerdotcom/photos/a.317154781638645/5597592673594803/" TargetMode="External"/><Relationship Id="rId2351" Type="http://schemas.openxmlformats.org/officeDocument/2006/relationships/hyperlink" Target="https://www.facebook.com/nilo.seda" TargetMode="External"/><Relationship Id="rId3683" Type="http://schemas.openxmlformats.org/officeDocument/2006/relationships/hyperlink" Target="https://www.facebook.com/bodick.cruz" TargetMode="External"/><Relationship Id="rId1021" Type="http://schemas.openxmlformats.org/officeDocument/2006/relationships/hyperlink" Target="https://www.facebook.com/jose.a.bautista.98" TargetMode="External"/><Relationship Id="rId2352" Type="http://schemas.openxmlformats.org/officeDocument/2006/relationships/hyperlink" Target="https://www.facebook.com/rapplerdotcom/posts/pfbid0TYP6syjYwznxJKdhWv9YMaXK9NvsSEhQ2cyyCQCPMvGapWXrQBHehywgT156wqNPl" TargetMode="External"/><Relationship Id="rId3682" Type="http://schemas.openxmlformats.org/officeDocument/2006/relationships/hyperlink" Target="https://www.facebook.com/rapplerdotcom/photos/a.317154781638645/5595162900504447/" TargetMode="External"/><Relationship Id="rId1022" Type="http://schemas.openxmlformats.org/officeDocument/2006/relationships/hyperlink" Target="https://www.facebook.com/rapplerdotcom/photos/a.317154781638645/5597592673594803/" TargetMode="External"/><Relationship Id="rId2353" Type="http://schemas.openxmlformats.org/officeDocument/2006/relationships/hyperlink" Target="https://www.facebook.com/jeremiasmoronjr" TargetMode="External"/><Relationship Id="rId3685" Type="http://schemas.openxmlformats.org/officeDocument/2006/relationships/hyperlink" Target="https://www.facebook.com/linda.gardon" TargetMode="External"/><Relationship Id="rId1023" Type="http://schemas.openxmlformats.org/officeDocument/2006/relationships/hyperlink" Target="https://www.facebook.com/kimshie.artocilla" TargetMode="External"/><Relationship Id="rId2354" Type="http://schemas.openxmlformats.org/officeDocument/2006/relationships/hyperlink" Target="https://www.facebook.com/rapplerdotcom/posts/pfbid0TYP6syjYwznxJKdhWv9YMaXK9NvsSEhQ2cyyCQCPMvGapWXrQBHehywgT156wqNPl" TargetMode="External"/><Relationship Id="rId3684" Type="http://schemas.openxmlformats.org/officeDocument/2006/relationships/hyperlink" Target="https://www.facebook.com/rapplerdotcom/photos/a.317154781638645/5595162900504447/" TargetMode="External"/><Relationship Id="rId1024" Type="http://schemas.openxmlformats.org/officeDocument/2006/relationships/hyperlink" Target="https://www.facebook.com/rapplerdotcom/photos/a.317154781638645/5597592673594803/" TargetMode="External"/><Relationship Id="rId2355" Type="http://schemas.openxmlformats.org/officeDocument/2006/relationships/hyperlink" Target="https://www.facebook.com/winet.bautista" TargetMode="External"/><Relationship Id="rId3687" Type="http://schemas.openxmlformats.org/officeDocument/2006/relationships/hyperlink" Target="https://www.facebook.com/maricel.delacruz.399" TargetMode="External"/><Relationship Id="rId1025" Type="http://schemas.openxmlformats.org/officeDocument/2006/relationships/hyperlink" Target="https://www.facebook.com/omar.morales.14203" TargetMode="External"/><Relationship Id="rId2356" Type="http://schemas.openxmlformats.org/officeDocument/2006/relationships/hyperlink" Target="https://www.facebook.com/rapplerdotcom/posts/pfbid0TYP6syjYwznxJKdhWv9YMaXK9NvsSEhQ2cyyCQCPMvGapWXrQBHehywgT156wqNPl" TargetMode="External"/><Relationship Id="rId3686" Type="http://schemas.openxmlformats.org/officeDocument/2006/relationships/hyperlink" Target="https://www.facebook.com/rapplerdotcom/photos/a.317154781638645/5595162900504447/" TargetMode="External"/><Relationship Id="rId1090" Type="http://schemas.openxmlformats.org/officeDocument/2006/relationships/hyperlink" Target="https://www.facebook.com/rapplerdotcom/posts/pfbid028Kg188FmebKa4aFvHZNp8zGTwjghWDDJuUmQ8agbSCvGAGJHZ7pBH9NmxLBmPZZdl" TargetMode="External"/><Relationship Id="rId1091" Type="http://schemas.openxmlformats.org/officeDocument/2006/relationships/hyperlink" Target="https://www.facebook.com/beng.decastro" TargetMode="External"/><Relationship Id="rId1092" Type="http://schemas.openxmlformats.org/officeDocument/2006/relationships/hyperlink" Target="https://www.facebook.com/rapplerdotcom/posts/pfbid028Kg188FmebKa4aFvHZNp8zGTwjghWDDJuUmQ8agbSCvGAGJHZ7pBH9NmxLBmPZZdl" TargetMode="External"/><Relationship Id="rId1093" Type="http://schemas.openxmlformats.org/officeDocument/2006/relationships/hyperlink" Target="https://www.facebook.com/belen.palambiano" TargetMode="External"/><Relationship Id="rId1094" Type="http://schemas.openxmlformats.org/officeDocument/2006/relationships/hyperlink" Target="https://www.facebook.com/rapplerdotcom/posts/pfbid028Kg188FmebKa4aFvHZNp8zGTwjghWDDJuUmQ8agbSCvGAGJHZ7pBH9NmxLBmPZZdl" TargetMode="External"/><Relationship Id="rId1095" Type="http://schemas.openxmlformats.org/officeDocument/2006/relationships/hyperlink" Target="https://www.facebook.com/virginia.bongalosa" TargetMode="External"/><Relationship Id="rId1096" Type="http://schemas.openxmlformats.org/officeDocument/2006/relationships/hyperlink" Target="https://www.facebook.com/rapplerdotcom/posts/pfbid028Kg188FmebKa4aFvHZNp8zGTwjghWDDJuUmQ8agbSCvGAGJHZ7pBH9NmxLBmPZZdl" TargetMode="External"/><Relationship Id="rId1097" Type="http://schemas.openxmlformats.org/officeDocument/2006/relationships/hyperlink" Target="https://www.facebook.com/dulce.jainarmakinano" TargetMode="External"/><Relationship Id="rId1098" Type="http://schemas.openxmlformats.org/officeDocument/2006/relationships/hyperlink" Target="https://www.facebook.com/rapplerdotcom/posts/pfbid028Kg188FmebKa4aFvHZNp8zGTwjghWDDJuUmQ8agbSCvGAGJHZ7pBH9NmxLBmPZZdl" TargetMode="External"/><Relationship Id="rId1099" Type="http://schemas.openxmlformats.org/officeDocument/2006/relationships/hyperlink" Target="https://www.facebook.com/beng.decastro" TargetMode="External"/><Relationship Id="rId1080" Type="http://schemas.openxmlformats.org/officeDocument/2006/relationships/hyperlink" Target="https://www.facebook.com/rapplerdotcom/posts/pfbid028Kg188FmebKa4aFvHZNp8zGTwjghWDDJuUmQ8agbSCvGAGJHZ7pBH9NmxLBmPZZdl" TargetMode="External"/><Relationship Id="rId1081" Type="http://schemas.openxmlformats.org/officeDocument/2006/relationships/hyperlink" Target="https://www.facebook.com/einavanie" TargetMode="External"/><Relationship Id="rId1082" Type="http://schemas.openxmlformats.org/officeDocument/2006/relationships/hyperlink" Target="https://www.facebook.com/rapplerdotcom/posts/pfbid028Kg188FmebKa4aFvHZNp8zGTwjghWDDJuUmQ8agbSCvGAGJHZ7pBH9NmxLBmPZZdl" TargetMode="External"/><Relationship Id="rId1083" Type="http://schemas.openxmlformats.org/officeDocument/2006/relationships/hyperlink" Target="https://www.facebook.com/jhazy30" TargetMode="External"/><Relationship Id="rId1084" Type="http://schemas.openxmlformats.org/officeDocument/2006/relationships/hyperlink" Target="https://www.facebook.com/rapplerdotcom/posts/pfbid028Kg188FmebKa4aFvHZNp8zGTwjghWDDJuUmQ8agbSCvGAGJHZ7pBH9NmxLBmPZZdl" TargetMode="External"/><Relationship Id="rId1085" Type="http://schemas.openxmlformats.org/officeDocument/2006/relationships/hyperlink" Target="https://www.facebook.com/beng.decastro" TargetMode="External"/><Relationship Id="rId1086" Type="http://schemas.openxmlformats.org/officeDocument/2006/relationships/hyperlink" Target="https://www.facebook.com/rapplerdotcom/posts/pfbid028Kg188FmebKa4aFvHZNp8zGTwjghWDDJuUmQ8agbSCvGAGJHZ7pBH9NmxLBmPZZdl" TargetMode="External"/><Relationship Id="rId1087" Type="http://schemas.openxmlformats.org/officeDocument/2006/relationships/hyperlink" Target="https://www.facebook.com/beng.decastro" TargetMode="External"/><Relationship Id="rId1088" Type="http://schemas.openxmlformats.org/officeDocument/2006/relationships/hyperlink" Target="https://www.facebook.com/rapplerdotcom/posts/pfbid028Kg188FmebKa4aFvHZNp8zGTwjghWDDJuUmQ8agbSCvGAGJHZ7pBH9NmxLBmPZZdl" TargetMode="External"/><Relationship Id="rId1089" Type="http://schemas.openxmlformats.org/officeDocument/2006/relationships/hyperlink" Target="https://www.facebook.com/beng.decastro" TargetMode="External"/><Relationship Id="rId2423" Type="http://schemas.openxmlformats.org/officeDocument/2006/relationships/hyperlink" Target="https://www.facebook.com/joan.lastrilla2" TargetMode="External"/><Relationship Id="rId3755" Type="http://schemas.openxmlformats.org/officeDocument/2006/relationships/hyperlink" Target="https://www.facebook.com/cehfabre" TargetMode="External"/><Relationship Id="rId2424" Type="http://schemas.openxmlformats.org/officeDocument/2006/relationships/hyperlink" Target="https://www.facebook.com/rapplerdotcom/posts/pfbid0TYP6syjYwznxJKdhWv9YMaXK9NvsSEhQ2cyyCQCPMvGapWXrQBHehywgT156wqNPl" TargetMode="External"/><Relationship Id="rId3754" Type="http://schemas.openxmlformats.org/officeDocument/2006/relationships/hyperlink" Target="https://www.facebook.com/rapplerdotcom/posts/pfbid0dyWpzxim3h4Z2SYriGakwQw85p7BCAgct7KU5EiMX1bmmgNHDD8nmES8rjrADsrPl" TargetMode="External"/><Relationship Id="rId2425" Type="http://schemas.openxmlformats.org/officeDocument/2006/relationships/hyperlink" Target="https://www.facebook.com/gina.deleon.5070" TargetMode="External"/><Relationship Id="rId3757" Type="http://schemas.openxmlformats.org/officeDocument/2006/relationships/hyperlink" Target="https://www.facebook.com/edna.bautista.37" TargetMode="External"/><Relationship Id="rId2426" Type="http://schemas.openxmlformats.org/officeDocument/2006/relationships/hyperlink" Target="https://www.facebook.com/rapplerdotcom/posts/pfbid0TYP6syjYwznxJKdhWv9YMaXK9NvsSEhQ2cyyCQCPMvGapWXrQBHehywgT156wqNPl" TargetMode="External"/><Relationship Id="rId3756" Type="http://schemas.openxmlformats.org/officeDocument/2006/relationships/hyperlink" Target="https://www.facebook.com/rapplerdotcom/posts/pfbid0dyWpzxim3h4Z2SYriGakwQw85p7BCAgct7KU5EiMX1bmmgNHDD8nmES8rjrADsrPl" TargetMode="External"/><Relationship Id="rId2427" Type="http://schemas.openxmlformats.org/officeDocument/2006/relationships/hyperlink" Target="https://www.facebook.com/jennbenneth" TargetMode="External"/><Relationship Id="rId3759" Type="http://schemas.openxmlformats.org/officeDocument/2006/relationships/hyperlink" Target="https://www.facebook.com/imeldatorres.perocho" TargetMode="External"/><Relationship Id="rId2428" Type="http://schemas.openxmlformats.org/officeDocument/2006/relationships/hyperlink" Target="https://www.facebook.com/rapplerdotcom/posts/pfbid0TYP6syjYwznxJKdhWv9YMaXK9NvsSEhQ2cyyCQCPMvGapWXrQBHehywgT156wqNPl" TargetMode="External"/><Relationship Id="rId3758" Type="http://schemas.openxmlformats.org/officeDocument/2006/relationships/hyperlink" Target="https://www.facebook.com/rapplerdotcom/posts/pfbid0dyWpzxim3h4Z2SYriGakwQw85p7BCAgct7KU5EiMX1bmmgNHDD8nmES8rjrADsrPl" TargetMode="External"/><Relationship Id="rId2429" Type="http://schemas.openxmlformats.org/officeDocument/2006/relationships/hyperlink" Target="https://www.facebook.com/Krislenakate" TargetMode="External"/><Relationship Id="rId3751" Type="http://schemas.openxmlformats.org/officeDocument/2006/relationships/hyperlink" Target="https://www.facebook.com/cecile.agobian" TargetMode="External"/><Relationship Id="rId2420" Type="http://schemas.openxmlformats.org/officeDocument/2006/relationships/hyperlink" Target="https://www.facebook.com/rapplerdotcom/posts/pfbid0TYP6syjYwznxJKdhWv9YMaXK9NvsSEhQ2cyyCQCPMvGapWXrQBHehywgT156wqNPl" TargetMode="External"/><Relationship Id="rId3750" Type="http://schemas.openxmlformats.org/officeDocument/2006/relationships/hyperlink" Target="https://www.facebook.com/rapplerdotcom/posts/pfbid0dyWpzxim3h4Z2SYriGakwQw85p7BCAgct7KU5EiMX1bmmgNHDD8nmES8rjrADsrPl" TargetMode="External"/><Relationship Id="rId2421" Type="http://schemas.openxmlformats.org/officeDocument/2006/relationships/hyperlink" Target="https://www.facebook.com/joseline.nepomuceno2" TargetMode="External"/><Relationship Id="rId3753" Type="http://schemas.openxmlformats.org/officeDocument/2006/relationships/hyperlink" Target="https://www.facebook.com/poli.lidi" TargetMode="External"/><Relationship Id="rId2422" Type="http://schemas.openxmlformats.org/officeDocument/2006/relationships/hyperlink" Target="https://www.facebook.com/rapplerdotcom/posts/pfbid0TYP6syjYwznxJKdhWv9YMaXK9NvsSEhQ2cyyCQCPMvGapWXrQBHehywgT156wqNPl" TargetMode="External"/><Relationship Id="rId3752" Type="http://schemas.openxmlformats.org/officeDocument/2006/relationships/hyperlink" Target="https://www.facebook.com/rapplerdotcom/posts/pfbid0dyWpzxim3h4Z2SYriGakwQw85p7BCAgct7KU5EiMX1bmmgNHDD8nmES8rjrADsrPl" TargetMode="External"/><Relationship Id="rId2412" Type="http://schemas.openxmlformats.org/officeDocument/2006/relationships/hyperlink" Target="https://www.facebook.com/rapplerdotcom/posts/pfbid0TYP6syjYwznxJKdhWv9YMaXK9NvsSEhQ2cyyCQCPMvGapWXrQBHehywgT156wqNPl" TargetMode="External"/><Relationship Id="rId3744" Type="http://schemas.openxmlformats.org/officeDocument/2006/relationships/hyperlink" Target="https://www.facebook.com/rapplerdotcom/photos/a.317154781638645/5595162900504447/" TargetMode="External"/><Relationship Id="rId2413" Type="http://schemas.openxmlformats.org/officeDocument/2006/relationships/hyperlink" Target="https://www.facebook.com/michael.denzo" TargetMode="External"/><Relationship Id="rId3743" Type="http://schemas.openxmlformats.org/officeDocument/2006/relationships/hyperlink" Target="https://www.facebook.com/cidernald" TargetMode="External"/><Relationship Id="rId2414" Type="http://schemas.openxmlformats.org/officeDocument/2006/relationships/hyperlink" Target="https://www.facebook.com/rapplerdotcom/posts/pfbid0TYP6syjYwznxJKdhWv9YMaXK9NvsSEhQ2cyyCQCPMvGapWXrQBHehywgT156wqNPl" TargetMode="External"/><Relationship Id="rId3746" Type="http://schemas.openxmlformats.org/officeDocument/2006/relationships/hyperlink" Target="https://www.facebook.com/rapplerdotcom/posts/pfbid0dyWpzxim3h4Z2SYriGakwQw85p7BCAgct7KU5EiMX1bmmgNHDD8nmES8rjrADsrPl" TargetMode="External"/><Relationship Id="rId2415" Type="http://schemas.openxmlformats.org/officeDocument/2006/relationships/hyperlink" Target="https://www.facebook.com/profile.php?id=100067476167968" TargetMode="External"/><Relationship Id="rId3745" Type="http://schemas.openxmlformats.org/officeDocument/2006/relationships/hyperlink" Target="https://www.facebook.com/benjo.albano" TargetMode="External"/><Relationship Id="rId2416" Type="http://schemas.openxmlformats.org/officeDocument/2006/relationships/hyperlink" Target="https://www.facebook.com/rapplerdotcom/posts/pfbid0TYP6syjYwznxJKdhWv9YMaXK9NvsSEhQ2cyyCQCPMvGapWXrQBHehywgT156wqNPl" TargetMode="External"/><Relationship Id="rId3748" Type="http://schemas.openxmlformats.org/officeDocument/2006/relationships/hyperlink" Target="https://www.facebook.com/rapplerdotcom/posts/pfbid0dyWpzxim3h4Z2SYriGakwQw85p7BCAgct7KU5EiMX1bmmgNHDD8nmES8rjrADsrPl" TargetMode="External"/><Relationship Id="rId2417" Type="http://schemas.openxmlformats.org/officeDocument/2006/relationships/hyperlink" Target="https://www.facebook.com/trisha.gellangarin" TargetMode="External"/><Relationship Id="rId3747" Type="http://schemas.openxmlformats.org/officeDocument/2006/relationships/hyperlink" Target="https://www.facebook.com/mabel.c.arboleda" TargetMode="External"/><Relationship Id="rId2418" Type="http://schemas.openxmlformats.org/officeDocument/2006/relationships/hyperlink" Target="https://www.facebook.com/rapplerdotcom/posts/pfbid0TYP6syjYwznxJKdhWv9YMaXK9NvsSEhQ2cyyCQCPMvGapWXrQBHehywgT156wqNPl" TargetMode="External"/><Relationship Id="rId2419" Type="http://schemas.openxmlformats.org/officeDocument/2006/relationships/hyperlink" Target="https://www.facebook.com/WordsArchitect" TargetMode="External"/><Relationship Id="rId3749" Type="http://schemas.openxmlformats.org/officeDocument/2006/relationships/hyperlink" Target="https://www.facebook.com/reymar.falcunaya" TargetMode="External"/><Relationship Id="rId3740" Type="http://schemas.openxmlformats.org/officeDocument/2006/relationships/hyperlink" Target="https://www.facebook.com/rapplerdotcom/photos/a.317154781638645/5595162900504447/" TargetMode="External"/><Relationship Id="rId2410" Type="http://schemas.openxmlformats.org/officeDocument/2006/relationships/hyperlink" Target="https://www.facebook.com/rapplerdotcom/posts/pfbid0TYP6syjYwznxJKdhWv9YMaXK9NvsSEhQ2cyyCQCPMvGapWXrQBHehywgT156wqNPl" TargetMode="External"/><Relationship Id="rId3742" Type="http://schemas.openxmlformats.org/officeDocument/2006/relationships/hyperlink" Target="https://www.facebook.com/rapplerdotcom/photos/a.317154781638645/5595162900504447/" TargetMode="External"/><Relationship Id="rId2411" Type="http://schemas.openxmlformats.org/officeDocument/2006/relationships/hyperlink" Target="https://www.facebook.com/AmyCoyocaMeracap" TargetMode="External"/><Relationship Id="rId3741" Type="http://schemas.openxmlformats.org/officeDocument/2006/relationships/hyperlink" Target="https://www.facebook.com/jose.tagpi" TargetMode="External"/><Relationship Id="rId1114" Type="http://schemas.openxmlformats.org/officeDocument/2006/relationships/hyperlink" Target="https://www.facebook.com/rapplerdotcom/posts/pfbid02dNgAR64VTtp94Rus4o9MNbU55E2H9Wp7KMKzJGkk6u4UxRyHU8j2pPpwa5iwGcD3l" TargetMode="External"/><Relationship Id="rId2445" Type="http://schemas.openxmlformats.org/officeDocument/2006/relationships/hyperlink" Target="https://www.facebook.com/reby.figueroa" TargetMode="External"/><Relationship Id="rId3777" Type="http://schemas.openxmlformats.org/officeDocument/2006/relationships/hyperlink" Target="https://www.facebook.com/nilo.seda" TargetMode="External"/><Relationship Id="rId1115" Type="http://schemas.openxmlformats.org/officeDocument/2006/relationships/hyperlink" Target="https://www.facebook.com/mariluz.deguzman" TargetMode="External"/><Relationship Id="rId2446" Type="http://schemas.openxmlformats.org/officeDocument/2006/relationships/hyperlink" Target="https://www.facebook.com/rapplerdotcom/posts/pfbid0TYP6syjYwznxJKdhWv9YMaXK9NvsSEhQ2cyyCQCPMvGapWXrQBHehywgT156wqNPl" TargetMode="External"/><Relationship Id="rId3776" Type="http://schemas.openxmlformats.org/officeDocument/2006/relationships/hyperlink" Target="https://www.facebook.com/rapplerdotcom/posts/pfbid0dyWpzxim3h4Z2SYriGakwQw85p7BCAgct7KU5EiMX1bmmgNHDD8nmES8rjrADsrPl" TargetMode="External"/><Relationship Id="rId1116" Type="http://schemas.openxmlformats.org/officeDocument/2006/relationships/hyperlink" Target="https://www.facebook.com/rapplerdotcom/posts/pfbid02dNgAR64VTtp94Rus4o9MNbU55E2H9Wp7KMKzJGkk6u4UxRyHU8j2pPpwa5iwGcD3l" TargetMode="External"/><Relationship Id="rId2447" Type="http://schemas.openxmlformats.org/officeDocument/2006/relationships/hyperlink" Target="https://www.facebook.com/mbungabong1" TargetMode="External"/><Relationship Id="rId3779" Type="http://schemas.openxmlformats.org/officeDocument/2006/relationships/hyperlink" Target="https://www.facebook.com/jamostiago" TargetMode="External"/><Relationship Id="rId1117" Type="http://schemas.openxmlformats.org/officeDocument/2006/relationships/hyperlink" Target="https://www.facebook.com/rlduldulao" TargetMode="External"/><Relationship Id="rId2448" Type="http://schemas.openxmlformats.org/officeDocument/2006/relationships/hyperlink" Target="https://www.facebook.com/rapplerdotcom/posts/pfbid0TYP6syjYwznxJKdhWv9YMaXK9NvsSEhQ2cyyCQCPMvGapWXrQBHehywgT156wqNPl" TargetMode="External"/><Relationship Id="rId3778" Type="http://schemas.openxmlformats.org/officeDocument/2006/relationships/hyperlink" Target="https://www.facebook.com/rapplerdotcom/posts/pfbid0dyWpzxim3h4Z2SYriGakwQw85p7BCAgct7KU5EiMX1bmmgNHDD8nmES8rjrADsrPl" TargetMode="External"/><Relationship Id="rId1118" Type="http://schemas.openxmlformats.org/officeDocument/2006/relationships/hyperlink" Target="https://www.facebook.com/rapplerdotcom/posts/pfbid02dNgAR64VTtp94Rus4o9MNbU55E2H9Wp7KMKzJGkk6u4UxRyHU8j2pPpwa5iwGcD3l" TargetMode="External"/><Relationship Id="rId2449" Type="http://schemas.openxmlformats.org/officeDocument/2006/relationships/hyperlink" Target="https://www.facebook.com/babeleth.inigo" TargetMode="External"/><Relationship Id="rId1119" Type="http://schemas.openxmlformats.org/officeDocument/2006/relationships/hyperlink" Target="https://www.facebook.com/ginalita67" TargetMode="External"/><Relationship Id="rId3771" Type="http://schemas.openxmlformats.org/officeDocument/2006/relationships/hyperlink" Target="https://www.facebook.com/armando.guevarra.90" TargetMode="External"/><Relationship Id="rId2440" Type="http://schemas.openxmlformats.org/officeDocument/2006/relationships/hyperlink" Target="https://www.facebook.com/rapplerdotcom/posts/pfbid0TYP6syjYwznxJKdhWv9YMaXK9NvsSEhQ2cyyCQCPMvGapWXrQBHehywgT156wqNPl" TargetMode="External"/><Relationship Id="rId3770" Type="http://schemas.openxmlformats.org/officeDocument/2006/relationships/hyperlink" Target="https://www.facebook.com/rapplerdotcom/posts/pfbid0dyWpzxim3h4Z2SYriGakwQw85p7BCAgct7KU5EiMX1bmmgNHDD8nmES8rjrADsrPl" TargetMode="External"/><Relationship Id="rId1110" Type="http://schemas.openxmlformats.org/officeDocument/2006/relationships/hyperlink" Target="https://www.facebook.com/rapplerdotcom/posts/pfbid02dNgAR64VTtp94Rus4o9MNbU55E2H9Wp7KMKzJGkk6u4UxRyHU8j2pPpwa5iwGcD3l" TargetMode="External"/><Relationship Id="rId2441" Type="http://schemas.openxmlformats.org/officeDocument/2006/relationships/hyperlink" Target="https://www.facebook.com/arisayokoya4" TargetMode="External"/><Relationship Id="rId3773" Type="http://schemas.openxmlformats.org/officeDocument/2006/relationships/hyperlink" Target="https://www.facebook.com/cheryl.belleza" TargetMode="External"/><Relationship Id="rId1111" Type="http://schemas.openxmlformats.org/officeDocument/2006/relationships/hyperlink" Target="https://www.facebook.com/chariejhon.escalante" TargetMode="External"/><Relationship Id="rId2442" Type="http://schemas.openxmlformats.org/officeDocument/2006/relationships/hyperlink" Target="https://www.facebook.com/rapplerdotcom/posts/pfbid0TYP6syjYwznxJKdhWv9YMaXK9NvsSEhQ2cyyCQCPMvGapWXrQBHehywgT156wqNPl" TargetMode="External"/><Relationship Id="rId3772" Type="http://schemas.openxmlformats.org/officeDocument/2006/relationships/hyperlink" Target="https://www.facebook.com/rapplerdotcom/posts/pfbid0dyWpzxim3h4Z2SYriGakwQw85p7BCAgct7KU5EiMX1bmmgNHDD8nmES8rjrADsrPl" TargetMode="External"/><Relationship Id="rId1112" Type="http://schemas.openxmlformats.org/officeDocument/2006/relationships/hyperlink" Target="https://www.facebook.com/rapplerdotcom/posts/pfbid02dNgAR64VTtp94Rus4o9MNbU55E2H9Wp7KMKzJGkk6u4UxRyHU8j2pPpwa5iwGcD3l" TargetMode="External"/><Relationship Id="rId2443" Type="http://schemas.openxmlformats.org/officeDocument/2006/relationships/hyperlink" Target="https://www.facebook.com/zeke.santos.581" TargetMode="External"/><Relationship Id="rId3775" Type="http://schemas.openxmlformats.org/officeDocument/2006/relationships/hyperlink" Target="https://www.facebook.com/velvet.marj" TargetMode="External"/><Relationship Id="rId1113" Type="http://schemas.openxmlformats.org/officeDocument/2006/relationships/hyperlink" Target="https://www.facebook.com/ronmsalvador" TargetMode="External"/><Relationship Id="rId2444" Type="http://schemas.openxmlformats.org/officeDocument/2006/relationships/hyperlink" Target="https://www.facebook.com/rapplerdotcom/posts/pfbid0TYP6syjYwznxJKdhWv9YMaXK9NvsSEhQ2cyyCQCPMvGapWXrQBHehywgT156wqNPl" TargetMode="External"/><Relationship Id="rId3774" Type="http://schemas.openxmlformats.org/officeDocument/2006/relationships/hyperlink" Target="https://www.facebook.com/rapplerdotcom/posts/pfbid0dyWpzxim3h4Z2SYriGakwQw85p7BCAgct7KU5EiMX1bmmgNHDD8nmES8rjrADsrPl" TargetMode="External"/><Relationship Id="rId1103" Type="http://schemas.openxmlformats.org/officeDocument/2006/relationships/hyperlink" Target="https://www.facebook.com/beng.decastro" TargetMode="External"/><Relationship Id="rId2434" Type="http://schemas.openxmlformats.org/officeDocument/2006/relationships/hyperlink" Target="https://www.facebook.com/rapplerdotcom/posts/pfbid0TYP6syjYwznxJKdhWv9YMaXK9NvsSEhQ2cyyCQCPMvGapWXrQBHehywgT156wqNPl" TargetMode="External"/><Relationship Id="rId3766" Type="http://schemas.openxmlformats.org/officeDocument/2006/relationships/hyperlink" Target="https://www.facebook.com/rapplerdotcom/posts/pfbid0dyWpzxim3h4Z2SYriGakwQw85p7BCAgct7KU5EiMX1bmmgNHDD8nmES8rjrADsrPl" TargetMode="External"/><Relationship Id="rId1104" Type="http://schemas.openxmlformats.org/officeDocument/2006/relationships/hyperlink" Target="https://www.facebook.com/rapplerdotcom/posts/pfbid028Kg188FmebKa4aFvHZNp8zGTwjghWDDJuUmQ8agbSCvGAGJHZ7pBH9NmxLBmPZZdl" TargetMode="External"/><Relationship Id="rId2435" Type="http://schemas.openxmlformats.org/officeDocument/2006/relationships/hyperlink" Target="https://www.facebook.com/eternal.swordsman" TargetMode="External"/><Relationship Id="rId3765" Type="http://schemas.openxmlformats.org/officeDocument/2006/relationships/hyperlink" Target="https://www.facebook.com/edna.bautista.37" TargetMode="External"/><Relationship Id="rId1105" Type="http://schemas.openxmlformats.org/officeDocument/2006/relationships/hyperlink" Target="https://www.facebook.com/mely.jamandre" TargetMode="External"/><Relationship Id="rId2436" Type="http://schemas.openxmlformats.org/officeDocument/2006/relationships/hyperlink" Target="https://www.facebook.com/rapplerdotcom/posts/pfbid0TYP6syjYwznxJKdhWv9YMaXK9NvsSEhQ2cyyCQCPMvGapWXrQBHehywgT156wqNPl" TargetMode="External"/><Relationship Id="rId3768" Type="http://schemas.openxmlformats.org/officeDocument/2006/relationships/hyperlink" Target="https://www.facebook.com/rapplerdotcom/posts/pfbid0dyWpzxim3h4Z2SYriGakwQw85p7BCAgct7KU5EiMX1bmmgNHDD8nmES8rjrADsrPl" TargetMode="External"/><Relationship Id="rId1106" Type="http://schemas.openxmlformats.org/officeDocument/2006/relationships/hyperlink" Target="https://www.facebook.com/rapplerdotcom/posts/pfbid028Kg188FmebKa4aFvHZNp8zGTwjghWDDJuUmQ8agbSCvGAGJHZ7pBH9NmxLBmPZZdl" TargetMode="External"/><Relationship Id="rId2437" Type="http://schemas.openxmlformats.org/officeDocument/2006/relationships/hyperlink" Target="https://www.facebook.com/aprillyn.factor" TargetMode="External"/><Relationship Id="rId3767" Type="http://schemas.openxmlformats.org/officeDocument/2006/relationships/hyperlink" Target="https://www.facebook.com/profile.php?id=100005010463773" TargetMode="External"/><Relationship Id="rId1107" Type="http://schemas.openxmlformats.org/officeDocument/2006/relationships/hyperlink" Target="https://www.facebook.com/profile.php?id=100019358329361" TargetMode="External"/><Relationship Id="rId2438" Type="http://schemas.openxmlformats.org/officeDocument/2006/relationships/hyperlink" Target="https://www.facebook.com/rapplerdotcom/posts/pfbid0TYP6syjYwznxJKdhWv9YMaXK9NvsSEhQ2cyyCQCPMvGapWXrQBHehywgT156wqNPl" TargetMode="External"/><Relationship Id="rId1108" Type="http://schemas.openxmlformats.org/officeDocument/2006/relationships/hyperlink" Target="https://www.facebook.com/rapplerdotcom/posts/pfbid028Kg188FmebKa4aFvHZNp8zGTwjghWDDJuUmQ8agbSCvGAGJHZ7pBH9NmxLBmPZZdl" TargetMode="External"/><Relationship Id="rId2439" Type="http://schemas.openxmlformats.org/officeDocument/2006/relationships/hyperlink" Target="https://www.facebook.com/maryjo.aragon.5" TargetMode="External"/><Relationship Id="rId3769" Type="http://schemas.openxmlformats.org/officeDocument/2006/relationships/hyperlink" Target="https://www.facebook.com/imeldatorres.perocho" TargetMode="External"/><Relationship Id="rId1109" Type="http://schemas.openxmlformats.org/officeDocument/2006/relationships/hyperlink" Target="https://www.facebook.com/profile.php?id=100011366202531" TargetMode="External"/><Relationship Id="rId3760" Type="http://schemas.openxmlformats.org/officeDocument/2006/relationships/hyperlink" Target="https://www.facebook.com/rapplerdotcom/posts/pfbid0dyWpzxim3h4Z2SYriGakwQw85p7BCAgct7KU5EiMX1bmmgNHDD8nmES8rjrADsrPl" TargetMode="External"/><Relationship Id="rId2430" Type="http://schemas.openxmlformats.org/officeDocument/2006/relationships/hyperlink" Target="https://www.facebook.com/rapplerdotcom/posts/pfbid0TYP6syjYwznxJKdhWv9YMaXK9NvsSEhQ2cyyCQCPMvGapWXrQBHehywgT156wqNPl" TargetMode="External"/><Relationship Id="rId3762" Type="http://schemas.openxmlformats.org/officeDocument/2006/relationships/hyperlink" Target="https://www.facebook.com/rapplerdotcom/posts/pfbid0dyWpzxim3h4Z2SYriGakwQw85p7BCAgct7KU5EiMX1bmmgNHDD8nmES8rjrADsrPl" TargetMode="External"/><Relationship Id="rId1100" Type="http://schemas.openxmlformats.org/officeDocument/2006/relationships/hyperlink" Target="https://www.facebook.com/rapplerdotcom/posts/pfbid028Kg188FmebKa4aFvHZNp8zGTwjghWDDJuUmQ8agbSCvGAGJHZ7pBH9NmxLBmPZZdl" TargetMode="External"/><Relationship Id="rId2431" Type="http://schemas.openxmlformats.org/officeDocument/2006/relationships/hyperlink" Target="https://www.facebook.com/iamdenaquino" TargetMode="External"/><Relationship Id="rId3761" Type="http://schemas.openxmlformats.org/officeDocument/2006/relationships/hyperlink" Target="https://www.facebook.com/xyrinageneve.tulbe" TargetMode="External"/><Relationship Id="rId1101" Type="http://schemas.openxmlformats.org/officeDocument/2006/relationships/hyperlink" Target="https://www.facebook.com/beng.decastro" TargetMode="External"/><Relationship Id="rId2432" Type="http://schemas.openxmlformats.org/officeDocument/2006/relationships/hyperlink" Target="https://www.facebook.com/rapplerdotcom/posts/pfbid0TYP6syjYwznxJKdhWv9YMaXK9NvsSEhQ2cyyCQCPMvGapWXrQBHehywgT156wqNPl" TargetMode="External"/><Relationship Id="rId3764" Type="http://schemas.openxmlformats.org/officeDocument/2006/relationships/hyperlink" Target="https://www.facebook.com/rapplerdotcom/posts/pfbid0dyWpzxim3h4Z2SYriGakwQw85p7BCAgct7KU5EiMX1bmmgNHDD8nmES8rjrADsrPl" TargetMode="External"/><Relationship Id="rId1102" Type="http://schemas.openxmlformats.org/officeDocument/2006/relationships/hyperlink" Target="https://www.facebook.com/rapplerdotcom/posts/pfbid028Kg188FmebKa4aFvHZNp8zGTwjghWDDJuUmQ8agbSCvGAGJHZ7pBH9NmxLBmPZZdl" TargetMode="External"/><Relationship Id="rId2433" Type="http://schemas.openxmlformats.org/officeDocument/2006/relationships/hyperlink" Target="https://www.facebook.com/irma.lacorte" TargetMode="External"/><Relationship Id="rId3763" Type="http://schemas.openxmlformats.org/officeDocument/2006/relationships/hyperlink" Target="https://www.facebook.com/xyrinageneve.tulbe" TargetMode="External"/><Relationship Id="rId3711" Type="http://schemas.openxmlformats.org/officeDocument/2006/relationships/hyperlink" Target="https://www.facebook.com/profile.php?id=100079524022087" TargetMode="External"/><Relationship Id="rId3710" Type="http://schemas.openxmlformats.org/officeDocument/2006/relationships/hyperlink" Target="https://www.facebook.com/rapplerdotcom/photos/a.317154781638645/5595162900504447/" TargetMode="External"/><Relationship Id="rId3713" Type="http://schemas.openxmlformats.org/officeDocument/2006/relationships/hyperlink" Target="https://www.facebook.com/johndel.abella.7" TargetMode="External"/><Relationship Id="rId3712" Type="http://schemas.openxmlformats.org/officeDocument/2006/relationships/hyperlink" Target="https://www.facebook.com/rapplerdotcom/photos/a.317154781638645/5595162900504447/" TargetMode="External"/><Relationship Id="rId3715" Type="http://schemas.openxmlformats.org/officeDocument/2006/relationships/hyperlink" Target="https://www.facebook.com/hansel.brown.100" TargetMode="External"/><Relationship Id="rId3714" Type="http://schemas.openxmlformats.org/officeDocument/2006/relationships/hyperlink" Target="https://www.facebook.com/rapplerdotcom/photos/a.317154781638645/5595162900504447/" TargetMode="External"/><Relationship Id="rId3717" Type="http://schemas.openxmlformats.org/officeDocument/2006/relationships/hyperlink" Target="https://www.facebook.com/ameliaarana12345" TargetMode="External"/><Relationship Id="rId3716" Type="http://schemas.openxmlformats.org/officeDocument/2006/relationships/hyperlink" Target="https://www.facebook.com/rapplerdotcom/photos/a.317154781638645/5595162900504447/" TargetMode="External"/><Relationship Id="rId3719" Type="http://schemas.openxmlformats.org/officeDocument/2006/relationships/hyperlink" Target="https://www.facebook.com/profile.php?id=100007713915539" TargetMode="External"/><Relationship Id="rId3718" Type="http://schemas.openxmlformats.org/officeDocument/2006/relationships/hyperlink" Target="https://www.facebook.com/rapplerdotcom/photos/a.317154781638645/5595162900504447/" TargetMode="External"/><Relationship Id="rId3700" Type="http://schemas.openxmlformats.org/officeDocument/2006/relationships/hyperlink" Target="https://www.facebook.com/rapplerdotcom/photos/a.317154781638645/5595162900504447/" TargetMode="External"/><Relationship Id="rId3702" Type="http://schemas.openxmlformats.org/officeDocument/2006/relationships/hyperlink" Target="https://www.facebook.com/rapplerdotcom/photos/a.317154781638645/5595162900504447/" TargetMode="External"/><Relationship Id="rId3701" Type="http://schemas.openxmlformats.org/officeDocument/2006/relationships/hyperlink" Target="https://www.facebook.com/profile.php?id=100070542605397" TargetMode="External"/><Relationship Id="rId3704" Type="http://schemas.openxmlformats.org/officeDocument/2006/relationships/hyperlink" Target="https://www.facebook.com/rapplerdotcom/photos/a.317154781638645/5595162900504447/" TargetMode="External"/><Relationship Id="rId3703" Type="http://schemas.openxmlformats.org/officeDocument/2006/relationships/hyperlink" Target="https://www.facebook.com/smileydokie" TargetMode="External"/><Relationship Id="rId3706" Type="http://schemas.openxmlformats.org/officeDocument/2006/relationships/hyperlink" Target="https://www.facebook.com/rapplerdotcom/photos/a.317154781638645/5595162900504447/" TargetMode="External"/><Relationship Id="rId3705" Type="http://schemas.openxmlformats.org/officeDocument/2006/relationships/hyperlink" Target="https://www.facebook.com/profile.php?id=100008376073692" TargetMode="External"/><Relationship Id="rId3708" Type="http://schemas.openxmlformats.org/officeDocument/2006/relationships/hyperlink" Target="https://www.facebook.com/rapplerdotcom/photos/a.317154781638645/5595162900504447/" TargetMode="External"/><Relationship Id="rId3707" Type="http://schemas.openxmlformats.org/officeDocument/2006/relationships/hyperlink" Target="https://www.facebook.com/jimmy.ballesteros" TargetMode="External"/><Relationship Id="rId3709" Type="http://schemas.openxmlformats.org/officeDocument/2006/relationships/hyperlink" Target="https://www.facebook.com/rey.sumam" TargetMode="External"/><Relationship Id="rId2401" Type="http://schemas.openxmlformats.org/officeDocument/2006/relationships/hyperlink" Target="https://www.facebook.com/alexa.glodo.75" TargetMode="External"/><Relationship Id="rId3733" Type="http://schemas.openxmlformats.org/officeDocument/2006/relationships/hyperlink" Target="https://www.facebook.com/jimmy.ballesteros" TargetMode="External"/><Relationship Id="rId2402" Type="http://schemas.openxmlformats.org/officeDocument/2006/relationships/hyperlink" Target="https://www.facebook.com/rapplerdotcom/posts/pfbid0TYP6syjYwznxJKdhWv9YMaXK9NvsSEhQ2cyyCQCPMvGapWXrQBHehywgT156wqNPl" TargetMode="External"/><Relationship Id="rId3732" Type="http://schemas.openxmlformats.org/officeDocument/2006/relationships/hyperlink" Target="https://www.facebook.com/rapplerdotcom/photos/a.317154781638645/5595162900504447/" TargetMode="External"/><Relationship Id="rId2403" Type="http://schemas.openxmlformats.org/officeDocument/2006/relationships/hyperlink" Target="https://www.facebook.com/pau.ruds" TargetMode="External"/><Relationship Id="rId3735" Type="http://schemas.openxmlformats.org/officeDocument/2006/relationships/hyperlink" Target="https://www.facebook.com/profile.php?id=100011366202531" TargetMode="External"/><Relationship Id="rId2404" Type="http://schemas.openxmlformats.org/officeDocument/2006/relationships/hyperlink" Target="https://www.facebook.com/rapplerdotcom/posts/pfbid0TYP6syjYwznxJKdhWv9YMaXK9NvsSEhQ2cyyCQCPMvGapWXrQBHehywgT156wqNPl" TargetMode="External"/><Relationship Id="rId3734" Type="http://schemas.openxmlformats.org/officeDocument/2006/relationships/hyperlink" Target="https://www.facebook.com/rapplerdotcom/photos/a.317154781638645/5595162900504447/" TargetMode="External"/><Relationship Id="rId2405" Type="http://schemas.openxmlformats.org/officeDocument/2006/relationships/hyperlink" Target="https://www.facebook.com/ignacio.degocena" TargetMode="External"/><Relationship Id="rId3737" Type="http://schemas.openxmlformats.org/officeDocument/2006/relationships/hyperlink" Target="https://www.facebook.com/ferdy.romualdez" TargetMode="External"/><Relationship Id="rId2406" Type="http://schemas.openxmlformats.org/officeDocument/2006/relationships/hyperlink" Target="https://www.facebook.com/rapplerdotcom/posts/pfbid0TYP6syjYwznxJKdhWv9YMaXK9NvsSEhQ2cyyCQCPMvGapWXrQBHehywgT156wqNPl" TargetMode="External"/><Relationship Id="rId3736" Type="http://schemas.openxmlformats.org/officeDocument/2006/relationships/hyperlink" Target="https://www.facebook.com/rapplerdotcom/photos/a.317154781638645/5595162900504447/" TargetMode="External"/><Relationship Id="rId2407" Type="http://schemas.openxmlformats.org/officeDocument/2006/relationships/hyperlink" Target="https://www.facebook.com/triplovers143" TargetMode="External"/><Relationship Id="rId3739" Type="http://schemas.openxmlformats.org/officeDocument/2006/relationships/hyperlink" Target="https://www.facebook.com/profile.php?id=100009351123949" TargetMode="External"/><Relationship Id="rId2408" Type="http://schemas.openxmlformats.org/officeDocument/2006/relationships/hyperlink" Target="https://www.facebook.com/rapplerdotcom/posts/pfbid0TYP6syjYwznxJKdhWv9YMaXK9NvsSEhQ2cyyCQCPMvGapWXrQBHehywgT156wqNPl" TargetMode="External"/><Relationship Id="rId3738" Type="http://schemas.openxmlformats.org/officeDocument/2006/relationships/hyperlink" Target="https://www.facebook.com/rapplerdotcom/photos/a.317154781638645/5595162900504447/" TargetMode="External"/><Relationship Id="rId2409" Type="http://schemas.openxmlformats.org/officeDocument/2006/relationships/hyperlink" Target="https://www.facebook.com/michelle.m.casal" TargetMode="External"/><Relationship Id="rId3731" Type="http://schemas.openxmlformats.org/officeDocument/2006/relationships/hyperlink" Target="https://www.facebook.com/jimmy.ballesteros" TargetMode="External"/><Relationship Id="rId2400" Type="http://schemas.openxmlformats.org/officeDocument/2006/relationships/hyperlink" Target="https://www.facebook.com/rapplerdotcom/posts/pfbid0TYP6syjYwznxJKdhWv9YMaXK9NvsSEhQ2cyyCQCPMvGapWXrQBHehywgT156wqNPl" TargetMode="External"/><Relationship Id="rId3730" Type="http://schemas.openxmlformats.org/officeDocument/2006/relationships/hyperlink" Target="https://www.facebook.com/rapplerdotcom/photos/a.317154781638645/5595162900504447/" TargetMode="External"/><Relationship Id="rId3722" Type="http://schemas.openxmlformats.org/officeDocument/2006/relationships/hyperlink" Target="https://www.facebook.com/rapplerdotcom/photos/a.317154781638645/5595162900504447/" TargetMode="External"/><Relationship Id="rId3721" Type="http://schemas.openxmlformats.org/officeDocument/2006/relationships/hyperlink" Target="https://www.facebook.com/profile.php?id=100040658171991" TargetMode="External"/><Relationship Id="rId3724" Type="http://schemas.openxmlformats.org/officeDocument/2006/relationships/hyperlink" Target="https://www.facebook.com/rapplerdotcom/photos/a.317154781638645/5595162900504447/" TargetMode="External"/><Relationship Id="rId3723" Type="http://schemas.openxmlformats.org/officeDocument/2006/relationships/hyperlink" Target="https://www.facebook.com/butz.arribe" TargetMode="External"/><Relationship Id="rId3726" Type="http://schemas.openxmlformats.org/officeDocument/2006/relationships/hyperlink" Target="https://www.facebook.com/rapplerdotcom/photos/a.317154781638645/5595162900504447/" TargetMode="External"/><Relationship Id="rId3725" Type="http://schemas.openxmlformats.org/officeDocument/2006/relationships/hyperlink" Target="https://www.facebook.com/holaissa.jaboneta" TargetMode="External"/><Relationship Id="rId3728" Type="http://schemas.openxmlformats.org/officeDocument/2006/relationships/hyperlink" Target="https://www.facebook.com/rapplerdotcom/photos/a.317154781638645/5595162900504447/" TargetMode="External"/><Relationship Id="rId3727" Type="http://schemas.openxmlformats.org/officeDocument/2006/relationships/hyperlink" Target="https://www.facebook.com/JayArziiGee" TargetMode="External"/><Relationship Id="rId3729" Type="http://schemas.openxmlformats.org/officeDocument/2006/relationships/hyperlink" Target="https://www.facebook.com/profile.php?id=100075210031359" TargetMode="External"/><Relationship Id="rId3720" Type="http://schemas.openxmlformats.org/officeDocument/2006/relationships/hyperlink" Target="https://www.facebook.com/rapplerdotcom/photos/a.317154781638645/5595162900504447/" TargetMode="External"/><Relationship Id="rId1170" Type="http://schemas.openxmlformats.org/officeDocument/2006/relationships/hyperlink" Target="https://www.facebook.com/rapplerdotcom/posts/pfbid02dNgAR64VTtp94Rus4o9MNbU55E2H9Wp7KMKzJGkk6u4UxRyHU8j2pPpwa5iwGcD3l" TargetMode="External"/><Relationship Id="rId1171" Type="http://schemas.openxmlformats.org/officeDocument/2006/relationships/hyperlink" Target="https://www.facebook.com/maico.lopez.3517" TargetMode="External"/><Relationship Id="rId1172" Type="http://schemas.openxmlformats.org/officeDocument/2006/relationships/hyperlink" Target="https://www.facebook.com/rapplerdotcom/posts/pfbid02dNgAR64VTtp94Rus4o9MNbU55E2H9Wp7KMKzJGkk6u4UxRyHU8j2pPpwa5iwGcD3l" TargetMode="External"/><Relationship Id="rId1173" Type="http://schemas.openxmlformats.org/officeDocument/2006/relationships/hyperlink" Target="https://www.facebook.com/venusemano.go.1" TargetMode="External"/><Relationship Id="rId1174" Type="http://schemas.openxmlformats.org/officeDocument/2006/relationships/hyperlink" Target="https://www.facebook.com/rapplerdotcom/posts/pfbid02dNgAR64VTtp94Rus4o9MNbU55E2H9Wp7KMKzJGkk6u4UxRyHU8j2pPpwa5iwGcD3l" TargetMode="External"/><Relationship Id="rId1175" Type="http://schemas.openxmlformats.org/officeDocument/2006/relationships/hyperlink" Target="https://www.facebook.com/marializa.ko" TargetMode="External"/><Relationship Id="rId1176" Type="http://schemas.openxmlformats.org/officeDocument/2006/relationships/hyperlink" Target="https://www.facebook.com/rapplerdotcom/posts/pfbid02dNgAR64VTtp94Rus4o9MNbU55E2H9Wp7KMKzJGkk6u4UxRyHU8j2pPpwa5iwGcD3l" TargetMode="External"/><Relationship Id="rId1177" Type="http://schemas.openxmlformats.org/officeDocument/2006/relationships/hyperlink" Target="https://www.facebook.com/makatoldrrmo" TargetMode="External"/><Relationship Id="rId1178" Type="http://schemas.openxmlformats.org/officeDocument/2006/relationships/hyperlink" Target="https://www.facebook.com/rapplerdotcom/posts/pfbid02dNgAR64VTtp94Rus4o9MNbU55E2H9Wp7KMKzJGkk6u4UxRyHU8j2pPpwa5iwGcD3l" TargetMode="External"/><Relationship Id="rId1179" Type="http://schemas.openxmlformats.org/officeDocument/2006/relationships/hyperlink" Target="https://www.facebook.com/paye.dionisio" TargetMode="External"/><Relationship Id="rId1169" Type="http://schemas.openxmlformats.org/officeDocument/2006/relationships/hyperlink" Target="https://www.facebook.com/jessel.pascua.1" TargetMode="External"/><Relationship Id="rId2490" Type="http://schemas.openxmlformats.org/officeDocument/2006/relationships/hyperlink" Target="https://www.facebook.com/rapplerdotcom/posts/pfbid0TYP6syjYwznxJKdhWv9YMaXK9NvsSEhQ2cyyCQCPMvGapWXrQBHehywgT156wqNPl" TargetMode="External"/><Relationship Id="rId1160" Type="http://schemas.openxmlformats.org/officeDocument/2006/relationships/hyperlink" Target="https://www.facebook.com/rapplerdotcom/posts/pfbid02dNgAR64VTtp94Rus4o9MNbU55E2H9Wp7KMKzJGkk6u4UxRyHU8j2pPpwa5iwGcD3l" TargetMode="External"/><Relationship Id="rId2491" Type="http://schemas.openxmlformats.org/officeDocument/2006/relationships/hyperlink" Target="https://www.facebook.com/danilos.deleon.54" TargetMode="External"/><Relationship Id="rId1161" Type="http://schemas.openxmlformats.org/officeDocument/2006/relationships/hyperlink" Target="https://www.facebook.com/edwin.redz.mangeron" TargetMode="External"/><Relationship Id="rId2492" Type="http://schemas.openxmlformats.org/officeDocument/2006/relationships/hyperlink" Target="https://www.facebook.com/rapplerdotcom/posts/pfbid0TYP6syjYwznxJKdhWv9YMaXK9NvsSEhQ2cyyCQCPMvGapWXrQBHehywgT156wqNPl" TargetMode="External"/><Relationship Id="rId1162" Type="http://schemas.openxmlformats.org/officeDocument/2006/relationships/hyperlink" Target="https://www.facebook.com/rapplerdotcom/posts/pfbid02dNgAR64VTtp94Rus4o9MNbU55E2H9Wp7KMKzJGkk6u4UxRyHU8j2pPpwa5iwGcD3l" TargetMode="External"/><Relationship Id="rId2493" Type="http://schemas.openxmlformats.org/officeDocument/2006/relationships/hyperlink" Target="https://www.facebook.com/midsayap.vines.9" TargetMode="External"/><Relationship Id="rId1163" Type="http://schemas.openxmlformats.org/officeDocument/2006/relationships/hyperlink" Target="https://www.facebook.com/profile.php?id=100000527554200" TargetMode="External"/><Relationship Id="rId2494" Type="http://schemas.openxmlformats.org/officeDocument/2006/relationships/hyperlink" Target="https://www.facebook.com/rapplerdotcom/posts/pfbid0TYP6syjYwznxJKdhWv9YMaXK9NvsSEhQ2cyyCQCPMvGapWXrQBHehywgT156wqNPl" TargetMode="External"/><Relationship Id="rId1164" Type="http://schemas.openxmlformats.org/officeDocument/2006/relationships/hyperlink" Target="https://www.facebook.com/rapplerdotcom/posts/pfbid02dNgAR64VTtp94Rus4o9MNbU55E2H9Wp7KMKzJGkk6u4UxRyHU8j2pPpwa5iwGcD3l" TargetMode="External"/><Relationship Id="rId2495" Type="http://schemas.openxmlformats.org/officeDocument/2006/relationships/hyperlink" Target="https://www.facebook.com/rheajoycehernandez" TargetMode="External"/><Relationship Id="rId1165" Type="http://schemas.openxmlformats.org/officeDocument/2006/relationships/hyperlink" Target="https://www.facebook.com/ronmsalvador" TargetMode="External"/><Relationship Id="rId2496" Type="http://schemas.openxmlformats.org/officeDocument/2006/relationships/hyperlink" Target="https://www.facebook.com/rapplerdotcom/posts/pfbid0TYP6syjYwznxJKdhWv9YMaXK9NvsSEhQ2cyyCQCPMvGapWXrQBHehywgT156wqNPl" TargetMode="External"/><Relationship Id="rId1166" Type="http://schemas.openxmlformats.org/officeDocument/2006/relationships/hyperlink" Target="https://www.facebook.com/rapplerdotcom/posts/pfbid02dNgAR64VTtp94Rus4o9MNbU55E2H9Wp7KMKzJGkk6u4UxRyHU8j2pPpwa5iwGcD3l" TargetMode="External"/><Relationship Id="rId2497" Type="http://schemas.openxmlformats.org/officeDocument/2006/relationships/hyperlink" Target="https://www.facebook.com/rachel.zamora.5680" TargetMode="External"/><Relationship Id="rId1167" Type="http://schemas.openxmlformats.org/officeDocument/2006/relationships/hyperlink" Target="https://www.facebook.com/profile.php?id=100008658065734" TargetMode="External"/><Relationship Id="rId2498" Type="http://schemas.openxmlformats.org/officeDocument/2006/relationships/hyperlink" Target="https://www.facebook.com/rapplerdotcom/posts/pfbid0TYP6syjYwznxJKdhWv9YMaXK9NvsSEhQ2cyyCQCPMvGapWXrQBHehywgT156wqNPl" TargetMode="External"/><Relationship Id="rId1168" Type="http://schemas.openxmlformats.org/officeDocument/2006/relationships/hyperlink" Target="https://www.facebook.com/rapplerdotcom/posts/pfbid02dNgAR64VTtp94Rus4o9MNbU55E2H9Wp7KMKzJGkk6u4UxRyHU8j2pPpwa5iwGcD3l" TargetMode="External"/><Relationship Id="rId2499" Type="http://schemas.openxmlformats.org/officeDocument/2006/relationships/hyperlink" Target="https://www.facebook.com/arni.reyes.5" TargetMode="External"/><Relationship Id="rId1190" Type="http://schemas.openxmlformats.org/officeDocument/2006/relationships/hyperlink" Target="https://www.facebook.com/rapplerdotcom/posts/pfbid023goEfA6e1ABSWYJFy8fQ5LFWDv4QTSTmAfzySGtMSpy12iqywB2MUZjiZ8GjCxrGl" TargetMode="External"/><Relationship Id="rId1191" Type="http://schemas.openxmlformats.org/officeDocument/2006/relationships/hyperlink" Target="https://www.facebook.com/flor.caimen" TargetMode="External"/><Relationship Id="rId1192" Type="http://schemas.openxmlformats.org/officeDocument/2006/relationships/hyperlink" Target="https://www.facebook.com/rapplerdotcom/posts/pfbid023goEfA6e1ABSWYJFy8fQ5LFWDv4QTSTmAfzySGtMSpy12iqywB2MUZjiZ8GjCxrGl" TargetMode="External"/><Relationship Id="rId1193" Type="http://schemas.openxmlformats.org/officeDocument/2006/relationships/hyperlink" Target="https://www.facebook.com/gmanalotoco" TargetMode="External"/><Relationship Id="rId1194" Type="http://schemas.openxmlformats.org/officeDocument/2006/relationships/hyperlink" Target="https://www.facebook.com/rapplerdotcom/posts/pfbid023goEfA6e1ABSWYJFy8fQ5LFWDv4QTSTmAfzySGtMSpy12iqywB2MUZjiZ8GjCxrGl" TargetMode="External"/><Relationship Id="rId1195" Type="http://schemas.openxmlformats.org/officeDocument/2006/relationships/hyperlink" Target="https://www.facebook.com/undress.bonifacio.100" TargetMode="External"/><Relationship Id="rId1196" Type="http://schemas.openxmlformats.org/officeDocument/2006/relationships/hyperlink" Target="https://www.facebook.com/rapplerdotcom/posts/pfbid023goEfA6e1ABSWYJFy8fQ5LFWDv4QTSTmAfzySGtMSpy12iqywB2MUZjiZ8GjCxrGl" TargetMode="External"/><Relationship Id="rId1197" Type="http://schemas.openxmlformats.org/officeDocument/2006/relationships/hyperlink" Target="https://www.facebook.com/pepe.ledesma.7140" TargetMode="External"/><Relationship Id="rId1198" Type="http://schemas.openxmlformats.org/officeDocument/2006/relationships/hyperlink" Target="https://www.facebook.com/rapplerdotcom/posts/pfbid023goEfA6e1ABSWYJFy8fQ5LFWDv4QTSTmAfzySGtMSpy12iqywB2MUZjiZ8GjCxrGl" TargetMode="External"/><Relationship Id="rId1199" Type="http://schemas.openxmlformats.org/officeDocument/2006/relationships/hyperlink" Target="https://www.facebook.com/lilzdangazolituanas.cabagnot" TargetMode="External"/><Relationship Id="rId1180" Type="http://schemas.openxmlformats.org/officeDocument/2006/relationships/hyperlink" Target="https://www.facebook.com/rapplerdotcom/posts/pfbid02dNgAR64VTtp94Rus4o9MNbU55E2H9Wp7KMKzJGkk6u4UxRyHU8j2pPpwa5iwGcD3l" TargetMode="External"/><Relationship Id="rId1181" Type="http://schemas.openxmlformats.org/officeDocument/2006/relationships/hyperlink" Target="https://www.facebook.com/rosalia.calmaibanez" TargetMode="External"/><Relationship Id="rId1182" Type="http://schemas.openxmlformats.org/officeDocument/2006/relationships/hyperlink" Target="https://www.facebook.com/rapplerdotcom/posts/pfbid02dNgAR64VTtp94Rus4o9MNbU55E2H9Wp7KMKzJGkk6u4UxRyHU8j2pPpwa5iwGcD3l" TargetMode="External"/><Relationship Id="rId1183" Type="http://schemas.openxmlformats.org/officeDocument/2006/relationships/hyperlink" Target="https://www.facebook.com/lyn.cobajada" TargetMode="External"/><Relationship Id="rId1184" Type="http://schemas.openxmlformats.org/officeDocument/2006/relationships/hyperlink" Target="https://www.facebook.com/rapplerdotcom/posts/pfbid02dNgAR64VTtp94Rus4o9MNbU55E2H9Wp7KMKzJGkk6u4UxRyHU8j2pPpwa5iwGcD3l" TargetMode="External"/><Relationship Id="rId1185" Type="http://schemas.openxmlformats.org/officeDocument/2006/relationships/hyperlink" Target="https://www.facebook.com/claude.garcia.161" TargetMode="External"/><Relationship Id="rId1186" Type="http://schemas.openxmlformats.org/officeDocument/2006/relationships/hyperlink" Target="https://www.facebook.com/rapplerdotcom/posts/pfbid02dNgAR64VTtp94Rus4o9MNbU55E2H9Wp7KMKzJGkk6u4UxRyHU8j2pPpwa5iwGcD3l" TargetMode="External"/><Relationship Id="rId1187" Type="http://schemas.openxmlformats.org/officeDocument/2006/relationships/hyperlink" Target="https://www.facebook.com/steve.tamayo.18" TargetMode="External"/><Relationship Id="rId1188" Type="http://schemas.openxmlformats.org/officeDocument/2006/relationships/hyperlink" Target="https://www.facebook.com/rapplerdotcom/posts/pfbid023goEfA6e1ABSWYJFy8fQ5LFWDv4QTSTmAfzySGtMSpy12iqywB2MUZjiZ8GjCxrGl" TargetMode="External"/><Relationship Id="rId1189" Type="http://schemas.openxmlformats.org/officeDocument/2006/relationships/hyperlink" Target="https://www.facebook.com/johndiazcortez" TargetMode="External"/><Relationship Id="rId1136" Type="http://schemas.openxmlformats.org/officeDocument/2006/relationships/hyperlink" Target="https://www.facebook.com/rapplerdotcom/posts/pfbid02dNgAR64VTtp94Rus4o9MNbU55E2H9Wp7KMKzJGkk6u4UxRyHU8j2pPpwa5iwGcD3l" TargetMode="External"/><Relationship Id="rId2467" Type="http://schemas.openxmlformats.org/officeDocument/2006/relationships/hyperlink" Target="https://www.facebook.com/ej.munieza1027" TargetMode="External"/><Relationship Id="rId3799" Type="http://schemas.openxmlformats.org/officeDocument/2006/relationships/hyperlink" Target="https://www.facebook.com/emil.paragas" TargetMode="External"/><Relationship Id="rId1137" Type="http://schemas.openxmlformats.org/officeDocument/2006/relationships/hyperlink" Target="https://www.facebook.com/ronmsalvador" TargetMode="External"/><Relationship Id="rId2468" Type="http://schemas.openxmlformats.org/officeDocument/2006/relationships/hyperlink" Target="https://www.facebook.com/rapplerdotcom/posts/pfbid0TYP6syjYwznxJKdhWv9YMaXK9NvsSEhQ2cyyCQCPMvGapWXrQBHehywgT156wqNPl" TargetMode="External"/><Relationship Id="rId3798" Type="http://schemas.openxmlformats.org/officeDocument/2006/relationships/hyperlink" Target="https://www.facebook.com/rapplerdotcom/posts/pfbid0dyWpzxim3h4Z2SYriGakwQw85p7BCAgct7KU5EiMX1bmmgNHDD8nmES8rjrADsrPl" TargetMode="External"/><Relationship Id="rId1138" Type="http://schemas.openxmlformats.org/officeDocument/2006/relationships/hyperlink" Target="https://www.facebook.com/rapplerdotcom/posts/pfbid02dNgAR64VTtp94Rus4o9MNbU55E2H9Wp7KMKzJGkk6u4UxRyHU8j2pPpwa5iwGcD3l" TargetMode="External"/><Relationship Id="rId2469" Type="http://schemas.openxmlformats.org/officeDocument/2006/relationships/hyperlink" Target="https://www.facebook.com/hayzexxi.14" TargetMode="External"/><Relationship Id="rId1139" Type="http://schemas.openxmlformats.org/officeDocument/2006/relationships/hyperlink" Target="https://www.facebook.com/smileatmeliz" TargetMode="External"/><Relationship Id="rId3791" Type="http://schemas.openxmlformats.org/officeDocument/2006/relationships/hyperlink" Target="https://www.facebook.com/nilo.asas" TargetMode="External"/><Relationship Id="rId2460" Type="http://schemas.openxmlformats.org/officeDocument/2006/relationships/hyperlink" Target="https://www.facebook.com/rapplerdotcom/posts/pfbid0TYP6syjYwznxJKdhWv9YMaXK9NvsSEhQ2cyyCQCPMvGapWXrQBHehywgT156wqNPl" TargetMode="External"/><Relationship Id="rId3790" Type="http://schemas.openxmlformats.org/officeDocument/2006/relationships/hyperlink" Target="https://www.facebook.com/rapplerdotcom/posts/pfbid0dyWpzxim3h4Z2SYriGakwQw85p7BCAgct7KU5EiMX1bmmgNHDD8nmES8rjrADsrPl" TargetMode="External"/><Relationship Id="rId1130" Type="http://schemas.openxmlformats.org/officeDocument/2006/relationships/hyperlink" Target="https://www.facebook.com/rapplerdotcom/posts/pfbid02dNgAR64VTtp94Rus4o9MNbU55E2H9Wp7KMKzJGkk6u4UxRyHU8j2pPpwa5iwGcD3l" TargetMode="External"/><Relationship Id="rId2461" Type="http://schemas.openxmlformats.org/officeDocument/2006/relationships/hyperlink" Target="https://www.facebook.com/jury.vibar" TargetMode="External"/><Relationship Id="rId3793" Type="http://schemas.openxmlformats.org/officeDocument/2006/relationships/hyperlink" Target="https://www.facebook.com/ronan.alejandro" TargetMode="External"/><Relationship Id="rId1131" Type="http://schemas.openxmlformats.org/officeDocument/2006/relationships/hyperlink" Target="https://www.facebook.com/bunny.orogan" TargetMode="External"/><Relationship Id="rId2462" Type="http://schemas.openxmlformats.org/officeDocument/2006/relationships/hyperlink" Target="https://www.facebook.com/rapplerdotcom/posts/pfbid0TYP6syjYwznxJKdhWv9YMaXK9NvsSEhQ2cyyCQCPMvGapWXrQBHehywgT156wqNPl" TargetMode="External"/><Relationship Id="rId3792" Type="http://schemas.openxmlformats.org/officeDocument/2006/relationships/hyperlink" Target="https://www.facebook.com/rapplerdotcom/posts/pfbid0dyWpzxim3h4Z2SYriGakwQw85p7BCAgct7KU5EiMX1bmmgNHDD8nmES8rjrADsrPl" TargetMode="External"/><Relationship Id="rId1132" Type="http://schemas.openxmlformats.org/officeDocument/2006/relationships/hyperlink" Target="https://www.facebook.com/rapplerdotcom/posts/pfbid02dNgAR64VTtp94Rus4o9MNbU55E2H9Wp7KMKzJGkk6u4UxRyHU8j2pPpwa5iwGcD3l" TargetMode="External"/><Relationship Id="rId2463" Type="http://schemas.openxmlformats.org/officeDocument/2006/relationships/hyperlink" Target="https://www.facebook.com/cherry.samson.7374" TargetMode="External"/><Relationship Id="rId3795" Type="http://schemas.openxmlformats.org/officeDocument/2006/relationships/hyperlink" Target="https://www.facebook.com/babie.canete" TargetMode="External"/><Relationship Id="rId1133" Type="http://schemas.openxmlformats.org/officeDocument/2006/relationships/hyperlink" Target="https://www.facebook.com/julie.quintela" TargetMode="External"/><Relationship Id="rId2464" Type="http://schemas.openxmlformats.org/officeDocument/2006/relationships/hyperlink" Target="https://www.facebook.com/rapplerdotcom/posts/pfbid0TYP6syjYwznxJKdhWv9YMaXK9NvsSEhQ2cyyCQCPMvGapWXrQBHehywgT156wqNPl" TargetMode="External"/><Relationship Id="rId3794" Type="http://schemas.openxmlformats.org/officeDocument/2006/relationships/hyperlink" Target="https://www.facebook.com/rapplerdotcom/posts/pfbid0dyWpzxim3h4Z2SYriGakwQw85p7BCAgct7KU5EiMX1bmmgNHDD8nmES8rjrADsrPl" TargetMode="External"/><Relationship Id="rId1134" Type="http://schemas.openxmlformats.org/officeDocument/2006/relationships/hyperlink" Target="https://www.facebook.com/rapplerdotcom/posts/pfbid02dNgAR64VTtp94Rus4o9MNbU55E2H9Wp7KMKzJGkk6u4UxRyHU8j2pPpwa5iwGcD3l" TargetMode="External"/><Relationship Id="rId2465" Type="http://schemas.openxmlformats.org/officeDocument/2006/relationships/hyperlink" Target="https://www.facebook.com/profile.php?id=100009085638334" TargetMode="External"/><Relationship Id="rId3797" Type="http://schemas.openxmlformats.org/officeDocument/2006/relationships/hyperlink" Target="https://www.facebook.com/emil.paragas" TargetMode="External"/><Relationship Id="rId1135" Type="http://schemas.openxmlformats.org/officeDocument/2006/relationships/hyperlink" Target="https://www.facebook.com/smileatmeliz" TargetMode="External"/><Relationship Id="rId2466" Type="http://schemas.openxmlformats.org/officeDocument/2006/relationships/hyperlink" Target="https://www.facebook.com/rapplerdotcom/posts/pfbid0TYP6syjYwznxJKdhWv9YMaXK9NvsSEhQ2cyyCQCPMvGapWXrQBHehywgT156wqNPl" TargetMode="External"/><Relationship Id="rId3796" Type="http://schemas.openxmlformats.org/officeDocument/2006/relationships/hyperlink" Target="https://www.facebook.com/rapplerdotcom/posts/pfbid0dyWpzxim3h4Z2SYriGakwQw85p7BCAgct7KU5EiMX1bmmgNHDD8nmES8rjrADsrPl" TargetMode="External"/><Relationship Id="rId1125" Type="http://schemas.openxmlformats.org/officeDocument/2006/relationships/hyperlink" Target="https://www.facebook.com/melinda.aldueza" TargetMode="External"/><Relationship Id="rId2456" Type="http://schemas.openxmlformats.org/officeDocument/2006/relationships/hyperlink" Target="https://www.facebook.com/rapplerdotcom/posts/pfbid0TYP6syjYwznxJKdhWv9YMaXK9NvsSEhQ2cyyCQCPMvGapWXrQBHehywgT156wqNPl" TargetMode="External"/><Relationship Id="rId3788" Type="http://schemas.openxmlformats.org/officeDocument/2006/relationships/hyperlink" Target="https://www.facebook.com/rapplerdotcom/posts/pfbid0dyWpzxim3h4Z2SYriGakwQw85p7BCAgct7KU5EiMX1bmmgNHDD8nmES8rjrADsrPl" TargetMode="External"/><Relationship Id="rId1126" Type="http://schemas.openxmlformats.org/officeDocument/2006/relationships/hyperlink" Target="https://www.facebook.com/rapplerdotcom/posts/pfbid02dNgAR64VTtp94Rus4o9MNbU55E2H9Wp7KMKzJGkk6u4UxRyHU8j2pPpwa5iwGcD3l" TargetMode="External"/><Relationship Id="rId2457" Type="http://schemas.openxmlformats.org/officeDocument/2006/relationships/hyperlink" Target="https://www.facebook.com/jauny.marifecdoguinon" TargetMode="External"/><Relationship Id="rId3787" Type="http://schemas.openxmlformats.org/officeDocument/2006/relationships/hyperlink" Target="https://www.facebook.com/cecile.agobian" TargetMode="External"/><Relationship Id="rId1127" Type="http://schemas.openxmlformats.org/officeDocument/2006/relationships/hyperlink" Target="https://www.facebook.com/dan.mendoza.5602" TargetMode="External"/><Relationship Id="rId2458" Type="http://schemas.openxmlformats.org/officeDocument/2006/relationships/hyperlink" Target="https://www.facebook.com/rapplerdotcom/posts/pfbid0TYP6syjYwznxJKdhWv9YMaXK9NvsSEhQ2cyyCQCPMvGapWXrQBHehywgT156wqNPl" TargetMode="External"/><Relationship Id="rId1128" Type="http://schemas.openxmlformats.org/officeDocument/2006/relationships/hyperlink" Target="https://www.facebook.com/rapplerdotcom/posts/pfbid02dNgAR64VTtp94Rus4o9MNbU55E2H9Wp7KMKzJGkk6u4UxRyHU8j2pPpwa5iwGcD3l" TargetMode="External"/><Relationship Id="rId2459" Type="http://schemas.openxmlformats.org/officeDocument/2006/relationships/hyperlink" Target="https://www.facebook.com/cherrylynyapchapco.diaz" TargetMode="External"/><Relationship Id="rId3789" Type="http://schemas.openxmlformats.org/officeDocument/2006/relationships/hyperlink" Target="https://www.facebook.com/emil.paragas" TargetMode="External"/><Relationship Id="rId1129" Type="http://schemas.openxmlformats.org/officeDocument/2006/relationships/hyperlink" Target="https://www.facebook.com/j.aizen15" TargetMode="External"/><Relationship Id="rId3780" Type="http://schemas.openxmlformats.org/officeDocument/2006/relationships/hyperlink" Target="https://www.facebook.com/rapplerdotcom/posts/pfbid0dyWpzxim3h4Z2SYriGakwQw85p7BCAgct7KU5EiMX1bmmgNHDD8nmES8rjrADsrPl" TargetMode="External"/><Relationship Id="rId2450" Type="http://schemas.openxmlformats.org/officeDocument/2006/relationships/hyperlink" Target="https://www.facebook.com/rapplerdotcom/posts/pfbid0TYP6syjYwznxJKdhWv9YMaXK9NvsSEhQ2cyyCQCPMvGapWXrQBHehywgT156wqNPl" TargetMode="External"/><Relationship Id="rId3782" Type="http://schemas.openxmlformats.org/officeDocument/2006/relationships/hyperlink" Target="https://www.facebook.com/rapplerdotcom/posts/pfbid0dyWpzxim3h4Z2SYriGakwQw85p7BCAgct7KU5EiMX1bmmgNHDD8nmES8rjrADsrPl" TargetMode="External"/><Relationship Id="rId1120" Type="http://schemas.openxmlformats.org/officeDocument/2006/relationships/hyperlink" Target="https://www.facebook.com/rapplerdotcom/posts/pfbid02dNgAR64VTtp94Rus4o9MNbU55E2H9Wp7KMKzJGkk6u4UxRyHU8j2pPpwa5iwGcD3l" TargetMode="External"/><Relationship Id="rId2451" Type="http://schemas.openxmlformats.org/officeDocument/2006/relationships/hyperlink" Target="https://www.facebook.com/profile.php?id=100021390940755" TargetMode="External"/><Relationship Id="rId3781" Type="http://schemas.openxmlformats.org/officeDocument/2006/relationships/hyperlink" Target="https://www.facebook.com/stevenchoocy" TargetMode="External"/><Relationship Id="rId1121" Type="http://schemas.openxmlformats.org/officeDocument/2006/relationships/hyperlink" Target="https://www.facebook.com/ronmsalvador" TargetMode="External"/><Relationship Id="rId2452" Type="http://schemas.openxmlformats.org/officeDocument/2006/relationships/hyperlink" Target="https://www.facebook.com/rapplerdotcom/posts/pfbid0TYP6syjYwznxJKdhWv9YMaXK9NvsSEhQ2cyyCQCPMvGapWXrQBHehywgT156wqNPl" TargetMode="External"/><Relationship Id="rId3784" Type="http://schemas.openxmlformats.org/officeDocument/2006/relationships/hyperlink" Target="https://www.facebook.com/rapplerdotcom/posts/pfbid0dyWpzxim3h4Z2SYriGakwQw85p7BCAgct7KU5EiMX1bmmgNHDD8nmES8rjrADsrPl" TargetMode="External"/><Relationship Id="rId1122" Type="http://schemas.openxmlformats.org/officeDocument/2006/relationships/hyperlink" Target="https://www.facebook.com/rapplerdotcom/posts/pfbid02dNgAR64VTtp94Rus4o9MNbU55E2H9Wp7KMKzJGkk6u4UxRyHU8j2pPpwa5iwGcD3l" TargetMode="External"/><Relationship Id="rId2453" Type="http://schemas.openxmlformats.org/officeDocument/2006/relationships/hyperlink" Target="https://www.facebook.com/alistairjason.tamayou" TargetMode="External"/><Relationship Id="rId3783" Type="http://schemas.openxmlformats.org/officeDocument/2006/relationships/hyperlink" Target="https://www.facebook.com/nolie.mantaring" TargetMode="External"/><Relationship Id="rId1123" Type="http://schemas.openxmlformats.org/officeDocument/2006/relationships/hyperlink" Target="https://www.facebook.com/marivibalanon0908" TargetMode="External"/><Relationship Id="rId2454" Type="http://schemas.openxmlformats.org/officeDocument/2006/relationships/hyperlink" Target="https://www.facebook.com/rapplerdotcom/posts/pfbid0TYP6syjYwznxJKdhWv9YMaXK9NvsSEhQ2cyyCQCPMvGapWXrQBHehywgT156wqNPl" TargetMode="External"/><Relationship Id="rId3786" Type="http://schemas.openxmlformats.org/officeDocument/2006/relationships/hyperlink" Target="https://www.facebook.com/rapplerdotcom/posts/pfbid0dyWpzxim3h4Z2SYriGakwQw85p7BCAgct7KU5EiMX1bmmgNHDD8nmES8rjrADsrPl" TargetMode="External"/><Relationship Id="rId1124" Type="http://schemas.openxmlformats.org/officeDocument/2006/relationships/hyperlink" Target="https://www.facebook.com/rapplerdotcom/posts/pfbid02dNgAR64VTtp94Rus4o9MNbU55E2H9Wp7KMKzJGkk6u4UxRyHU8j2pPpwa5iwGcD3l" TargetMode="External"/><Relationship Id="rId2455" Type="http://schemas.openxmlformats.org/officeDocument/2006/relationships/hyperlink" Target="https://www.facebook.com/asela.calamlam" TargetMode="External"/><Relationship Id="rId3785" Type="http://schemas.openxmlformats.org/officeDocument/2006/relationships/hyperlink" Target="https://www.facebook.com/profile.php?id=100013497646924" TargetMode="External"/><Relationship Id="rId1158" Type="http://schemas.openxmlformats.org/officeDocument/2006/relationships/hyperlink" Target="https://www.facebook.com/rapplerdotcom/posts/pfbid02dNgAR64VTtp94Rus4o9MNbU55E2H9Wp7KMKzJGkk6u4UxRyHU8j2pPpwa5iwGcD3l" TargetMode="External"/><Relationship Id="rId2489" Type="http://schemas.openxmlformats.org/officeDocument/2006/relationships/hyperlink" Target="https://www.facebook.com/EdithaSeva" TargetMode="External"/><Relationship Id="rId1159" Type="http://schemas.openxmlformats.org/officeDocument/2006/relationships/hyperlink" Target="https://www.facebook.com/ogie.fernandez.731" TargetMode="External"/><Relationship Id="rId2480" Type="http://schemas.openxmlformats.org/officeDocument/2006/relationships/hyperlink" Target="https://www.facebook.com/rapplerdotcom/posts/pfbid0TYP6syjYwznxJKdhWv9YMaXK9NvsSEhQ2cyyCQCPMvGapWXrQBHehywgT156wqNPl" TargetMode="External"/><Relationship Id="rId1150" Type="http://schemas.openxmlformats.org/officeDocument/2006/relationships/hyperlink" Target="https://www.facebook.com/rapplerdotcom/posts/pfbid02dNgAR64VTtp94Rus4o9MNbU55E2H9Wp7KMKzJGkk6u4UxRyHU8j2pPpwa5iwGcD3l" TargetMode="External"/><Relationship Id="rId2481" Type="http://schemas.openxmlformats.org/officeDocument/2006/relationships/hyperlink" Target="https://www.facebook.com/romer.carredo" TargetMode="External"/><Relationship Id="rId1151" Type="http://schemas.openxmlformats.org/officeDocument/2006/relationships/hyperlink" Target="https://www.facebook.com/mariatheresa.aguilar.35" TargetMode="External"/><Relationship Id="rId2482" Type="http://schemas.openxmlformats.org/officeDocument/2006/relationships/hyperlink" Target="https://www.facebook.com/rapplerdotcom/posts/pfbid0TYP6syjYwznxJKdhWv9YMaXK9NvsSEhQ2cyyCQCPMvGapWXrQBHehywgT156wqNPl" TargetMode="External"/><Relationship Id="rId1152" Type="http://schemas.openxmlformats.org/officeDocument/2006/relationships/hyperlink" Target="https://www.facebook.com/rapplerdotcom/posts/pfbid02dNgAR64VTtp94Rus4o9MNbU55E2H9Wp7KMKzJGkk6u4UxRyHU8j2pPpwa5iwGcD3l" TargetMode="External"/><Relationship Id="rId2483" Type="http://schemas.openxmlformats.org/officeDocument/2006/relationships/hyperlink" Target="https://www.facebook.com/deepblue69" TargetMode="External"/><Relationship Id="rId1153" Type="http://schemas.openxmlformats.org/officeDocument/2006/relationships/hyperlink" Target="https://www.facebook.com/lovely.herrera1" TargetMode="External"/><Relationship Id="rId2484" Type="http://schemas.openxmlformats.org/officeDocument/2006/relationships/hyperlink" Target="https://www.facebook.com/rapplerdotcom/posts/pfbid0TYP6syjYwznxJKdhWv9YMaXK9NvsSEhQ2cyyCQCPMvGapWXrQBHehywgT156wqNPl" TargetMode="External"/><Relationship Id="rId1154" Type="http://schemas.openxmlformats.org/officeDocument/2006/relationships/hyperlink" Target="https://www.facebook.com/rapplerdotcom/posts/pfbid02dNgAR64VTtp94Rus4o9MNbU55E2H9Wp7KMKzJGkk6u4UxRyHU8j2pPpwa5iwGcD3l" TargetMode="External"/><Relationship Id="rId2485" Type="http://schemas.openxmlformats.org/officeDocument/2006/relationships/hyperlink" Target="https://www.facebook.com/hanzhabon" TargetMode="External"/><Relationship Id="rId1155" Type="http://schemas.openxmlformats.org/officeDocument/2006/relationships/hyperlink" Target="https://www.facebook.com/Soyiee25" TargetMode="External"/><Relationship Id="rId2486" Type="http://schemas.openxmlformats.org/officeDocument/2006/relationships/hyperlink" Target="https://www.facebook.com/rapplerdotcom/posts/pfbid0TYP6syjYwznxJKdhWv9YMaXK9NvsSEhQ2cyyCQCPMvGapWXrQBHehywgT156wqNPl" TargetMode="External"/><Relationship Id="rId1156" Type="http://schemas.openxmlformats.org/officeDocument/2006/relationships/hyperlink" Target="https://www.facebook.com/rapplerdotcom/posts/pfbid02dNgAR64VTtp94Rus4o9MNbU55E2H9Wp7KMKzJGkk6u4UxRyHU8j2pPpwa5iwGcD3l" TargetMode="External"/><Relationship Id="rId2487" Type="http://schemas.openxmlformats.org/officeDocument/2006/relationships/hyperlink" Target="https://www.facebook.com/profile.php?id=1669143901" TargetMode="External"/><Relationship Id="rId1157" Type="http://schemas.openxmlformats.org/officeDocument/2006/relationships/hyperlink" Target="https://www.facebook.com/jansen.vitug.1" TargetMode="External"/><Relationship Id="rId2488" Type="http://schemas.openxmlformats.org/officeDocument/2006/relationships/hyperlink" Target="https://www.facebook.com/rapplerdotcom/posts/pfbid0TYP6syjYwznxJKdhWv9YMaXK9NvsSEhQ2cyyCQCPMvGapWXrQBHehywgT156wqNPl" TargetMode="External"/><Relationship Id="rId1147" Type="http://schemas.openxmlformats.org/officeDocument/2006/relationships/hyperlink" Target="https://www.facebook.com/khaylifatakeru" TargetMode="External"/><Relationship Id="rId2478" Type="http://schemas.openxmlformats.org/officeDocument/2006/relationships/hyperlink" Target="https://www.facebook.com/rapplerdotcom/posts/pfbid0TYP6syjYwznxJKdhWv9YMaXK9NvsSEhQ2cyyCQCPMvGapWXrQBHehywgT156wqNPl" TargetMode="External"/><Relationship Id="rId1148" Type="http://schemas.openxmlformats.org/officeDocument/2006/relationships/hyperlink" Target="https://www.facebook.com/rapplerdotcom/posts/pfbid02dNgAR64VTtp94Rus4o9MNbU55E2H9Wp7KMKzJGkk6u4UxRyHU8j2pPpwa5iwGcD3l" TargetMode="External"/><Relationship Id="rId2479" Type="http://schemas.openxmlformats.org/officeDocument/2006/relationships/hyperlink" Target="https://www.facebook.com/jnardcurvy" TargetMode="External"/><Relationship Id="rId1149" Type="http://schemas.openxmlformats.org/officeDocument/2006/relationships/hyperlink" Target="https://www.facebook.com/ronmsalvador" TargetMode="External"/><Relationship Id="rId2470" Type="http://schemas.openxmlformats.org/officeDocument/2006/relationships/hyperlink" Target="https://www.facebook.com/rapplerdotcom/posts/pfbid0TYP6syjYwznxJKdhWv9YMaXK9NvsSEhQ2cyyCQCPMvGapWXrQBHehywgT156wqNPl" TargetMode="External"/><Relationship Id="rId1140" Type="http://schemas.openxmlformats.org/officeDocument/2006/relationships/hyperlink" Target="https://www.facebook.com/rapplerdotcom/posts/pfbid02dNgAR64VTtp94Rus4o9MNbU55E2H9Wp7KMKzJGkk6u4UxRyHU8j2pPpwa5iwGcD3l" TargetMode="External"/><Relationship Id="rId2471" Type="http://schemas.openxmlformats.org/officeDocument/2006/relationships/hyperlink" Target="https://www.facebook.com/stalkpamoredzai" TargetMode="External"/><Relationship Id="rId1141" Type="http://schemas.openxmlformats.org/officeDocument/2006/relationships/hyperlink" Target="https://www.facebook.com/ronmsalvador" TargetMode="External"/><Relationship Id="rId2472" Type="http://schemas.openxmlformats.org/officeDocument/2006/relationships/hyperlink" Target="https://www.facebook.com/rapplerdotcom/posts/pfbid0TYP6syjYwznxJKdhWv9YMaXK9NvsSEhQ2cyyCQCPMvGapWXrQBHehywgT156wqNPl" TargetMode="External"/><Relationship Id="rId1142" Type="http://schemas.openxmlformats.org/officeDocument/2006/relationships/hyperlink" Target="https://www.facebook.com/rapplerdotcom/posts/pfbid02dNgAR64VTtp94Rus4o9MNbU55E2H9Wp7KMKzJGkk6u4UxRyHU8j2pPpwa5iwGcD3l" TargetMode="External"/><Relationship Id="rId2473" Type="http://schemas.openxmlformats.org/officeDocument/2006/relationships/hyperlink" Target="https://www.facebook.com/earl.liquigan" TargetMode="External"/><Relationship Id="rId1143" Type="http://schemas.openxmlformats.org/officeDocument/2006/relationships/hyperlink" Target="https://www.facebook.com/smileatmeliz" TargetMode="External"/><Relationship Id="rId2474" Type="http://schemas.openxmlformats.org/officeDocument/2006/relationships/hyperlink" Target="https://www.facebook.com/rapplerdotcom/posts/pfbid0TYP6syjYwznxJKdhWv9YMaXK9NvsSEhQ2cyyCQCPMvGapWXrQBHehywgT156wqNPl" TargetMode="External"/><Relationship Id="rId1144" Type="http://schemas.openxmlformats.org/officeDocument/2006/relationships/hyperlink" Target="https://www.facebook.com/rapplerdotcom/posts/pfbid02dNgAR64VTtp94Rus4o9MNbU55E2H9Wp7KMKzJGkk6u4UxRyHU8j2pPpwa5iwGcD3l" TargetMode="External"/><Relationship Id="rId2475" Type="http://schemas.openxmlformats.org/officeDocument/2006/relationships/hyperlink" Target="https://www.facebook.com/Paola.Tan.23" TargetMode="External"/><Relationship Id="rId1145" Type="http://schemas.openxmlformats.org/officeDocument/2006/relationships/hyperlink" Target="https://www.facebook.com/jessel.pascua.1" TargetMode="External"/><Relationship Id="rId2476" Type="http://schemas.openxmlformats.org/officeDocument/2006/relationships/hyperlink" Target="https://www.facebook.com/rapplerdotcom/posts/pfbid0TYP6syjYwznxJKdhWv9YMaXK9NvsSEhQ2cyyCQCPMvGapWXrQBHehywgT156wqNPl" TargetMode="External"/><Relationship Id="rId1146" Type="http://schemas.openxmlformats.org/officeDocument/2006/relationships/hyperlink" Target="https://www.facebook.com/rapplerdotcom/posts/pfbid02dNgAR64VTtp94Rus4o9MNbU55E2H9Wp7KMKzJGkk6u4UxRyHU8j2pPpwa5iwGcD3l" TargetMode="External"/><Relationship Id="rId2477" Type="http://schemas.openxmlformats.org/officeDocument/2006/relationships/hyperlink" Target="https://www.facebook.com/jheiykun.tolentino" TargetMode="External"/><Relationship Id="rId6009" Type="http://schemas.openxmlformats.org/officeDocument/2006/relationships/hyperlink" Target="https://www.facebook.com/rapplerdotcom/photos/a.317154781638645/5594359700584767/" TargetMode="External"/><Relationship Id="rId6000" Type="http://schemas.openxmlformats.org/officeDocument/2006/relationships/hyperlink" Target="https://www.facebook.com/jun.buama1" TargetMode="External"/><Relationship Id="rId6003" Type="http://schemas.openxmlformats.org/officeDocument/2006/relationships/hyperlink" Target="https://www.facebook.com/rapplerdotcom/photos/a.317154781638645/5594359700584767/" TargetMode="External"/><Relationship Id="rId6004" Type="http://schemas.openxmlformats.org/officeDocument/2006/relationships/hyperlink" Target="https://www.facebook.com/eddie.soriente" TargetMode="External"/><Relationship Id="rId6001" Type="http://schemas.openxmlformats.org/officeDocument/2006/relationships/hyperlink" Target="https://www.facebook.com/rapplerdotcom/photos/a.317154781638645/5594359700584767/" TargetMode="External"/><Relationship Id="rId6002" Type="http://schemas.openxmlformats.org/officeDocument/2006/relationships/hyperlink" Target="https://www.facebook.com/roberto.jabon.9" TargetMode="External"/><Relationship Id="rId6007" Type="http://schemas.openxmlformats.org/officeDocument/2006/relationships/hyperlink" Target="https://www.facebook.com/rapplerdotcom/photos/a.317154781638645/5594359700584767/" TargetMode="External"/><Relationship Id="rId6008" Type="http://schemas.openxmlformats.org/officeDocument/2006/relationships/hyperlink" Target="https://www.facebook.com/benjie.paralta" TargetMode="External"/><Relationship Id="rId6005" Type="http://schemas.openxmlformats.org/officeDocument/2006/relationships/hyperlink" Target="https://www.facebook.com/rapplerdotcom/photos/a.317154781638645/5594359700584767/" TargetMode="External"/><Relationship Id="rId6006" Type="http://schemas.openxmlformats.org/officeDocument/2006/relationships/hyperlink" Target="https://www.facebook.com/gerry.guevara.3" TargetMode="External"/><Relationship Id="rId6061" Type="http://schemas.openxmlformats.org/officeDocument/2006/relationships/hyperlink" Target="https://www.facebook.com/rapplerdotcom/photos/a.317154781638645/5594359700584767/" TargetMode="External"/><Relationship Id="rId6062" Type="http://schemas.openxmlformats.org/officeDocument/2006/relationships/hyperlink" Target="https://www.facebook.com/noberto.montuya.9" TargetMode="External"/><Relationship Id="rId6060" Type="http://schemas.openxmlformats.org/officeDocument/2006/relationships/hyperlink" Target="https://www.facebook.com/profile.php?id=100061205663342" TargetMode="External"/><Relationship Id="rId6065" Type="http://schemas.openxmlformats.org/officeDocument/2006/relationships/hyperlink" Target="https://www.facebook.com/rapplerdotcom/photos/a.317154781638645/5594359700584767/" TargetMode="External"/><Relationship Id="rId6066" Type="http://schemas.openxmlformats.org/officeDocument/2006/relationships/hyperlink" Target="https://www.facebook.com/fotee.rimas" TargetMode="External"/><Relationship Id="rId6063" Type="http://schemas.openxmlformats.org/officeDocument/2006/relationships/hyperlink" Target="https://www.facebook.com/rapplerdotcom/photos/a.317154781638645/5594359700584767/" TargetMode="External"/><Relationship Id="rId6064" Type="http://schemas.openxmlformats.org/officeDocument/2006/relationships/hyperlink" Target="https://www.facebook.com/teri.j.li" TargetMode="External"/><Relationship Id="rId6069" Type="http://schemas.openxmlformats.org/officeDocument/2006/relationships/hyperlink" Target="https://www.facebook.com/rapplerdotcom/photos/a.317154781638645/5594359700584767/" TargetMode="External"/><Relationship Id="rId6067" Type="http://schemas.openxmlformats.org/officeDocument/2006/relationships/hyperlink" Target="https://www.facebook.com/rapplerdotcom/photos/a.317154781638645/5594359700584767/" TargetMode="External"/><Relationship Id="rId6068" Type="http://schemas.openxmlformats.org/officeDocument/2006/relationships/hyperlink" Target="https://www.facebook.com/raymondpastoral" TargetMode="External"/><Relationship Id="rId6050" Type="http://schemas.openxmlformats.org/officeDocument/2006/relationships/hyperlink" Target="https://www.facebook.com/rodolfo.dampios.1" TargetMode="External"/><Relationship Id="rId6051" Type="http://schemas.openxmlformats.org/officeDocument/2006/relationships/hyperlink" Target="https://www.facebook.com/rapplerdotcom/photos/a.317154781638645/5594359700584767/" TargetMode="External"/><Relationship Id="rId6054" Type="http://schemas.openxmlformats.org/officeDocument/2006/relationships/hyperlink" Target="https://www.facebook.com/profile.php?id=100072849818660" TargetMode="External"/><Relationship Id="rId6055" Type="http://schemas.openxmlformats.org/officeDocument/2006/relationships/hyperlink" Target="https://www.facebook.com/rapplerdotcom/photos/a.317154781638645/5594359700584767/" TargetMode="External"/><Relationship Id="rId6052" Type="http://schemas.openxmlformats.org/officeDocument/2006/relationships/hyperlink" Target="https://www.facebook.com/mayonggarcia" TargetMode="External"/><Relationship Id="rId6053" Type="http://schemas.openxmlformats.org/officeDocument/2006/relationships/hyperlink" Target="https://www.facebook.com/rapplerdotcom/photos/a.317154781638645/5594359700584767/" TargetMode="External"/><Relationship Id="rId6058" Type="http://schemas.openxmlformats.org/officeDocument/2006/relationships/hyperlink" Target="https://www.facebook.com/johnhenry.santos.3958" TargetMode="External"/><Relationship Id="rId6059" Type="http://schemas.openxmlformats.org/officeDocument/2006/relationships/hyperlink" Target="https://www.facebook.com/rapplerdotcom/photos/a.317154781638645/5594359700584767/" TargetMode="External"/><Relationship Id="rId6056" Type="http://schemas.openxmlformats.org/officeDocument/2006/relationships/hyperlink" Target="https://www.facebook.com/tony.alcazar.127" TargetMode="External"/><Relationship Id="rId6057" Type="http://schemas.openxmlformats.org/officeDocument/2006/relationships/hyperlink" Target="https://www.facebook.com/rapplerdotcom/photos/a.317154781638645/5594359700584767/" TargetMode="External"/><Relationship Id="rId3810" Type="http://schemas.openxmlformats.org/officeDocument/2006/relationships/hyperlink" Target="https://www.facebook.com/rapplerdotcom/posts/pfbid0dyWpzxim3h4Z2SYriGakwQw85p7BCAgct7KU5EiMX1bmmgNHDD8nmES8rjrADsrPl" TargetMode="External"/><Relationship Id="rId3812" Type="http://schemas.openxmlformats.org/officeDocument/2006/relationships/hyperlink" Target="https://www.facebook.com/rapplerdotcom/posts/pfbid0dyWpzxim3h4Z2SYriGakwQw85p7BCAgct7KU5EiMX1bmmgNHDD8nmES8rjrADsrPl" TargetMode="External"/><Relationship Id="rId3811" Type="http://schemas.openxmlformats.org/officeDocument/2006/relationships/hyperlink" Target="https://www.facebook.com/edna.aspe" TargetMode="External"/><Relationship Id="rId3814" Type="http://schemas.openxmlformats.org/officeDocument/2006/relationships/hyperlink" Target="https://www.facebook.com/rapplerdotcom/posts/pfbid0dyWpzxim3h4Z2SYriGakwQw85p7BCAgct7KU5EiMX1bmmgNHDD8nmES8rjrADsrPl" TargetMode="External"/><Relationship Id="rId3813" Type="http://schemas.openxmlformats.org/officeDocument/2006/relationships/hyperlink" Target="https://www.facebook.com/michelle.leslie.92102" TargetMode="External"/><Relationship Id="rId3816" Type="http://schemas.openxmlformats.org/officeDocument/2006/relationships/hyperlink" Target="https://www.facebook.com/rapplerdotcom/posts/pfbid0dyWpzxim3h4Z2SYriGakwQw85p7BCAgct7KU5EiMX1bmmgNHDD8nmES8rjrADsrPl" TargetMode="External"/><Relationship Id="rId3815" Type="http://schemas.openxmlformats.org/officeDocument/2006/relationships/hyperlink" Target="https://www.facebook.com/profile.php?id=100010288385661" TargetMode="External"/><Relationship Id="rId3818" Type="http://schemas.openxmlformats.org/officeDocument/2006/relationships/hyperlink" Target="https://www.facebook.com/rapplerdotcom/posts/pfbid0dyWpzxim3h4Z2SYriGakwQw85p7BCAgct7KU5EiMX1bmmgNHDD8nmES8rjrADsrPl" TargetMode="External"/><Relationship Id="rId3817" Type="http://schemas.openxmlformats.org/officeDocument/2006/relationships/hyperlink" Target="https://www.facebook.com/malating.tao" TargetMode="External"/><Relationship Id="rId3819" Type="http://schemas.openxmlformats.org/officeDocument/2006/relationships/hyperlink" Target="https://www.facebook.com/maya.barsaga" TargetMode="External"/><Relationship Id="rId6090" Type="http://schemas.openxmlformats.org/officeDocument/2006/relationships/hyperlink" Target="https://www.facebook.com/perryjun.agustin" TargetMode="External"/><Relationship Id="rId6091" Type="http://schemas.openxmlformats.org/officeDocument/2006/relationships/hyperlink" Target="https://www.facebook.com/rapplerdotcom/photos/a.317154781638645/5594359700584767/" TargetMode="External"/><Relationship Id="rId6083" Type="http://schemas.openxmlformats.org/officeDocument/2006/relationships/hyperlink" Target="https://www.facebook.com/rapplerdotcom/photos/a.317154781638645/5594359700584767/" TargetMode="External"/><Relationship Id="rId6084" Type="http://schemas.openxmlformats.org/officeDocument/2006/relationships/hyperlink" Target="https://www.facebook.com/profile.php?id=100005251668716" TargetMode="External"/><Relationship Id="rId6081" Type="http://schemas.openxmlformats.org/officeDocument/2006/relationships/hyperlink" Target="https://www.facebook.com/rapplerdotcom/photos/a.317154781638645/5594359700584767/" TargetMode="External"/><Relationship Id="rId6082" Type="http://schemas.openxmlformats.org/officeDocument/2006/relationships/hyperlink" Target="https://www.facebook.com/edwin.asis.58" TargetMode="External"/><Relationship Id="rId6087" Type="http://schemas.openxmlformats.org/officeDocument/2006/relationships/hyperlink" Target="https://www.facebook.com/rapplerdotcom/photos/a.317154781638645/5594359700584767/" TargetMode="External"/><Relationship Id="rId6088" Type="http://schemas.openxmlformats.org/officeDocument/2006/relationships/hyperlink" Target="https://www.facebook.com/antonio.yap.712" TargetMode="External"/><Relationship Id="rId6085" Type="http://schemas.openxmlformats.org/officeDocument/2006/relationships/hyperlink" Target="https://www.facebook.com/rapplerdotcom/photos/a.317154781638645/5594359700584767/" TargetMode="External"/><Relationship Id="rId6086" Type="http://schemas.openxmlformats.org/officeDocument/2006/relationships/hyperlink" Target="https://www.facebook.com/355wat" TargetMode="External"/><Relationship Id="rId6089" Type="http://schemas.openxmlformats.org/officeDocument/2006/relationships/hyperlink" Target="https://www.facebook.com/rapplerdotcom/photos/a.317154781638645/5594359700584767/" TargetMode="External"/><Relationship Id="rId3801" Type="http://schemas.openxmlformats.org/officeDocument/2006/relationships/hyperlink" Target="https://www.facebook.com/ronan.alejandro" TargetMode="External"/><Relationship Id="rId3800" Type="http://schemas.openxmlformats.org/officeDocument/2006/relationships/hyperlink" Target="https://www.facebook.com/rapplerdotcom/posts/pfbid0dyWpzxim3h4Z2SYriGakwQw85p7BCAgct7KU5EiMX1bmmgNHDD8nmES8rjrADsrPl" TargetMode="External"/><Relationship Id="rId3803" Type="http://schemas.openxmlformats.org/officeDocument/2006/relationships/hyperlink" Target="https://www.facebook.com/emil.paragas" TargetMode="External"/><Relationship Id="rId3802" Type="http://schemas.openxmlformats.org/officeDocument/2006/relationships/hyperlink" Target="https://www.facebook.com/rapplerdotcom/posts/pfbid0dyWpzxim3h4Z2SYriGakwQw85p7BCAgct7KU5EiMX1bmmgNHDD8nmES8rjrADsrPl" TargetMode="External"/><Relationship Id="rId3805" Type="http://schemas.openxmlformats.org/officeDocument/2006/relationships/hyperlink" Target="https://www.facebook.com/nilo.asas" TargetMode="External"/><Relationship Id="rId3804" Type="http://schemas.openxmlformats.org/officeDocument/2006/relationships/hyperlink" Target="https://www.facebook.com/rapplerdotcom/posts/pfbid0dyWpzxim3h4Z2SYriGakwQw85p7BCAgct7KU5EiMX1bmmgNHDD8nmES8rjrADsrPl" TargetMode="External"/><Relationship Id="rId3807" Type="http://schemas.openxmlformats.org/officeDocument/2006/relationships/hyperlink" Target="https://www.facebook.com/nilo.asas" TargetMode="External"/><Relationship Id="rId3806" Type="http://schemas.openxmlformats.org/officeDocument/2006/relationships/hyperlink" Target="https://www.facebook.com/rapplerdotcom/posts/pfbid0dyWpzxim3h4Z2SYriGakwQw85p7BCAgct7KU5EiMX1bmmgNHDD8nmES8rjrADsrPl" TargetMode="External"/><Relationship Id="rId3809" Type="http://schemas.openxmlformats.org/officeDocument/2006/relationships/hyperlink" Target="https://www.facebook.com/emil.paragas" TargetMode="External"/><Relationship Id="rId3808" Type="http://schemas.openxmlformats.org/officeDocument/2006/relationships/hyperlink" Target="https://www.facebook.com/rapplerdotcom/posts/pfbid0dyWpzxim3h4Z2SYriGakwQw85p7BCAgct7KU5EiMX1bmmgNHDD8nmES8rjrADsrPl" TargetMode="External"/><Relationship Id="rId6080" Type="http://schemas.openxmlformats.org/officeDocument/2006/relationships/hyperlink" Target="https://www.facebook.com/aldrin.reyes.3760430" TargetMode="External"/><Relationship Id="rId6072" Type="http://schemas.openxmlformats.org/officeDocument/2006/relationships/hyperlink" Target="https://www.facebook.com/jonniemaganes" TargetMode="External"/><Relationship Id="rId6073" Type="http://schemas.openxmlformats.org/officeDocument/2006/relationships/hyperlink" Target="https://www.facebook.com/rapplerdotcom/photos/a.317154781638645/5594359700584767/" TargetMode="External"/><Relationship Id="rId6070" Type="http://schemas.openxmlformats.org/officeDocument/2006/relationships/hyperlink" Target="https://www.facebook.com/alex.wabinga" TargetMode="External"/><Relationship Id="rId6071" Type="http://schemas.openxmlformats.org/officeDocument/2006/relationships/hyperlink" Target="https://www.facebook.com/rapplerdotcom/photos/a.317154781638645/5594359700584767/" TargetMode="External"/><Relationship Id="rId6076" Type="http://schemas.openxmlformats.org/officeDocument/2006/relationships/hyperlink" Target="https://www.facebook.com/ngaela" TargetMode="External"/><Relationship Id="rId6077" Type="http://schemas.openxmlformats.org/officeDocument/2006/relationships/hyperlink" Target="https://www.facebook.com/rapplerdotcom/photos/a.317154781638645/5594359700584767/" TargetMode="External"/><Relationship Id="rId6074" Type="http://schemas.openxmlformats.org/officeDocument/2006/relationships/hyperlink" Target="https://www.facebook.com/enrico.aragon.56" TargetMode="External"/><Relationship Id="rId6075" Type="http://schemas.openxmlformats.org/officeDocument/2006/relationships/hyperlink" Target="https://www.facebook.com/rapplerdotcom/photos/a.317154781638645/5594359700584767/" TargetMode="External"/><Relationship Id="rId6078" Type="http://schemas.openxmlformats.org/officeDocument/2006/relationships/hyperlink" Target="https://www.facebook.com/ragrag.alb" TargetMode="External"/><Relationship Id="rId6079" Type="http://schemas.openxmlformats.org/officeDocument/2006/relationships/hyperlink" Target="https://www.facebook.com/rapplerdotcom/photos/a.317154781638645/5594359700584767/" TargetMode="External"/><Relationship Id="rId6021" Type="http://schemas.openxmlformats.org/officeDocument/2006/relationships/hyperlink" Target="https://www.facebook.com/rapplerdotcom/photos/a.317154781638645/5594359700584767/" TargetMode="External"/><Relationship Id="rId6022" Type="http://schemas.openxmlformats.org/officeDocument/2006/relationships/hyperlink" Target="https://www.facebook.com/rebecca.rupal" TargetMode="External"/><Relationship Id="rId6020" Type="http://schemas.openxmlformats.org/officeDocument/2006/relationships/hyperlink" Target="https://www.facebook.com/eugene.arat" TargetMode="External"/><Relationship Id="rId6025" Type="http://schemas.openxmlformats.org/officeDocument/2006/relationships/hyperlink" Target="https://www.facebook.com/rapplerdotcom/photos/a.317154781638645/5594359700584767/" TargetMode="External"/><Relationship Id="rId6026" Type="http://schemas.openxmlformats.org/officeDocument/2006/relationships/hyperlink" Target="https://www.facebook.com/pipo.anos.5" TargetMode="External"/><Relationship Id="rId6023" Type="http://schemas.openxmlformats.org/officeDocument/2006/relationships/hyperlink" Target="https://www.facebook.com/rapplerdotcom/photos/a.317154781638645/5594359700584767/" TargetMode="External"/><Relationship Id="rId6024" Type="http://schemas.openxmlformats.org/officeDocument/2006/relationships/hyperlink" Target="https://www.facebook.com/barry.jave" TargetMode="External"/><Relationship Id="rId6029" Type="http://schemas.openxmlformats.org/officeDocument/2006/relationships/hyperlink" Target="https://www.facebook.com/rapplerdotcom/photos/a.317154781638645/5594359700584767/" TargetMode="External"/><Relationship Id="rId6027" Type="http://schemas.openxmlformats.org/officeDocument/2006/relationships/hyperlink" Target="https://www.facebook.com/rapplerdotcom/photos/a.317154781638645/5594359700584767/" TargetMode="External"/><Relationship Id="rId6028" Type="http://schemas.openxmlformats.org/officeDocument/2006/relationships/hyperlink" Target="https://www.facebook.com/johnhenry.santos.3958" TargetMode="External"/><Relationship Id="rId6010" Type="http://schemas.openxmlformats.org/officeDocument/2006/relationships/hyperlink" Target="https://www.facebook.com/zenyrj" TargetMode="External"/><Relationship Id="rId6011" Type="http://schemas.openxmlformats.org/officeDocument/2006/relationships/hyperlink" Target="https://www.facebook.com/rapplerdotcom/photos/a.317154781638645/5594359700584767/" TargetMode="External"/><Relationship Id="rId6014" Type="http://schemas.openxmlformats.org/officeDocument/2006/relationships/hyperlink" Target="https://www.facebook.com/luther.staromana1" TargetMode="External"/><Relationship Id="rId6015" Type="http://schemas.openxmlformats.org/officeDocument/2006/relationships/hyperlink" Target="https://www.facebook.com/rapplerdotcom/photos/a.317154781638645/5594359700584767/" TargetMode="External"/><Relationship Id="rId6012" Type="http://schemas.openxmlformats.org/officeDocument/2006/relationships/hyperlink" Target="https://www.facebook.com/profile.php?id=100047766465936" TargetMode="External"/><Relationship Id="rId6013" Type="http://schemas.openxmlformats.org/officeDocument/2006/relationships/hyperlink" Target="https://www.facebook.com/rapplerdotcom/photos/a.317154781638645/5594359700584767/" TargetMode="External"/><Relationship Id="rId6018" Type="http://schemas.openxmlformats.org/officeDocument/2006/relationships/hyperlink" Target="https://www.facebook.com/danilo.betitaleoncito.9" TargetMode="External"/><Relationship Id="rId6019" Type="http://schemas.openxmlformats.org/officeDocument/2006/relationships/hyperlink" Target="https://www.facebook.com/rapplerdotcom/photos/a.317154781638645/5594359700584767/" TargetMode="External"/><Relationship Id="rId6016" Type="http://schemas.openxmlformats.org/officeDocument/2006/relationships/hyperlink" Target="https://www.facebook.com/profile.php?id=100047766465936" TargetMode="External"/><Relationship Id="rId6017" Type="http://schemas.openxmlformats.org/officeDocument/2006/relationships/hyperlink" Target="https://www.facebook.com/rapplerdotcom/photos/a.317154781638645/5594359700584767/" TargetMode="External"/><Relationship Id="rId6040" Type="http://schemas.openxmlformats.org/officeDocument/2006/relationships/hyperlink" Target="https://www.facebook.com/rebecca.serato.9" TargetMode="External"/><Relationship Id="rId6043" Type="http://schemas.openxmlformats.org/officeDocument/2006/relationships/hyperlink" Target="https://www.facebook.com/rapplerdotcom/photos/a.317154781638645/5594359700584767/" TargetMode="External"/><Relationship Id="rId6044" Type="http://schemas.openxmlformats.org/officeDocument/2006/relationships/hyperlink" Target="https://www.facebook.com/roland.romero.39" TargetMode="External"/><Relationship Id="rId6041" Type="http://schemas.openxmlformats.org/officeDocument/2006/relationships/hyperlink" Target="https://www.facebook.com/rapplerdotcom/photos/a.317154781638645/5594359700584767/" TargetMode="External"/><Relationship Id="rId6042" Type="http://schemas.openxmlformats.org/officeDocument/2006/relationships/hyperlink" Target="https://www.facebook.com/fe.cordero1" TargetMode="External"/><Relationship Id="rId6047" Type="http://schemas.openxmlformats.org/officeDocument/2006/relationships/hyperlink" Target="https://www.facebook.com/rapplerdotcom/photos/a.317154781638645/5594359700584767/" TargetMode="External"/><Relationship Id="rId6048" Type="http://schemas.openxmlformats.org/officeDocument/2006/relationships/hyperlink" Target="https://www.facebook.com/danilo.mica" TargetMode="External"/><Relationship Id="rId6045" Type="http://schemas.openxmlformats.org/officeDocument/2006/relationships/hyperlink" Target="https://www.facebook.com/rapplerdotcom/photos/a.317154781638645/5594359700584767/" TargetMode="External"/><Relationship Id="rId6046" Type="http://schemas.openxmlformats.org/officeDocument/2006/relationships/hyperlink" Target="https://www.facebook.com/eramc.cuaton" TargetMode="External"/><Relationship Id="rId6049" Type="http://schemas.openxmlformats.org/officeDocument/2006/relationships/hyperlink" Target="https://www.facebook.com/rapplerdotcom/photos/a.317154781638645/5594359700584767/" TargetMode="External"/><Relationship Id="rId6032" Type="http://schemas.openxmlformats.org/officeDocument/2006/relationships/hyperlink" Target="https://www.facebook.com/maxbrunofranco" TargetMode="External"/><Relationship Id="rId6033" Type="http://schemas.openxmlformats.org/officeDocument/2006/relationships/hyperlink" Target="https://www.facebook.com/rapplerdotcom/photos/a.317154781638645/5594359700584767/" TargetMode="External"/><Relationship Id="rId6030" Type="http://schemas.openxmlformats.org/officeDocument/2006/relationships/hyperlink" Target="https://www.facebook.com/angelica.banag" TargetMode="External"/><Relationship Id="rId6031" Type="http://schemas.openxmlformats.org/officeDocument/2006/relationships/hyperlink" Target="https://www.facebook.com/rapplerdotcom/photos/a.317154781638645/5594359700584767/" TargetMode="External"/><Relationship Id="rId6036" Type="http://schemas.openxmlformats.org/officeDocument/2006/relationships/hyperlink" Target="https://www.facebook.com/clocie.rinocar" TargetMode="External"/><Relationship Id="rId6037" Type="http://schemas.openxmlformats.org/officeDocument/2006/relationships/hyperlink" Target="https://www.facebook.com/rapplerdotcom/photos/a.317154781638645/5594359700584767/" TargetMode="External"/><Relationship Id="rId6034" Type="http://schemas.openxmlformats.org/officeDocument/2006/relationships/hyperlink" Target="https://www.facebook.com/julsrey.nioko" TargetMode="External"/><Relationship Id="rId6035" Type="http://schemas.openxmlformats.org/officeDocument/2006/relationships/hyperlink" Target="https://www.facebook.com/rapplerdotcom/photos/a.317154781638645/5594359700584767/" TargetMode="External"/><Relationship Id="rId6038" Type="http://schemas.openxmlformats.org/officeDocument/2006/relationships/hyperlink" Target="https://www.facebook.com/profile.php?id=100053379136272" TargetMode="External"/><Relationship Id="rId6039" Type="http://schemas.openxmlformats.org/officeDocument/2006/relationships/hyperlink" Target="https://www.facebook.com/rapplerdotcom/photos/a.317154781638645/5594359700584767/" TargetMode="External"/><Relationship Id="rId1213" Type="http://schemas.openxmlformats.org/officeDocument/2006/relationships/hyperlink" Target="https://www.facebook.com/richard.abary" TargetMode="External"/><Relationship Id="rId2544" Type="http://schemas.openxmlformats.org/officeDocument/2006/relationships/hyperlink" Target="https://www.facebook.com/rapplerdotcom/photos/a.317154781638645/5595733810447356/" TargetMode="External"/><Relationship Id="rId3876" Type="http://schemas.openxmlformats.org/officeDocument/2006/relationships/hyperlink" Target="https://www.facebook.com/rapplerdotcom/posts/pfbid0dyWpzxim3h4Z2SYriGakwQw85p7BCAgct7KU5EiMX1bmmgNHDD8nmES8rjrADsrPl" TargetMode="External"/><Relationship Id="rId1214" Type="http://schemas.openxmlformats.org/officeDocument/2006/relationships/hyperlink" Target="https://www.facebook.com/rapplerdotcom/posts/pfbid023goEfA6e1ABSWYJFy8fQ5LFWDv4QTSTmAfzySGtMSpy12iqywB2MUZjiZ8GjCxrGl" TargetMode="External"/><Relationship Id="rId2545" Type="http://schemas.openxmlformats.org/officeDocument/2006/relationships/hyperlink" Target="https://www.facebook.com/chelle.alvarez.581" TargetMode="External"/><Relationship Id="rId3875" Type="http://schemas.openxmlformats.org/officeDocument/2006/relationships/hyperlink" Target="https://www.facebook.com/ofel.chico" TargetMode="External"/><Relationship Id="rId1215" Type="http://schemas.openxmlformats.org/officeDocument/2006/relationships/hyperlink" Target="https://www.facebook.com/alicia.arcales" TargetMode="External"/><Relationship Id="rId2546" Type="http://schemas.openxmlformats.org/officeDocument/2006/relationships/hyperlink" Target="https://www.facebook.com/rapplerdotcom/photos/a.317154781638645/5595733810447356/" TargetMode="External"/><Relationship Id="rId3878" Type="http://schemas.openxmlformats.org/officeDocument/2006/relationships/hyperlink" Target="https://www.facebook.com/rapplerdotcom/posts/pfbid0dyWpzxim3h4Z2SYriGakwQw85p7BCAgct7KU5EiMX1bmmgNHDD8nmES8rjrADsrPl" TargetMode="External"/><Relationship Id="rId1216" Type="http://schemas.openxmlformats.org/officeDocument/2006/relationships/hyperlink" Target="https://www.facebook.com/rapplerdotcom/posts/pfbid023goEfA6e1ABSWYJFy8fQ5LFWDv4QTSTmAfzySGtMSpy12iqywB2MUZjiZ8GjCxrGl" TargetMode="External"/><Relationship Id="rId2547" Type="http://schemas.openxmlformats.org/officeDocument/2006/relationships/hyperlink" Target="https://www.facebook.com/almher.manalo" TargetMode="External"/><Relationship Id="rId3877" Type="http://schemas.openxmlformats.org/officeDocument/2006/relationships/hyperlink" Target="https://www.facebook.com/melanie.marquez.39395" TargetMode="External"/><Relationship Id="rId1217" Type="http://schemas.openxmlformats.org/officeDocument/2006/relationships/hyperlink" Target="https://www.facebook.com/imee.francia" TargetMode="External"/><Relationship Id="rId2548" Type="http://schemas.openxmlformats.org/officeDocument/2006/relationships/hyperlink" Target="https://www.facebook.com/rapplerdotcom/photos/a.317154781638645/5595733810447356/" TargetMode="External"/><Relationship Id="rId1218" Type="http://schemas.openxmlformats.org/officeDocument/2006/relationships/hyperlink" Target="https://www.facebook.com/rapplerdotcom/posts/pfbid023goEfA6e1ABSWYJFy8fQ5LFWDv4QTSTmAfzySGtMSpy12iqywB2MUZjiZ8GjCxrGl" TargetMode="External"/><Relationship Id="rId2549" Type="http://schemas.openxmlformats.org/officeDocument/2006/relationships/hyperlink" Target="https://www.facebook.com/arturo.rondolos.3" TargetMode="External"/><Relationship Id="rId3879" Type="http://schemas.openxmlformats.org/officeDocument/2006/relationships/hyperlink" Target="https://www.facebook.com/kaesi.katakamu" TargetMode="External"/><Relationship Id="rId1219" Type="http://schemas.openxmlformats.org/officeDocument/2006/relationships/hyperlink" Target="https://www.facebook.com/profile.php?id=100077271243894" TargetMode="External"/><Relationship Id="rId3870" Type="http://schemas.openxmlformats.org/officeDocument/2006/relationships/hyperlink" Target="https://www.facebook.com/rapplerdotcom/posts/pfbid0dyWpzxim3h4Z2SYriGakwQw85p7BCAgct7KU5EiMX1bmmgNHDD8nmES8rjrADsrPl" TargetMode="External"/><Relationship Id="rId2540" Type="http://schemas.openxmlformats.org/officeDocument/2006/relationships/hyperlink" Target="https://www.facebook.com/rapplerdotcom/photos/a.317154781638645/5595733810447356/" TargetMode="External"/><Relationship Id="rId3872" Type="http://schemas.openxmlformats.org/officeDocument/2006/relationships/hyperlink" Target="https://www.facebook.com/rapplerdotcom/posts/pfbid0dyWpzxim3h4Z2SYriGakwQw85p7BCAgct7KU5EiMX1bmmgNHDD8nmES8rjrADsrPl" TargetMode="External"/><Relationship Id="rId1210" Type="http://schemas.openxmlformats.org/officeDocument/2006/relationships/hyperlink" Target="https://www.facebook.com/rapplerdotcom/posts/pfbid023goEfA6e1ABSWYJFy8fQ5LFWDv4QTSTmAfzySGtMSpy12iqywB2MUZjiZ8GjCxrGl" TargetMode="External"/><Relationship Id="rId2541" Type="http://schemas.openxmlformats.org/officeDocument/2006/relationships/hyperlink" Target="https://www.facebook.com/poli.lidi" TargetMode="External"/><Relationship Id="rId3871" Type="http://schemas.openxmlformats.org/officeDocument/2006/relationships/hyperlink" Target="https://www.facebook.com/pogingmabagsik" TargetMode="External"/><Relationship Id="rId1211" Type="http://schemas.openxmlformats.org/officeDocument/2006/relationships/hyperlink" Target="https://www.facebook.com/rizacastro" TargetMode="External"/><Relationship Id="rId2542" Type="http://schemas.openxmlformats.org/officeDocument/2006/relationships/hyperlink" Target="https://www.facebook.com/rapplerdotcom/photos/a.317154781638645/5595733810447356/" TargetMode="External"/><Relationship Id="rId3874" Type="http://schemas.openxmlformats.org/officeDocument/2006/relationships/hyperlink" Target="https://www.facebook.com/rapplerdotcom/posts/pfbid0dyWpzxim3h4Z2SYriGakwQw85p7BCAgct7KU5EiMX1bmmgNHDD8nmES8rjrADsrPl" TargetMode="External"/><Relationship Id="rId1212" Type="http://schemas.openxmlformats.org/officeDocument/2006/relationships/hyperlink" Target="https://www.facebook.com/rapplerdotcom/posts/pfbid023goEfA6e1ABSWYJFy8fQ5LFWDv4QTSTmAfzySGtMSpy12iqywB2MUZjiZ8GjCxrGl" TargetMode="External"/><Relationship Id="rId2543" Type="http://schemas.openxmlformats.org/officeDocument/2006/relationships/hyperlink" Target="https://www.facebook.com/bong.nicdao.3" TargetMode="External"/><Relationship Id="rId3873" Type="http://schemas.openxmlformats.org/officeDocument/2006/relationships/hyperlink" Target="https://www.facebook.com/olan.sulbiano" TargetMode="External"/><Relationship Id="rId1202" Type="http://schemas.openxmlformats.org/officeDocument/2006/relationships/hyperlink" Target="https://www.facebook.com/rapplerdotcom/posts/pfbid023goEfA6e1ABSWYJFy8fQ5LFWDv4QTSTmAfzySGtMSpy12iqywB2MUZjiZ8GjCxrGl" TargetMode="External"/><Relationship Id="rId2533" Type="http://schemas.openxmlformats.org/officeDocument/2006/relationships/hyperlink" Target="https://www.facebook.com/emman.montenegro.1" TargetMode="External"/><Relationship Id="rId3865" Type="http://schemas.openxmlformats.org/officeDocument/2006/relationships/hyperlink" Target="https://www.facebook.com/alonzonoel.miclat.5" TargetMode="External"/><Relationship Id="rId1203" Type="http://schemas.openxmlformats.org/officeDocument/2006/relationships/hyperlink" Target="https://www.facebook.com/natie.pelayo" TargetMode="External"/><Relationship Id="rId2534" Type="http://schemas.openxmlformats.org/officeDocument/2006/relationships/hyperlink" Target="https://www.facebook.com/rapplerdotcom/photos/a.317154781638645/5595733810447356/" TargetMode="External"/><Relationship Id="rId3864" Type="http://schemas.openxmlformats.org/officeDocument/2006/relationships/hyperlink" Target="https://www.facebook.com/rapplerdotcom/posts/pfbid0dyWpzxim3h4Z2SYriGakwQw85p7BCAgct7KU5EiMX1bmmgNHDD8nmES8rjrADsrPl" TargetMode="External"/><Relationship Id="rId1204" Type="http://schemas.openxmlformats.org/officeDocument/2006/relationships/hyperlink" Target="https://www.facebook.com/rapplerdotcom/posts/pfbid023goEfA6e1ABSWYJFy8fQ5LFWDv4QTSTmAfzySGtMSpy12iqywB2MUZjiZ8GjCxrGl" TargetMode="External"/><Relationship Id="rId2535" Type="http://schemas.openxmlformats.org/officeDocument/2006/relationships/hyperlink" Target="https://www.facebook.com/johndiazcortez" TargetMode="External"/><Relationship Id="rId3867" Type="http://schemas.openxmlformats.org/officeDocument/2006/relationships/hyperlink" Target="https://www.facebook.com/nandy.lucero" TargetMode="External"/><Relationship Id="rId1205" Type="http://schemas.openxmlformats.org/officeDocument/2006/relationships/hyperlink" Target="https://www.facebook.com/mean.agustin" TargetMode="External"/><Relationship Id="rId2536" Type="http://schemas.openxmlformats.org/officeDocument/2006/relationships/hyperlink" Target="https://www.facebook.com/rapplerdotcom/photos/a.317154781638645/5595733810447356/" TargetMode="External"/><Relationship Id="rId3866" Type="http://schemas.openxmlformats.org/officeDocument/2006/relationships/hyperlink" Target="https://www.facebook.com/rapplerdotcom/posts/pfbid0dyWpzxim3h4Z2SYriGakwQw85p7BCAgct7KU5EiMX1bmmgNHDD8nmES8rjrADsrPl" TargetMode="External"/><Relationship Id="rId1206" Type="http://schemas.openxmlformats.org/officeDocument/2006/relationships/hyperlink" Target="https://www.facebook.com/rapplerdotcom/posts/pfbid023goEfA6e1ABSWYJFy8fQ5LFWDv4QTSTmAfzySGtMSpy12iqywB2MUZjiZ8GjCxrGl" TargetMode="External"/><Relationship Id="rId2537" Type="http://schemas.openxmlformats.org/officeDocument/2006/relationships/hyperlink" Target="https://www.facebook.com/pepe.ledesma.7140" TargetMode="External"/><Relationship Id="rId3869" Type="http://schemas.openxmlformats.org/officeDocument/2006/relationships/hyperlink" Target="https://www.facebook.com/chye.phe" TargetMode="External"/><Relationship Id="rId1207" Type="http://schemas.openxmlformats.org/officeDocument/2006/relationships/hyperlink" Target="https://www.facebook.com/profile.php?id=100077721303949" TargetMode="External"/><Relationship Id="rId2538" Type="http://schemas.openxmlformats.org/officeDocument/2006/relationships/hyperlink" Target="https://www.facebook.com/rapplerdotcom/photos/a.317154781638645/5595733810447356/" TargetMode="External"/><Relationship Id="rId3868" Type="http://schemas.openxmlformats.org/officeDocument/2006/relationships/hyperlink" Target="https://www.facebook.com/rapplerdotcom/posts/pfbid0dyWpzxim3h4Z2SYriGakwQw85p7BCAgct7KU5EiMX1bmmgNHDD8nmES8rjrADsrPl" TargetMode="External"/><Relationship Id="rId1208" Type="http://schemas.openxmlformats.org/officeDocument/2006/relationships/hyperlink" Target="https://www.facebook.com/rapplerdotcom/posts/pfbid023goEfA6e1ABSWYJFy8fQ5LFWDv4QTSTmAfzySGtMSpy12iqywB2MUZjiZ8GjCxrGl" TargetMode="External"/><Relationship Id="rId2539" Type="http://schemas.openxmlformats.org/officeDocument/2006/relationships/hyperlink" Target="https://www.facebook.com/dr.julius.uy" TargetMode="External"/><Relationship Id="rId1209" Type="http://schemas.openxmlformats.org/officeDocument/2006/relationships/hyperlink" Target="https://www.facebook.com/nimfa.p.delrosario" TargetMode="External"/><Relationship Id="rId3861" Type="http://schemas.openxmlformats.org/officeDocument/2006/relationships/hyperlink" Target="https://www.facebook.com/nandy.lucero" TargetMode="External"/><Relationship Id="rId2530" Type="http://schemas.openxmlformats.org/officeDocument/2006/relationships/hyperlink" Target="https://www.facebook.com/rapplerdotcom/posts/pfbid0TYP6syjYwznxJKdhWv9YMaXK9NvsSEhQ2cyyCQCPMvGapWXrQBHehywgT156wqNPl" TargetMode="External"/><Relationship Id="rId3860" Type="http://schemas.openxmlformats.org/officeDocument/2006/relationships/hyperlink" Target="https://www.facebook.com/rapplerdotcom/posts/pfbid0dyWpzxim3h4Z2SYriGakwQw85p7BCAgct7KU5EiMX1bmmgNHDD8nmES8rjrADsrPl" TargetMode="External"/><Relationship Id="rId1200" Type="http://schemas.openxmlformats.org/officeDocument/2006/relationships/hyperlink" Target="https://www.facebook.com/rapplerdotcom/posts/pfbid023goEfA6e1ABSWYJFy8fQ5LFWDv4QTSTmAfzySGtMSpy12iqywB2MUZjiZ8GjCxrGl" TargetMode="External"/><Relationship Id="rId2531" Type="http://schemas.openxmlformats.org/officeDocument/2006/relationships/hyperlink" Target="https://www.facebook.com/Gheniirose" TargetMode="External"/><Relationship Id="rId3863" Type="http://schemas.openxmlformats.org/officeDocument/2006/relationships/hyperlink" Target="https://www.facebook.com/niwafrancis" TargetMode="External"/><Relationship Id="rId1201" Type="http://schemas.openxmlformats.org/officeDocument/2006/relationships/hyperlink" Target="https://www.facebook.com/lina.adlao.cayong" TargetMode="External"/><Relationship Id="rId2532" Type="http://schemas.openxmlformats.org/officeDocument/2006/relationships/hyperlink" Target="https://www.facebook.com/rapplerdotcom/posts/pfbid0TYP6syjYwznxJKdhWv9YMaXK9NvsSEhQ2cyyCQCPMvGapWXrQBHehywgT156wqNPl" TargetMode="External"/><Relationship Id="rId3862" Type="http://schemas.openxmlformats.org/officeDocument/2006/relationships/hyperlink" Target="https://www.facebook.com/rapplerdotcom/posts/pfbid0dyWpzxim3h4Z2SYriGakwQw85p7BCAgct7KU5EiMX1bmmgNHDD8nmES8rjrADsrPl" TargetMode="External"/><Relationship Id="rId1235" Type="http://schemas.openxmlformats.org/officeDocument/2006/relationships/hyperlink" Target="https://www.facebook.com/raks.vppablo" TargetMode="External"/><Relationship Id="rId2566" Type="http://schemas.openxmlformats.org/officeDocument/2006/relationships/hyperlink" Target="https://www.facebook.com/rapplerdotcom/photos/a.317154781638645/5595733810447356/" TargetMode="External"/><Relationship Id="rId3898" Type="http://schemas.openxmlformats.org/officeDocument/2006/relationships/hyperlink" Target="https://www.facebook.com/rapplerdotcom/posts/pfbid0dyWpzxim3h4Z2SYriGakwQw85p7BCAgct7KU5EiMX1bmmgNHDD8nmES8rjrADsrPl" TargetMode="External"/><Relationship Id="rId1236" Type="http://schemas.openxmlformats.org/officeDocument/2006/relationships/hyperlink" Target="https://www.facebook.com/rapplerdotcom/posts/pfbid023goEfA6e1ABSWYJFy8fQ5LFWDv4QTSTmAfzySGtMSpy12iqywB2MUZjiZ8GjCxrGl" TargetMode="External"/><Relationship Id="rId2567" Type="http://schemas.openxmlformats.org/officeDocument/2006/relationships/hyperlink" Target="https://www.facebook.com/maryjane.martizano" TargetMode="External"/><Relationship Id="rId3897" Type="http://schemas.openxmlformats.org/officeDocument/2006/relationships/hyperlink" Target="https://www.facebook.com/marvin.rafols.7" TargetMode="External"/><Relationship Id="rId1237" Type="http://schemas.openxmlformats.org/officeDocument/2006/relationships/hyperlink" Target="https://www.facebook.com/jasper.castrence.1" TargetMode="External"/><Relationship Id="rId2568" Type="http://schemas.openxmlformats.org/officeDocument/2006/relationships/hyperlink" Target="https://www.facebook.com/rapplerdotcom/photos/a.317154781638645/5595733810447356/" TargetMode="External"/><Relationship Id="rId1238" Type="http://schemas.openxmlformats.org/officeDocument/2006/relationships/hyperlink" Target="https://www.facebook.com/rapplerdotcom/posts/pfbid023goEfA6e1ABSWYJFy8fQ5LFWDv4QTSTmAfzySGtMSpy12iqywB2MUZjiZ8GjCxrGl" TargetMode="External"/><Relationship Id="rId2569" Type="http://schemas.openxmlformats.org/officeDocument/2006/relationships/hyperlink" Target="https://www.facebook.com/pulubeng.kabute" TargetMode="External"/><Relationship Id="rId3899" Type="http://schemas.openxmlformats.org/officeDocument/2006/relationships/hyperlink" Target="https://www.facebook.com/profile.php?id=100074540717680" TargetMode="External"/><Relationship Id="rId1239" Type="http://schemas.openxmlformats.org/officeDocument/2006/relationships/hyperlink" Target="https://www.facebook.com/profile.php?id=100075281044190" TargetMode="External"/><Relationship Id="rId3890" Type="http://schemas.openxmlformats.org/officeDocument/2006/relationships/hyperlink" Target="https://www.facebook.com/rapplerdotcom/posts/pfbid0dyWpzxim3h4Z2SYriGakwQw85p7BCAgct7KU5EiMX1bmmgNHDD8nmES8rjrADsrPl" TargetMode="External"/><Relationship Id="rId2560" Type="http://schemas.openxmlformats.org/officeDocument/2006/relationships/hyperlink" Target="https://www.facebook.com/rapplerdotcom/photos/a.317154781638645/5595733810447356/" TargetMode="External"/><Relationship Id="rId3892" Type="http://schemas.openxmlformats.org/officeDocument/2006/relationships/hyperlink" Target="https://www.facebook.com/rapplerdotcom/posts/pfbid0dyWpzxim3h4Z2SYriGakwQw85p7BCAgct7KU5EiMX1bmmgNHDD8nmES8rjrADsrPl" TargetMode="External"/><Relationship Id="rId1230" Type="http://schemas.openxmlformats.org/officeDocument/2006/relationships/hyperlink" Target="https://www.facebook.com/rapplerdotcom/posts/pfbid023goEfA6e1ABSWYJFy8fQ5LFWDv4QTSTmAfzySGtMSpy12iqywB2MUZjiZ8GjCxrGl" TargetMode="External"/><Relationship Id="rId2561" Type="http://schemas.openxmlformats.org/officeDocument/2006/relationships/hyperlink" Target="https://www.facebook.com/pilar.alejo.9" TargetMode="External"/><Relationship Id="rId3891" Type="http://schemas.openxmlformats.org/officeDocument/2006/relationships/hyperlink" Target="https://www.facebook.com/akosimark" TargetMode="External"/><Relationship Id="rId1231" Type="http://schemas.openxmlformats.org/officeDocument/2006/relationships/hyperlink" Target="https://www.facebook.com/lanie.luna.52" TargetMode="External"/><Relationship Id="rId2562" Type="http://schemas.openxmlformats.org/officeDocument/2006/relationships/hyperlink" Target="https://www.facebook.com/rapplerdotcom/photos/a.317154781638645/5595733810447356/" TargetMode="External"/><Relationship Id="rId3894" Type="http://schemas.openxmlformats.org/officeDocument/2006/relationships/hyperlink" Target="https://www.facebook.com/rapplerdotcom/posts/pfbid0dyWpzxim3h4Z2SYriGakwQw85p7BCAgct7KU5EiMX1bmmgNHDD8nmES8rjrADsrPl" TargetMode="External"/><Relationship Id="rId1232" Type="http://schemas.openxmlformats.org/officeDocument/2006/relationships/hyperlink" Target="https://www.facebook.com/rapplerdotcom/posts/pfbid023goEfA6e1ABSWYJFy8fQ5LFWDv4QTSTmAfzySGtMSpy12iqywB2MUZjiZ8GjCxrGl" TargetMode="External"/><Relationship Id="rId2563" Type="http://schemas.openxmlformats.org/officeDocument/2006/relationships/hyperlink" Target="https://www.facebook.com/francis.bartolome.52" TargetMode="External"/><Relationship Id="rId3893" Type="http://schemas.openxmlformats.org/officeDocument/2006/relationships/hyperlink" Target="https://www.facebook.com/monroyfrancescaong" TargetMode="External"/><Relationship Id="rId1233" Type="http://schemas.openxmlformats.org/officeDocument/2006/relationships/hyperlink" Target="https://www.facebook.com/patrick.bagaan.9" TargetMode="External"/><Relationship Id="rId2564" Type="http://schemas.openxmlformats.org/officeDocument/2006/relationships/hyperlink" Target="https://www.facebook.com/rapplerdotcom/photos/a.317154781638645/5595733810447356/" TargetMode="External"/><Relationship Id="rId3896" Type="http://schemas.openxmlformats.org/officeDocument/2006/relationships/hyperlink" Target="https://www.facebook.com/rapplerdotcom/posts/pfbid0dyWpzxim3h4Z2SYriGakwQw85p7BCAgct7KU5EiMX1bmmgNHDD8nmES8rjrADsrPl" TargetMode="External"/><Relationship Id="rId1234" Type="http://schemas.openxmlformats.org/officeDocument/2006/relationships/hyperlink" Target="https://www.facebook.com/rapplerdotcom/posts/pfbid023goEfA6e1ABSWYJFy8fQ5LFWDv4QTSTmAfzySGtMSpy12iqywB2MUZjiZ8GjCxrGl" TargetMode="External"/><Relationship Id="rId2565" Type="http://schemas.openxmlformats.org/officeDocument/2006/relationships/hyperlink" Target="https://www.facebook.com/harveychato" TargetMode="External"/><Relationship Id="rId3895" Type="http://schemas.openxmlformats.org/officeDocument/2006/relationships/hyperlink" Target="https://www.facebook.com/novalyn.cawilantangdol" TargetMode="External"/><Relationship Id="rId1224" Type="http://schemas.openxmlformats.org/officeDocument/2006/relationships/hyperlink" Target="https://www.facebook.com/rapplerdotcom/posts/pfbid023goEfA6e1ABSWYJFy8fQ5LFWDv4QTSTmAfzySGtMSpy12iqywB2MUZjiZ8GjCxrGl" TargetMode="External"/><Relationship Id="rId2555" Type="http://schemas.openxmlformats.org/officeDocument/2006/relationships/hyperlink" Target="https://www.facebook.com/kay.flameno" TargetMode="External"/><Relationship Id="rId3887" Type="http://schemas.openxmlformats.org/officeDocument/2006/relationships/hyperlink" Target="https://www.facebook.com/roman.rapido.5076" TargetMode="External"/><Relationship Id="rId1225" Type="http://schemas.openxmlformats.org/officeDocument/2006/relationships/hyperlink" Target="https://www.facebook.com/julio.quian" TargetMode="External"/><Relationship Id="rId2556" Type="http://schemas.openxmlformats.org/officeDocument/2006/relationships/hyperlink" Target="https://www.facebook.com/rapplerdotcom/photos/a.317154781638645/5595733810447356/" TargetMode="External"/><Relationship Id="rId3886" Type="http://schemas.openxmlformats.org/officeDocument/2006/relationships/hyperlink" Target="https://www.facebook.com/rapplerdotcom/posts/pfbid0dyWpzxim3h4Z2SYriGakwQw85p7BCAgct7KU5EiMX1bmmgNHDD8nmES8rjrADsrPl" TargetMode="External"/><Relationship Id="rId1226" Type="http://schemas.openxmlformats.org/officeDocument/2006/relationships/hyperlink" Target="https://www.facebook.com/rapplerdotcom/posts/pfbid023goEfA6e1ABSWYJFy8fQ5LFWDv4QTSTmAfzySGtMSpy12iqywB2MUZjiZ8GjCxrGl" TargetMode="External"/><Relationship Id="rId2557" Type="http://schemas.openxmlformats.org/officeDocument/2006/relationships/hyperlink" Target="https://www.facebook.com/marissa.bernabetecson" TargetMode="External"/><Relationship Id="rId3889" Type="http://schemas.openxmlformats.org/officeDocument/2006/relationships/hyperlink" Target="https://www.facebook.com/jennifer.alison" TargetMode="External"/><Relationship Id="rId1227" Type="http://schemas.openxmlformats.org/officeDocument/2006/relationships/hyperlink" Target="https://www.facebook.com/cecilia.rebong" TargetMode="External"/><Relationship Id="rId2558" Type="http://schemas.openxmlformats.org/officeDocument/2006/relationships/hyperlink" Target="https://www.facebook.com/rapplerdotcom/photos/a.317154781638645/5595733810447356/" TargetMode="External"/><Relationship Id="rId3888" Type="http://schemas.openxmlformats.org/officeDocument/2006/relationships/hyperlink" Target="https://www.facebook.com/rapplerdotcom/posts/pfbid0dyWpzxim3h4Z2SYriGakwQw85p7BCAgct7KU5EiMX1bmmgNHDD8nmES8rjrADsrPl" TargetMode="External"/><Relationship Id="rId1228" Type="http://schemas.openxmlformats.org/officeDocument/2006/relationships/hyperlink" Target="https://www.facebook.com/rapplerdotcom/posts/pfbid023goEfA6e1ABSWYJFy8fQ5LFWDv4QTSTmAfzySGtMSpy12iqywB2MUZjiZ8GjCxrGl" TargetMode="External"/><Relationship Id="rId2559" Type="http://schemas.openxmlformats.org/officeDocument/2006/relationships/hyperlink" Target="https://www.facebook.com/profile.php?id=100075703493857" TargetMode="External"/><Relationship Id="rId1229" Type="http://schemas.openxmlformats.org/officeDocument/2006/relationships/hyperlink" Target="https://www.facebook.com/marilen.estaniel" TargetMode="External"/><Relationship Id="rId3881" Type="http://schemas.openxmlformats.org/officeDocument/2006/relationships/hyperlink" Target="https://www.facebook.com/simonette.dacara" TargetMode="External"/><Relationship Id="rId2550" Type="http://schemas.openxmlformats.org/officeDocument/2006/relationships/hyperlink" Target="https://www.facebook.com/rapplerdotcom/photos/a.317154781638645/5595733810447356/" TargetMode="External"/><Relationship Id="rId3880" Type="http://schemas.openxmlformats.org/officeDocument/2006/relationships/hyperlink" Target="https://www.facebook.com/rapplerdotcom/posts/pfbid0dyWpzxim3h4Z2SYriGakwQw85p7BCAgct7KU5EiMX1bmmgNHDD8nmES8rjrADsrPl" TargetMode="External"/><Relationship Id="rId1220" Type="http://schemas.openxmlformats.org/officeDocument/2006/relationships/hyperlink" Target="https://www.facebook.com/rapplerdotcom/posts/pfbid023goEfA6e1ABSWYJFy8fQ5LFWDv4QTSTmAfzySGtMSpy12iqywB2MUZjiZ8GjCxrGl" TargetMode="External"/><Relationship Id="rId2551" Type="http://schemas.openxmlformats.org/officeDocument/2006/relationships/hyperlink" Target="https://www.facebook.com/marilou.palomata" TargetMode="External"/><Relationship Id="rId3883" Type="http://schemas.openxmlformats.org/officeDocument/2006/relationships/hyperlink" Target="https://www.facebook.com/paz.ete.7" TargetMode="External"/><Relationship Id="rId1221" Type="http://schemas.openxmlformats.org/officeDocument/2006/relationships/hyperlink" Target="https://www.facebook.com/junafel.garin" TargetMode="External"/><Relationship Id="rId2552" Type="http://schemas.openxmlformats.org/officeDocument/2006/relationships/hyperlink" Target="https://www.facebook.com/rapplerdotcom/photos/a.317154781638645/5595733810447356/" TargetMode="External"/><Relationship Id="rId3882" Type="http://schemas.openxmlformats.org/officeDocument/2006/relationships/hyperlink" Target="https://www.facebook.com/rapplerdotcom/posts/pfbid0dyWpzxim3h4Z2SYriGakwQw85p7BCAgct7KU5EiMX1bmmgNHDD8nmES8rjrADsrPl" TargetMode="External"/><Relationship Id="rId1222" Type="http://schemas.openxmlformats.org/officeDocument/2006/relationships/hyperlink" Target="https://www.facebook.com/rapplerdotcom/posts/pfbid023goEfA6e1ABSWYJFy8fQ5LFWDv4QTSTmAfzySGtMSpy12iqywB2MUZjiZ8GjCxrGl" TargetMode="External"/><Relationship Id="rId2553" Type="http://schemas.openxmlformats.org/officeDocument/2006/relationships/hyperlink" Target="https://www.facebook.com/gejan" TargetMode="External"/><Relationship Id="rId3885" Type="http://schemas.openxmlformats.org/officeDocument/2006/relationships/hyperlink" Target="https://www.facebook.com/anabelma.abrera" TargetMode="External"/><Relationship Id="rId1223" Type="http://schemas.openxmlformats.org/officeDocument/2006/relationships/hyperlink" Target="https://www.facebook.com/pamela.plamenco" TargetMode="External"/><Relationship Id="rId2554" Type="http://schemas.openxmlformats.org/officeDocument/2006/relationships/hyperlink" Target="https://www.facebook.com/rapplerdotcom/photos/a.317154781638645/5595733810447356/" TargetMode="External"/><Relationship Id="rId3884" Type="http://schemas.openxmlformats.org/officeDocument/2006/relationships/hyperlink" Target="https://www.facebook.com/rapplerdotcom/posts/pfbid0dyWpzxim3h4Z2SYriGakwQw85p7BCAgct7KU5EiMX1bmmgNHDD8nmES8rjrADsrPl" TargetMode="External"/><Relationship Id="rId2500" Type="http://schemas.openxmlformats.org/officeDocument/2006/relationships/hyperlink" Target="https://www.facebook.com/rapplerdotcom/posts/pfbid0TYP6syjYwznxJKdhWv9YMaXK9NvsSEhQ2cyyCQCPMvGapWXrQBHehywgT156wqNPl" TargetMode="External"/><Relationship Id="rId3832" Type="http://schemas.openxmlformats.org/officeDocument/2006/relationships/hyperlink" Target="https://www.facebook.com/rapplerdotcom/posts/pfbid0dyWpzxim3h4Z2SYriGakwQw85p7BCAgct7KU5EiMX1bmmgNHDD8nmES8rjrADsrPl" TargetMode="External"/><Relationship Id="rId2501" Type="http://schemas.openxmlformats.org/officeDocument/2006/relationships/hyperlink" Target="https://www.facebook.com/profile.php?id=100078937432698" TargetMode="External"/><Relationship Id="rId3831" Type="http://schemas.openxmlformats.org/officeDocument/2006/relationships/hyperlink" Target="https://www.facebook.com/be.aranza" TargetMode="External"/><Relationship Id="rId2502" Type="http://schemas.openxmlformats.org/officeDocument/2006/relationships/hyperlink" Target="https://www.facebook.com/rapplerdotcom/posts/pfbid0TYP6syjYwznxJKdhWv9YMaXK9NvsSEhQ2cyyCQCPMvGapWXrQBHehywgT156wqNPl" TargetMode="External"/><Relationship Id="rId3834" Type="http://schemas.openxmlformats.org/officeDocument/2006/relationships/hyperlink" Target="https://www.facebook.com/rapplerdotcom/posts/pfbid0dyWpzxim3h4Z2SYriGakwQw85p7BCAgct7KU5EiMX1bmmgNHDD8nmES8rjrADsrPl" TargetMode="External"/><Relationship Id="rId2503" Type="http://schemas.openxmlformats.org/officeDocument/2006/relationships/hyperlink" Target="https://www.facebook.com/profile.php?id=100079992361922" TargetMode="External"/><Relationship Id="rId3833" Type="http://schemas.openxmlformats.org/officeDocument/2006/relationships/hyperlink" Target="https://www.facebook.com/rosalie.lozada.1" TargetMode="External"/><Relationship Id="rId2504" Type="http://schemas.openxmlformats.org/officeDocument/2006/relationships/hyperlink" Target="https://www.facebook.com/rapplerdotcom/posts/pfbid0TYP6syjYwznxJKdhWv9YMaXK9NvsSEhQ2cyyCQCPMvGapWXrQBHehywgT156wqNPl" TargetMode="External"/><Relationship Id="rId3836" Type="http://schemas.openxmlformats.org/officeDocument/2006/relationships/hyperlink" Target="https://www.facebook.com/rapplerdotcom/posts/pfbid0dyWpzxim3h4Z2SYriGakwQw85p7BCAgct7KU5EiMX1bmmgNHDD8nmES8rjrADsrPl" TargetMode="External"/><Relationship Id="rId2505" Type="http://schemas.openxmlformats.org/officeDocument/2006/relationships/hyperlink" Target="https://www.facebook.com/iamALArreza" TargetMode="External"/><Relationship Id="rId3835" Type="http://schemas.openxmlformats.org/officeDocument/2006/relationships/hyperlink" Target="https://www.facebook.com/vhen.ayupan" TargetMode="External"/><Relationship Id="rId2506" Type="http://schemas.openxmlformats.org/officeDocument/2006/relationships/hyperlink" Target="https://www.facebook.com/rapplerdotcom/posts/pfbid0TYP6syjYwznxJKdhWv9YMaXK9NvsSEhQ2cyyCQCPMvGapWXrQBHehywgT156wqNPl" TargetMode="External"/><Relationship Id="rId3838" Type="http://schemas.openxmlformats.org/officeDocument/2006/relationships/hyperlink" Target="https://www.facebook.com/rapplerdotcom/posts/pfbid0dyWpzxim3h4Z2SYriGakwQw85p7BCAgct7KU5EiMX1bmmgNHDD8nmES8rjrADsrPl" TargetMode="External"/><Relationship Id="rId2507" Type="http://schemas.openxmlformats.org/officeDocument/2006/relationships/hyperlink" Target="https://www.facebook.com/iamALArreza" TargetMode="External"/><Relationship Id="rId3837" Type="http://schemas.openxmlformats.org/officeDocument/2006/relationships/hyperlink" Target="https://www.facebook.com/IZELMBG" TargetMode="External"/><Relationship Id="rId2508" Type="http://schemas.openxmlformats.org/officeDocument/2006/relationships/hyperlink" Target="https://www.facebook.com/rapplerdotcom/posts/pfbid0TYP6syjYwznxJKdhWv9YMaXK9NvsSEhQ2cyyCQCPMvGapWXrQBHehywgT156wqNPl" TargetMode="External"/><Relationship Id="rId2509" Type="http://schemas.openxmlformats.org/officeDocument/2006/relationships/hyperlink" Target="https://www.facebook.com/iamALArreza" TargetMode="External"/><Relationship Id="rId3839" Type="http://schemas.openxmlformats.org/officeDocument/2006/relationships/hyperlink" Target="https://www.facebook.com/cynthia.tumanut" TargetMode="External"/><Relationship Id="rId3830" Type="http://schemas.openxmlformats.org/officeDocument/2006/relationships/hyperlink" Target="https://www.facebook.com/rapplerdotcom/posts/pfbid0dyWpzxim3h4Z2SYriGakwQw85p7BCAgct7KU5EiMX1bmmgNHDD8nmES8rjrADsrPl" TargetMode="External"/><Relationship Id="rId3821" Type="http://schemas.openxmlformats.org/officeDocument/2006/relationships/hyperlink" Target="https://www.facebook.com/rodel.parambita" TargetMode="External"/><Relationship Id="rId3820" Type="http://schemas.openxmlformats.org/officeDocument/2006/relationships/hyperlink" Target="https://www.facebook.com/rapplerdotcom/posts/pfbid0dyWpzxim3h4Z2SYriGakwQw85p7BCAgct7KU5EiMX1bmmgNHDD8nmES8rjrADsrPl" TargetMode="External"/><Relationship Id="rId3823" Type="http://schemas.openxmlformats.org/officeDocument/2006/relationships/hyperlink" Target="https://www.facebook.com/cory.penaroyo" TargetMode="External"/><Relationship Id="rId3822" Type="http://schemas.openxmlformats.org/officeDocument/2006/relationships/hyperlink" Target="https://www.facebook.com/rapplerdotcom/posts/pfbid0dyWpzxim3h4Z2SYriGakwQw85p7BCAgct7KU5EiMX1bmmgNHDD8nmES8rjrADsrPl" TargetMode="External"/><Relationship Id="rId3825" Type="http://schemas.openxmlformats.org/officeDocument/2006/relationships/hyperlink" Target="https://www.facebook.com/zanlie.ebarita" TargetMode="External"/><Relationship Id="rId3824" Type="http://schemas.openxmlformats.org/officeDocument/2006/relationships/hyperlink" Target="https://www.facebook.com/rapplerdotcom/posts/pfbid0dyWpzxim3h4Z2SYriGakwQw85p7BCAgct7KU5EiMX1bmmgNHDD8nmES8rjrADsrPl" TargetMode="External"/><Relationship Id="rId3827" Type="http://schemas.openxmlformats.org/officeDocument/2006/relationships/hyperlink" Target="https://www.facebook.com/vchua1" TargetMode="External"/><Relationship Id="rId3826" Type="http://schemas.openxmlformats.org/officeDocument/2006/relationships/hyperlink" Target="https://www.facebook.com/rapplerdotcom/posts/pfbid0dyWpzxim3h4Z2SYriGakwQw85p7BCAgct7KU5EiMX1bmmgNHDD8nmES8rjrADsrPl" TargetMode="External"/><Relationship Id="rId3829" Type="http://schemas.openxmlformats.org/officeDocument/2006/relationships/hyperlink" Target="https://www.facebook.com/zanlie.ebarita" TargetMode="External"/><Relationship Id="rId3828" Type="http://schemas.openxmlformats.org/officeDocument/2006/relationships/hyperlink" Target="https://www.facebook.com/rapplerdotcom/posts/pfbid0dyWpzxim3h4Z2SYriGakwQw85p7BCAgct7KU5EiMX1bmmgNHDD8nmES8rjrADsrPl" TargetMode="External"/><Relationship Id="rId6094" Type="http://schemas.openxmlformats.org/officeDocument/2006/relationships/hyperlink" Target="https://www.facebook.com/verminda.raymundo.96" TargetMode="External"/><Relationship Id="rId6095" Type="http://schemas.openxmlformats.org/officeDocument/2006/relationships/hyperlink" Target="https://www.facebook.com/rapplerdotcom/photos/a.317154781638645/5594359700584767/" TargetMode="External"/><Relationship Id="rId6092" Type="http://schemas.openxmlformats.org/officeDocument/2006/relationships/hyperlink" Target="https://www.facebook.com/maribeth.algodon" TargetMode="External"/><Relationship Id="rId6093" Type="http://schemas.openxmlformats.org/officeDocument/2006/relationships/hyperlink" Target="https://www.facebook.com/rapplerdotcom/photos/a.317154781638645/5594359700584767/" TargetMode="External"/><Relationship Id="rId6098" Type="http://schemas.openxmlformats.org/officeDocument/2006/relationships/hyperlink" Target="https://www.facebook.com/maldz.marcial04" TargetMode="External"/><Relationship Id="rId6099" Type="http://schemas.openxmlformats.org/officeDocument/2006/relationships/hyperlink" Target="https://www.facebook.com/rapplerdotcom/photos/a.317154781638645/5594359700584767/" TargetMode="External"/><Relationship Id="rId6096" Type="http://schemas.openxmlformats.org/officeDocument/2006/relationships/hyperlink" Target="https://www.facebook.com/profile.php?id=100069846437904" TargetMode="External"/><Relationship Id="rId6097" Type="http://schemas.openxmlformats.org/officeDocument/2006/relationships/hyperlink" Target="https://www.facebook.com/rapplerdotcom/photos/a.317154781638645/5594359700584767/" TargetMode="External"/><Relationship Id="rId2522" Type="http://schemas.openxmlformats.org/officeDocument/2006/relationships/hyperlink" Target="https://www.facebook.com/rapplerdotcom/posts/pfbid0TYP6syjYwznxJKdhWv9YMaXK9NvsSEhQ2cyyCQCPMvGapWXrQBHehywgT156wqNPl" TargetMode="External"/><Relationship Id="rId3854" Type="http://schemas.openxmlformats.org/officeDocument/2006/relationships/hyperlink" Target="https://www.facebook.com/rapplerdotcom/posts/pfbid0dyWpzxim3h4Z2SYriGakwQw85p7BCAgct7KU5EiMX1bmmgNHDD8nmES8rjrADsrPl" TargetMode="External"/><Relationship Id="rId2523" Type="http://schemas.openxmlformats.org/officeDocument/2006/relationships/hyperlink" Target="https://www.facebook.com/william.pajarillo.1" TargetMode="External"/><Relationship Id="rId3853" Type="http://schemas.openxmlformats.org/officeDocument/2006/relationships/hyperlink" Target="https://www.facebook.com/pedro.postrado.9" TargetMode="External"/><Relationship Id="rId2524" Type="http://schemas.openxmlformats.org/officeDocument/2006/relationships/hyperlink" Target="https://www.facebook.com/rapplerdotcom/posts/pfbid0TYP6syjYwznxJKdhWv9YMaXK9NvsSEhQ2cyyCQCPMvGapWXrQBHehywgT156wqNPl" TargetMode="External"/><Relationship Id="rId3856" Type="http://schemas.openxmlformats.org/officeDocument/2006/relationships/hyperlink" Target="https://www.facebook.com/rapplerdotcom/posts/pfbid0dyWpzxim3h4Z2SYriGakwQw85p7BCAgct7KU5EiMX1bmmgNHDD8nmES8rjrADsrPl" TargetMode="External"/><Relationship Id="rId2525" Type="http://schemas.openxmlformats.org/officeDocument/2006/relationships/hyperlink" Target="https://www.facebook.com/mariaashley.rigos.3" TargetMode="External"/><Relationship Id="rId3855" Type="http://schemas.openxmlformats.org/officeDocument/2006/relationships/hyperlink" Target="https://www.facebook.com/alonzonoel.miclat.5" TargetMode="External"/><Relationship Id="rId2526" Type="http://schemas.openxmlformats.org/officeDocument/2006/relationships/hyperlink" Target="https://www.facebook.com/rapplerdotcom/posts/pfbid0TYP6syjYwznxJKdhWv9YMaXK9NvsSEhQ2cyyCQCPMvGapWXrQBHehywgT156wqNPl" TargetMode="External"/><Relationship Id="rId3858" Type="http://schemas.openxmlformats.org/officeDocument/2006/relationships/hyperlink" Target="https://www.facebook.com/rapplerdotcom/posts/pfbid0dyWpzxim3h4Z2SYriGakwQw85p7BCAgct7KU5EiMX1bmmgNHDD8nmES8rjrADsrPl" TargetMode="External"/><Relationship Id="rId2527" Type="http://schemas.openxmlformats.org/officeDocument/2006/relationships/hyperlink" Target="https://www.facebook.com/lucille.r.villanueva" TargetMode="External"/><Relationship Id="rId3857" Type="http://schemas.openxmlformats.org/officeDocument/2006/relationships/hyperlink" Target="https://www.facebook.com/alonzonoel.miclat.5" TargetMode="External"/><Relationship Id="rId2528" Type="http://schemas.openxmlformats.org/officeDocument/2006/relationships/hyperlink" Target="https://www.facebook.com/rapplerdotcom/posts/pfbid0TYP6syjYwznxJKdhWv9YMaXK9NvsSEhQ2cyyCQCPMvGapWXrQBHehywgT156wqNPl" TargetMode="External"/><Relationship Id="rId2529" Type="http://schemas.openxmlformats.org/officeDocument/2006/relationships/hyperlink" Target="https://www.facebook.com/shootafar" TargetMode="External"/><Relationship Id="rId3859" Type="http://schemas.openxmlformats.org/officeDocument/2006/relationships/hyperlink" Target="https://www.facebook.com/rnl.mojica" TargetMode="External"/><Relationship Id="rId3850" Type="http://schemas.openxmlformats.org/officeDocument/2006/relationships/hyperlink" Target="https://www.facebook.com/rapplerdotcom/posts/pfbid0dyWpzxim3h4Z2SYriGakwQw85p7BCAgct7KU5EiMX1bmmgNHDD8nmES8rjrADsrPl" TargetMode="External"/><Relationship Id="rId2520" Type="http://schemas.openxmlformats.org/officeDocument/2006/relationships/hyperlink" Target="https://www.facebook.com/rapplerdotcom/posts/pfbid0TYP6syjYwznxJKdhWv9YMaXK9NvsSEhQ2cyyCQCPMvGapWXrQBHehywgT156wqNPl" TargetMode="External"/><Relationship Id="rId3852" Type="http://schemas.openxmlformats.org/officeDocument/2006/relationships/hyperlink" Target="https://www.facebook.com/rapplerdotcom/posts/pfbid0dyWpzxim3h4Z2SYriGakwQw85p7BCAgct7KU5EiMX1bmmgNHDD8nmES8rjrADsrPl" TargetMode="External"/><Relationship Id="rId2521" Type="http://schemas.openxmlformats.org/officeDocument/2006/relationships/hyperlink" Target="https://www.facebook.com/tommy.o.chua" TargetMode="External"/><Relationship Id="rId3851" Type="http://schemas.openxmlformats.org/officeDocument/2006/relationships/hyperlink" Target="https://www.facebook.com/rodrigo.lapidario16" TargetMode="External"/><Relationship Id="rId2511" Type="http://schemas.openxmlformats.org/officeDocument/2006/relationships/hyperlink" Target="https://www.facebook.com/profile.php?id=100077966070661" TargetMode="External"/><Relationship Id="rId3843" Type="http://schemas.openxmlformats.org/officeDocument/2006/relationships/hyperlink" Target="https://www.facebook.com/edimar.maneser" TargetMode="External"/><Relationship Id="rId2512" Type="http://schemas.openxmlformats.org/officeDocument/2006/relationships/hyperlink" Target="https://www.facebook.com/rapplerdotcom/posts/pfbid0TYP6syjYwznxJKdhWv9YMaXK9NvsSEhQ2cyyCQCPMvGapWXrQBHehywgT156wqNPl" TargetMode="External"/><Relationship Id="rId3842" Type="http://schemas.openxmlformats.org/officeDocument/2006/relationships/hyperlink" Target="https://www.facebook.com/rapplerdotcom/posts/pfbid0dyWpzxim3h4Z2SYriGakwQw85p7BCAgct7KU5EiMX1bmmgNHDD8nmES8rjrADsrPl" TargetMode="External"/><Relationship Id="rId2513" Type="http://schemas.openxmlformats.org/officeDocument/2006/relationships/hyperlink" Target="https://www.facebook.com/michaeljenard.ligan" TargetMode="External"/><Relationship Id="rId3845" Type="http://schemas.openxmlformats.org/officeDocument/2006/relationships/hyperlink" Target="https://www.facebook.com/gemma.agcaoili.9028" TargetMode="External"/><Relationship Id="rId2514" Type="http://schemas.openxmlformats.org/officeDocument/2006/relationships/hyperlink" Target="https://www.facebook.com/rapplerdotcom/posts/pfbid0TYP6syjYwznxJKdhWv9YMaXK9NvsSEhQ2cyyCQCPMvGapWXrQBHehywgT156wqNPl" TargetMode="External"/><Relationship Id="rId3844" Type="http://schemas.openxmlformats.org/officeDocument/2006/relationships/hyperlink" Target="https://www.facebook.com/rapplerdotcom/posts/pfbid0dyWpzxim3h4Z2SYriGakwQw85p7BCAgct7KU5EiMX1bmmgNHDD8nmES8rjrADsrPl" TargetMode="External"/><Relationship Id="rId2515" Type="http://schemas.openxmlformats.org/officeDocument/2006/relationships/hyperlink" Target="https://www.facebook.com/cookshop168" TargetMode="External"/><Relationship Id="rId3847" Type="http://schemas.openxmlformats.org/officeDocument/2006/relationships/hyperlink" Target="https://www.facebook.com/TEJAYYYY.ihsakat" TargetMode="External"/><Relationship Id="rId2516" Type="http://schemas.openxmlformats.org/officeDocument/2006/relationships/hyperlink" Target="https://www.facebook.com/rapplerdotcom/posts/pfbid0TYP6syjYwznxJKdhWv9YMaXK9NvsSEhQ2cyyCQCPMvGapWXrQBHehywgT156wqNPl" TargetMode="External"/><Relationship Id="rId3846" Type="http://schemas.openxmlformats.org/officeDocument/2006/relationships/hyperlink" Target="https://www.facebook.com/rapplerdotcom/posts/pfbid0dyWpzxim3h4Z2SYriGakwQw85p7BCAgct7KU5EiMX1bmmgNHDD8nmES8rjrADsrPl" TargetMode="External"/><Relationship Id="rId2517" Type="http://schemas.openxmlformats.org/officeDocument/2006/relationships/hyperlink" Target="https://www.facebook.com/tommy.o.chua" TargetMode="External"/><Relationship Id="rId3849" Type="http://schemas.openxmlformats.org/officeDocument/2006/relationships/hyperlink" Target="https://www.facebook.com/PeachCause" TargetMode="External"/><Relationship Id="rId2518" Type="http://schemas.openxmlformats.org/officeDocument/2006/relationships/hyperlink" Target="https://www.facebook.com/rapplerdotcom/posts/pfbid0TYP6syjYwznxJKdhWv9YMaXK9NvsSEhQ2cyyCQCPMvGapWXrQBHehywgT156wqNPl" TargetMode="External"/><Relationship Id="rId3848" Type="http://schemas.openxmlformats.org/officeDocument/2006/relationships/hyperlink" Target="https://www.facebook.com/rapplerdotcom/posts/pfbid0dyWpzxim3h4Z2SYriGakwQw85p7BCAgct7KU5EiMX1bmmgNHDD8nmES8rjrADsrPl" TargetMode="External"/><Relationship Id="rId2519" Type="http://schemas.openxmlformats.org/officeDocument/2006/relationships/hyperlink" Target="https://www.facebook.com/tommy.o.chua" TargetMode="External"/><Relationship Id="rId3841" Type="http://schemas.openxmlformats.org/officeDocument/2006/relationships/hyperlink" Target="https://www.facebook.com/angatbuhayplantlovers/" TargetMode="External"/><Relationship Id="rId2510" Type="http://schemas.openxmlformats.org/officeDocument/2006/relationships/hyperlink" Target="https://www.facebook.com/rapplerdotcom/posts/pfbid0TYP6syjYwznxJKdhWv9YMaXK9NvsSEhQ2cyyCQCPMvGapWXrQBHehywgT156wqNPl" TargetMode="External"/><Relationship Id="rId3840" Type="http://schemas.openxmlformats.org/officeDocument/2006/relationships/hyperlink" Target="https://www.facebook.com/rapplerdotcom/posts/pfbid0dyWpzxim3h4Z2SYriGakwQw85p7BCAgct7KU5EiMX1bmmgNHDD8nmES8rjrADsrPl" TargetMode="External"/><Relationship Id="rId1290" Type="http://schemas.openxmlformats.org/officeDocument/2006/relationships/hyperlink" Target="https://www.facebook.com/rapplerdotcom/posts/pfbid023goEfA6e1ABSWYJFy8fQ5LFWDv4QTSTmAfzySGtMSpy12iqywB2MUZjiZ8GjCxrGl" TargetMode="External"/><Relationship Id="rId1291" Type="http://schemas.openxmlformats.org/officeDocument/2006/relationships/hyperlink" Target="https://www.facebook.com/nora.valenzuela.96742" TargetMode="External"/><Relationship Id="rId1292" Type="http://schemas.openxmlformats.org/officeDocument/2006/relationships/hyperlink" Target="https://www.facebook.com/rapplerdotcom/posts/pfbid023goEfA6e1ABSWYJFy8fQ5LFWDv4QTSTmAfzySGtMSpy12iqywB2MUZjiZ8GjCxrGl" TargetMode="External"/><Relationship Id="rId1293" Type="http://schemas.openxmlformats.org/officeDocument/2006/relationships/hyperlink" Target="https://www.facebook.com/profile.php?id=100075281044190" TargetMode="External"/><Relationship Id="rId1294" Type="http://schemas.openxmlformats.org/officeDocument/2006/relationships/hyperlink" Target="https://www.facebook.com/rapplerdotcom/posts/pfbid023goEfA6e1ABSWYJFy8fQ5LFWDv4QTSTmAfzySGtMSpy12iqywB2MUZjiZ8GjCxrGl" TargetMode="External"/><Relationship Id="rId1295" Type="http://schemas.openxmlformats.org/officeDocument/2006/relationships/hyperlink" Target="https://www.facebook.com/karl.andrei.921" TargetMode="External"/><Relationship Id="rId1296" Type="http://schemas.openxmlformats.org/officeDocument/2006/relationships/hyperlink" Target="https://www.facebook.com/rapplerdotcom/posts/pfbid023goEfA6e1ABSWYJFy8fQ5LFWDv4QTSTmAfzySGtMSpy12iqywB2MUZjiZ8GjCxrGl" TargetMode="External"/><Relationship Id="rId1297" Type="http://schemas.openxmlformats.org/officeDocument/2006/relationships/hyperlink" Target="https://www.facebook.com/nora.valenzuela.96742" TargetMode="External"/><Relationship Id="rId1298" Type="http://schemas.openxmlformats.org/officeDocument/2006/relationships/hyperlink" Target="https://www.facebook.com/rapplerdotcom/posts/pfbid023goEfA6e1ABSWYJFy8fQ5LFWDv4QTSTmAfzySGtMSpy12iqywB2MUZjiZ8GjCxrGl" TargetMode="External"/><Relationship Id="rId1299" Type="http://schemas.openxmlformats.org/officeDocument/2006/relationships/hyperlink" Target="https://www.facebook.com/Aprilche888" TargetMode="External"/><Relationship Id="rId1280" Type="http://schemas.openxmlformats.org/officeDocument/2006/relationships/hyperlink" Target="https://www.facebook.com/rapplerdotcom/posts/pfbid023goEfA6e1ABSWYJFy8fQ5LFWDv4QTSTmAfzySGtMSpy12iqywB2MUZjiZ8GjCxrGl" TargetMode="External"/><Relationship Id="rId1281" Type="http://schemas.openxmlformats.org/officeDocument/2006/relationships/hyperlink" Target="https://www.facebook.com/ADATL02" TargetMode="External"/><Relationship Id="rId1282" Type="http://schemas.openxmlformats.org/officeDocument/2006/relationships/hyperlink" Target="https://www.facebook.com/rapplerdotcom/posts/pfbid023goEfA6e1ABSWYJFy8fQ5LFWDv4QTSTmAfzySGtMSpy12iqywB2MUZjiZ8GjCxrGl" TargetMode="External"/><Relationship Id="rId1283" Type="http://schemas.openxmlformats.org/officeDocument/2006/relationships/hyperlink" Target="https://www.facebook.com/MrAndMrs.AlRenchie.Jumat" TargetMode="External"/><Relationship Id="rId1284" Type="http://schemas.openxmlformats.org/officeDocument/2006/relationships/hyperlink" Target="https://www.facebook.com/rapplerdotcom/posts/pfbid023goEfA6e1ABSWYJFy8fQ5LFWDv4QTSTmAfzySGtMSpy12iqywB2MUZjiZ8GjCxrGl" TargetMode="External"/><Relationship Id="rId1285" Type="http://schemas.openxmlformats.org/officeDocument/2006/relationships/hyperlink" Target="https://www.facebook.com/ADATL02" TargetMode="External"/><Relationship Id="rId1286" Type="http://schemas.openxmlformats.org/officeDocument/2006/relationships/hyperlink" Target="https://www.facebook.com/rapplerdotcom/posts/pfbid023goEfA6e1ABSWYJFy8fQ5LFWDv4QTSTmAfzySGtMSpy12iqywB2MUZjiZ8GjCxrGl" TargetMode="External"/><Relationship Id="rId1287" Type="http://schemas.openxmlformats.org/officeDocument/2006/relationships/hyperlink" Target="https://www.facebook.com/ADATL02" TargetMode="External"/><Relationship Id="rId1288" Type="http://schemas.openxmlformats.org/officeDocument/2006/relationships/hyperlink" Target="https://www.facebook.com/rapplerdotcom/posts/pfbid023goEfA6e1ABSWYJFy8fQ5LFWDv4QTSTmAfzySGtMSpy12iqywB2MUZjiZ8GjCxrGl" TargetMode="External"/><Relationship Id="rId1289" Type="http://schemas.openxmlformats.org/officeDocument/2006/relationships/hyperlink" Target="https://www.facebook.com/marialucresia.laureno.1" TargetMode="External"/><Relationship Id="rId1257" Type="http://schemas.openxmlformats.org/officeDocument/2006/relationships/hyperlink" Target="https://www.facebook.com/buenaventura.romy" TargetMode="External"/><Relationship Id="rId2588" Type="http://schemas.openxmlformats.org/officeDocument/2006/relationships/hyperlink" Target="https://www.facebook.com/rapplerdotcom/photos/a.317154781638645/5595733810447356/" TargetMode="External"/><Relationship Id="rId1258" Type="http://schemas.openxmlformats.org/officeDocument/2006/relationships/hyperlink" Target="https://www.facebook.com/rapplerdotcom/posts/pfbid023goEfA6e1ABSWYJFy8fQ5LFWDv4QTSTmAfzySGtMSpy12iqywB2MUZjiZ8GjCxrGl" TargetMode="External"/><Relationship Id="rId2589" Type="http://schemas.openxmlformats.org/officeDocument/2006/relationships/hyperlink" Target="https://www.facebook.com/gia.mitchell.9655" TargetMode="External"/><Relationship Id="rId1259" Type="http://schemas.openxmlformats.org/officeDocument/2006/relationships/hyperlink" Target="https://www.facebook.com/renz.jimenez.1048" TargetMode="External"/><Relationship Id="rId2580" Type="http://schemas.openxmlformats.org/officeDocument/2006/relationships/hyperlink" Target="https://www.facebook.com/rapplerdotcom/photos/a.317154781638645/5595733810447356/" TargetMode="External"/><Relationship Id="rId1250" Type="http://schemas.openxmlformats.org/officeDocument/2006/relationships/hyperlink" Target="https://www.facebook.com/rapplerdotcom/posts/pfbid023goEfA6e1ABSWYJFy8fQ5LFWDv4QTSTmAfzySGtMSpy12iqywB2MUZjiZ8GjCxrGl" TargetMode="External"/><Relationship Id="rId2581" Type="http://schemas.openxmlformats.org/officeDocument/2006/relationships/hyperlink" Target="https://www.facebook.com/mirandilla.alexract" TargetMode="External"/><Relationship Id="rId1251" Type="http://schemas.openxmlformats.org/officeDocument/2006/relationships/hyperlink" Target="https://www.facebook.com/jo.talisaysay" TargetMode="External"/><Relationship Id="rId2582" Type="http://schemas.openxmlformats.org/officeDocument/2006/relationships/hyperlink" Target="https://www.facebook.com/rapplerdotcom/photos/a.317154781638645/5595733810447356/" TargetMode="External"/><Relationship Id="rId1252" Type="http://schemas.openxmlformats.org/officeDocument/2006/relationships/hyperlink" Target="https://www.facebook.com/rapplerdotcom/posts/pfbid023goEfA6e1ABSWYJFy8fQ5LFWDv4QTSTmAfzySGtMSpy12iqywB2MUZjiZ8GjCxrGl" TargetMode="External"/><Relationship Id="rId2583" Type="http://schemas.openxmlformats.org/officeDocument/2006/relationships/hyperlink" Target="https://www.facebook.com/IamRoselleBaltazar" TargetMode="External"/><Relationship Id="rId1253" Type="http://schemas.openxmlformats.org/officeDocument/2006/relationships/hyperlink" Target="https://www.facebook.com/Desha.Glorioso" TargetMode="External"/><Relationship Id="rId2584" Type="http://schemas.openxmlformats.org/officeDocument/2006/relationships/hyperlink" Target="https://www.facebook.com/rapplerdotcom/photos/a.317154781638645/5595733810447356/" TargetMode="External"/><Relationship Id="rId1254" Type="http://schemas.openxmlformats.org/officeDocument/2006/relationships/hyperlink" Target="https://www.facebook.com/rapplerdotcom/posts/pfbid023goEfA6e1ABSWYJFy8fQ5LFWDv4QTSTmAfzySGtMSpy12iqywB2MUZjiZ8GjCxrGl" TargetMode="External"/><Relationship Id="rId2585" Type="http://schemas.openxmlformats.org/officeDocument/2006/relationships/hyperlink" Target="https://www.facebook.com/profile.php?id=100009637215034" TargetMode="External"/><Relationship Id="rId1255" Type="http://schemas.openxmlformats.org/officeDocument/2006/relationships/hyperlink" Target="https://www.facebook.com/ronniel.deramos" TargetMode="External"/><Relationship Id="rId2586" Type="http://schemas.openxmlformats.org/officeDocument/2006/relationships/hyperlink" Target="https://www.facebook.com/rapplerdotcom/photos/a.317154781638645/5595733810447356/" TargetMode="External"/><Relationship Id="rId1256" Type="http://schemas.openxmlformats.org/officeDocument/2006/relationships/hyperlink" Target="https://www.facebook.com/rapplerdotcom/posts/pfbid023goEfA6e1ABSWYJFy8fQ5LFWDv4QTSTmAfzySGtMSpy12iqywB2MUZjiZ8GjCxrGl" TargetMode="External"/><Relationship Id="rId2587" Type="http://schemas.openxmlformats.org/officeDocument/2006/relationships/hyperlink" Target="https://www.facebook.com/mariano.josh99" TargetMode="External"/><Relationship Id="rId1246" Type="http://schemas.openxmlformats.org/officeDocument/2006/relationships/hyperlink" Target="https://www.facebook.com/rapplerdotcom/posts/pfbid023goEfA6e1ABSWYJFy8fQ5LFWDv4QTSTmAfzySGtMSpy12iqywB2MUZjiZ8GjCxrGl" TargetMode="External"/><Relationship Id="rId2577" Type="http://schemas.openxmlformats.org/officeDocument/2006/relationships/hyperlink" Target="https://www.facebook.com/profile.php?id=100011150311111" TargetMode="External"/><Relationship Id="rId1247" Type="http://schemas.openxmlformats.org/officeDocument/2006/relationships/hyperlink" Target="https://www.facebook.com/rey.santos.1426876" TargetMode="External"/><Relationship Id="rId2578" Type="http://schemas.openxmlformats.org/officeDocument/2006/relationships/hyperlink" Target="https://www.facebook.com/rapplerdotcom/photos/a.317154781638645/5595733810447356/" TargetMode="External"/><Relationship Id="rId1248" Type="http://schemas.openxmlformats.org/officeDocument/2006/relationships/hyperlink" Target="https://www.facebook.com/rapplerdotcom/posts/pfbid023goEfA6e1ABSWYJFy8fQ5LFWDv4QTSTmAfzySGtMSpy12iqywB2MUZjiZ8GjCxrGl" TargetMode="External"/><Relationship Id="rId2579" Type="http://schemas.openxmlformats.org/officeDocument/2006/relationships/hyperlink" Target="https://www.facebook.com/xernes.martinez" TargetMode="External"/><Relationship Id="rId1249" Type="http://schemas.openxmlformats.org/officeDocument/2006/relationships/hyperlink" Target="https://www.facebook.com/ronniel.deramos" TargetMode="External"/><Relationship Id="rId2570" Type="http://schemas.openxmlformats.org/officeDocument/2006/relationships/hyperlink" Target="https://www.facebook.com/rapplerdotcom/photos/a.317154781638645/5595733810447356/" TargetMode="External"/><Relationship Id="rId1240" Type="http://schemas.openxmlformats.org/officeDocument/2006/relationships/hyperlink" Target="https://www.facebook.com/rapplerdotcom/posts/pfbid023goEfA6e1ABSWYJFy8fQ5LFWDv4QTSTmAfzySGtMSpy12iqywB2MUZjiZ8GjCxrGl" TargetMode="External"/><Relationship Id="rId2571" Type="http://schemas.openxmlformats.org/officeDocument/2006/relationships/hyperlink" Target="https://www.facebook.com/profile.php?id=100009637215034" TargetMode="External"/><Relationship Id="rId1241" Type="http://schemas.openxmlformats.org/officeDocument/2006/relationships/hyperlink" Target="https://www.facebook.com/jasper.castrence.1" TargetMode="External"/><Relationship Id="rId2572" Type="http://schemas.openxmlformats.org/officeDocument/2006/relationships/hyperlink" Target="https://www.facebook.com/rapplerdotcom/photos/a.317154781638645/5595733810447356/" TargetMode="External"/><Relationship Id="rId1242" Type="http://schemas.openxmlformats.org/officeDocument/2006/relationships/hyperlink" Target="https://www.facebook.com/rapplerdotcom/posts/pfbid023goEfA6e1ABSWYJFy8fQ5LFWDv4QTSTmAfzySGtMSpy12iqywB2MUZjiZ8GjCxrGl" TargetMode="External"/><Relationship Id="rId2573" Type="http://schemas.openxmlformats.org/officeDocument/2006/relationships/hyperlink" Target="https://www.facebook.com/mariano.josh99" TargetMode="External"/><Relationship Id="rId1243" Type="http://schemas.openxmlformats.org/officeDocument/2006/relationships/hyperlink" Target="https://www.facebook.com/rey.santos.1426876" TargetMode="External"/><Relationship Id="rId2574" Type="http://schemas.openxmlformats.org/officeDocument/2006/relationships/hyperlink" Target="https://www.facebook.com/rapplerdotcom/photos/a.317154781638645/5595733810447356/" TargetMode="External"/><Relationship Id="rId1244" Type="http://schemas.openxmlformats.org/officeDocument/2006/relationships/hyperlink" Target="https://www.facebook.com/rapplerdotcom/posts/pfbid023goEfA6e1ABSWYJFy8fQ5LFWDv4QTSTmAfzySGtMSpy12iqywB2MUZjiZ8GjCxrGl" TargetMode="External"/><Relationship Id="rId2575" Type="http://schemas.openxmlformats.org/officeDocument/2006/relationships/hyperlink" Target="https://www.facebook.com/lorenztumamao1980" TargetMode="External"/><Relationship Id="rId1245" Type="http://schemas.openxmlformats.org/officeDocument/2006/relationships/hyperlink" Target="https://www.facebook.com/profile.php?id=100059634552488" TargetMode="External"/><Relationship Id="rId2576" Type="http://schemas.openxmlformats.org/officeDocument/2006/relationships/hyperlink" Target="https://www.facebook.com/rapplerdotcom/photos/a.317154781638645/5595733810447356/" TargetMode="External"/><Relationship Id="rId1279" Type="http://schemas.openxmlformats.org/officeDocument/2006/relationships/hyperlink" Target="https://www.facebook.com/fatiph.rack" TargetMode="External"/><Relationship Id="rId1270" Type="http://schemas.openxmlformats.org/officeDocument/2006/relationships/hyperlink" Target="https://www.facebook.com/rapplerdotcom/posts/pfbid023goEfA6e1ABSWYJFy8fQ5LFWDv4QTSTmAfzySGtMSpy12iqywB2MUZjiZ8GjCxrGl" TargetMode="External"/><Relationship Id="rId1271" Type="http://schemas.openxmlformats.org/officeDocument/2006/relationships/hyperlink" Target="https://www.facebook.com/rey.santos.1426876" TargetMode="External"/><Relationship Id="rId1272" Type="http://schemas.openxmlformats.org/officeDocument/2006/relationships/hyperlink" Target="https://www.facebook.com/rapplerdotcom/posts/pfbid023goEfA6e1ABSWYJFy8fQ5LFWDv4QTSTmAfzySGtMSpy12iqywB2MUZjiZ8GjCxrGl" TargetMode="External"/><Relationship Id="rId1273" Type="http://schemas.openxmlformats.org/officeDocument/2006/relationships/hyperlink" Target="https://www.facebook.com/ADATL02" TargetMode="External"/><Relationship Id="rId1274" Type="http://schemas.openxmlformats.org/officeDocument/2006/relationships/hyperlink" Target="https://www.facebook.com/rapplerdotcom/posts/pfbid023goEfA6e1ABSWYJFy8fQ5LFWDv4QTSTmAfzySGtMSpy12iqywB2MUZjiZ8GjCxrGl" TargetMode="External"/><Relationship Id="rId1275" Type="http://schemas.openxmlformats.org/officeDocument/2006/relationships/hyperlink" Target="https://www.facebook.com/xhianglee" TargetMode="External"/><Relationship Id="rId1276" Type="http://schemas.openxmlformats.org/officeDocument/2006/relationships/hyperlink" Target="https://www.facebook.com/rapplerdotcom/posts/pfbid023goEfA6e1ABSWYJFy8fQ5LFWDv4QTSTmAfzySGtMSpy12iqywB2MUZjiZ8GjCxrGl" TargetMode="External"/><Relationship Id="rId1277" Type="http://schemas.openxmlformats.org/officeDocument/2006/relationships/hyperlink" Target="https://www.facebook.com/ADATL02" TargetMode="External"/><Relationship Id="rId1278" Type="http://schemas.openxmlformats.org/officeDocument/2006/relationships/hyperlink" Target="https://www.facebook.com/rapplerdotcom/posts/pfbid023goEfA6e1ABSWYJFy8fQ5LFWDv4QTSTmAfzySGtMSpy12iqywB2MUZjiZ8GjCxrGl" TargetMode="External"/><Relationship Id="rId1268" Type="http://schemas.openxmlformats.org/officeDocument/2006/relationships/hyperlink" Target="https://www.facebook.com/rapplerdotcom/posts/pfbid023goEfA6e1ABSWYJFy8fQ5LFWDv4QTSTmAfzySGtMSpy12iqywB2MUZjiZ8GjCxrGl" TargetMode="External"/><Relationship Id="rId2599" Type="http://schemas.openxmlformats.org/officeDocument/2006/relationships/hyperlink" Target="https://www.facebook.com/IamRoselleBaltazar" TargetMode="External"/><Relationship Id="rId1269" Type="http://schemas.openxmlformats.org/officeDocument/2006/relationships/hyperlink" Target="https://www.facebook.com/cat.carrot.50" TargetMode="External"/><Relationship Id="rId2590" Type="http://schemas.openxmlformats.org/officeDocument/2006/relationships/hyperlink" Target="https://www.facebook.com/rapplerdotcom/photos/a.317154781638645/5595733810447356/" TargetMode="External"/><Relationship Id="rId1260" Type="http://schemas.openxmlformats.org/officeDocument/2006/relationships/hyperlink" Target="https://www.facebook.com/rapplerdotcom/posts/pfbid023goEfA6e1ABSWYJFy8fQ5LFWDv4QTSTmAfzySGtMSpy12iqywB2MUZjiZ8GjCxrGl" TargetMode="External"/><Relationship Id="rId2591" Type="http://schemas.openxmlformats.org/officeDocument/2006/relationships/hyperlink" Target="https://www.facebook.com/marlon.argonza" TargetMode="External"/><Relationship Id="rId1261" Type="http://schemas.openxmlformats.org/officeDocument/2006/relationships/hyperlink" Target="https://www.facebook.com/profile.php?id=100075281044190" TargetMode="External"/><Relationship Id="rId2592" Type="http://schemas.openxmlformats.org/officeDocument/2006/relationships/hyperlink" Target="https://www.facebook.com/rapplerdotcom/photos/a.317154781638645/5595733810447356/" TargetMode="External"/><Relationship Id="rId1262" Type="http://schemas.openxmlformats.org/officeDocument/2006/relationships/hyperlink" Target="https://www.facebook.com/rapplerdotcom/posts/pfbid023goEfA6e1ABSWYJFy8fQ5LFWDv4QTSTmAfzySGtMSpy12iqywB2MUZjiZ8GjCxrGl" TargetMode="External"/><Relationship Id="rId2593" Type="http://schemas.openxmlformats.org/officeDocument/2006/relationships/hyperlink" Target="https://www.facebook.com/vinz.jasareno" TargetMode="External"/><Relationship Id="rId1263" Type="http://schemas.openxmlformats.org/officeDocument/2006/relationships/hyperlink" Target="https://www.facebook.com/rey.santos.1426876" TargetMode="External"/><Relationship Id="rId2594" Type="http://schemas.openxmlformats.org/officeDocument/2006/relationships/hyperlink" Target="https://www.facebook.com/rapplerdotcom/photos/a.317154781638645/5595733810447356/" TargetMode="External"/><Relationship Id="rId1264" Type="http://schemas.openxmlformats.org/officeDocument/2006/relationships/hyperlink" Target="https://www.facebook.com/rapplerdotcom/posts/pfbid023goEfA6e1ABSWYJFy8fQ5LFWDv4QTSTmAfzySGtMSpy12iqywB2MUZjiZ8GjCxrGl" TargetMode="External"/><Relationship Id="rId2595" Type="http://schemas.openxmlformats.org/officeDocument/2006/relationships/hyperlink" Target="https://www.facebook.com/Mrs.prias.3" TargetMode="External"/><Relationship Id="rId1265" Type="http://schemas.openxmlformats.org/officeDocument/2006/relationships/hyperlink" Target="https://www.facebook.com/profile.php?id=100075281044190" TargetMode="External"/><Relationship Id="rId2596" Type="http://schemas.openxmlformats.org/officeDocument/2006/relationships/hyperlink" Target="https://www.facebook.com/rapplerdotcom/photos/a.317154781638645/5595733810447356/" TargetMode="External"/><Relationship Id="rId1266" Type="http://schemas.openxmlformats.org/officeDocument/2006/relationships/hyperlink" Target="https://www.facebook.com/rapplerdotcom/posts/pfbid023goEfA6e1ABSWYJFy8fQ5LFWDv4QTSTmAfzySGtMSpy12iqywB2MUZjiZ8GjCxrGl" TargetMode="External"/><Relationship Id="rId2597" Type="http://schemas.openxmlformats.org/officeDocument/2006/relationships/hyperlink" Target="https://www.facebook.com/maryjane.martizano" TargetMode="External"/><Relationship Id="rId1267" Type="http://schemas.openxmlformats.org/officeDocument/2006/relationships/hyperlink" Target="https://www.facebook.com/michael.elarmo.35" TargetMode="External"/><Relationship Id="rId2598" Type="http://schemas.openxmlformats.org/officeDocument/2006/relationships/hyperlink" Target="https://www.facebook.com/rapplerdotcom/photos/a.317154781638645/5595733810447356/" TargetMode="External"/><Relationship Id="rId3070" Type="http://schemas.openxmlformats.org/officeDocument/2006/relationships/hyperlink" Target="https://www.facebook.com/watch/live/?ref=watch_permalink&amp;v=360307549312104" TargetMode="External"/><Relationship Id="rId3072" Type="http://schemas.openxmlformats.org/officeDocument/2006/relationships/hyperlink" Target="https://www.facebook.com/watch/live/?ref=watch_permalink&amp;v=360307549312104" TargetMode="External"/><Relationship Id="rId3071" Type="http://schemas.openxmlformats.org/officeDocument/2006/relationships/hyperlink" Target="https://www.facebook.com/ayen.francisco.927" TargetMode="External"/><Relationship Id="rId3074" Type="http://schemas.openxmlformats.org/officeDocument/2006/relationships/hyperlink" Target="https://www.facebook.com/watch/live/?ref=watch_permalink&amp;v=360307549312104" TargetMode="External"/><Relationship Id="rId3073" Type="http://schemas.openxmlformats.org/officeDocument/2006/relationships/hyperlink" Target="https://www.facebook.com/ayen.francisco.927" TargetMode="External"/><Relationship Id="rId3076" Type="http://schemas.openxmlformats.org/officeDocument/2006/relationships/hyperlink" Target="https://www.facebook.com/watch/live/?ref=watch_permalink&amp;v=360307549312104" TargetMode="External"/><Relationship Id="rId3075" Type="http://schemas.openxmlformats.org/officeDocument/2006/relationships/hyperlink" Target="https://www.facebook.com/ayen.francisco.927" TargetMode="External"/><Relationship Id="rId3078" Type="http://schemas.openxmlformats.org/officeDocument/2006/relationships/hyperlink" Target="https://www.facebook.com/watch/live/?ref=watch_permalink&amp;v=360307549312104" TargetMode="External"/><Relationship Id="rId3077" Type="http://schemas.openxmlformats.org/officeDocument/2006/relationships/hyperlink" Target="https://www.facebook.com/materesa.villa.9" TargetMode="External"/><Relationship Id="rId3079" Type="http://schemas.openxmlformats.org/officeDocument/2006/relationships/hyperlink" Target="https://www.facebook.com/ayen.francisco.927" TargetMode="External"/><Relationship Id="rId4390" Type="http://schemas.openxmlformats.org/officeDocument/2006/relationships/hyperlink" Target="https://www.facebook.com/ester.barcelon" TargetMode="External"/><Relationship Id="rId3061" Type="http://schemas.openxmlformats.org/officeDocument/2006/relationships/hyperlink" Target="https://www.facebook.com/ayen.francisco.927" TargetMode="External"/><Relationship Id="rId4392" Type="http://schemas.openxmlformats.org/officeDocument/2006/relationships/hyperlink" Target="https://www.facebook.com/divina.chicano" TargetMode="External"/><Relationship Id="rId3060" Type="http://schemas.openxmlformats.org/officeDocument/2006/relationships/hyperlink" Target="https://www.facebook.com/watch/live/?ref=watch_permalink&amp;v=360307549312104" TargetMode="External"/><Relationship Id="rId4391" Type="http://schemas.openxmlformats.org/officeDocument/2006/relationships/hyperlink" Target="https://www.facebook.com/rapplerdotcom/photos/a.317154781638645/5594954703858600/" TargetMode="External"/><Relationship Id="rId3063" Type="http://schemas.openxmlformats.org/officeDocument/2006/relationships/hyperlink" Target="https://www.facebook.com/ayen.francisco.927" TargetMode="External"/><Relationship Id="rId4394" Type="http://schemas.openxmlformats.org/officeDocument/2006/relationships/hyperlink" Target="https://www.facebook.com/eduardo.bonndadjr" TargetMode="External"/><Relationship Id="rId3062" Type="http://schemas.openxmlformats.org/officeDocument/2006/relationships/hyperlink" Target="https://www.facebook.com/watch/live/?ref=watch_permalink&amp;v=360307549312104" TargetMode="External"/><Relationship Id="rId4393" Type="http://schemas.openxmlformats.org/officeDocument/2006/relationships/hyperlink" Target="https://www.facebook.com/rapplerdotcom/photos/a.317154781638645/5594954703858600/" TargetMode="External"/><Relationship Id="rId3065" Type="http://schemas.openxmlformats.org/officeDocument/2006/relationships/hyperlink" Target="https://www.facebook.com/ayen.francisco.927" TargetMode="External"/><Relationship Id="rId4396" Type="http://schemas.openxmlformats.org/officeDocument/2006/relationships/hyperlink" Target="https://www.facebook.com/marcial.acbang" TargetMode="External"/><Relationship Id="rId3064" Type="http://schemas.openxmlformats.org/officeDocument/2006/relationships/hyperlink" Target="https://www.facebook.com/watch/live/?ref=watch_permalink&amp;v=360307549312104" TargetMode="External"/><Relationship Id="rId4395" Type="http://schemas.openxmlformats.org/officeDocument/2006/relationships/hyperlink" Target="https://www.facebook.com/rapplerdotcom/photos/a.317154781638645/5594954703858600/" TargetMode="External"/><Relationship Id="rId3067" Type="http://schemas.openxmlformats.org/officeDocument/2006/relationships/hyperlink" Target="https://www.facebook.com/ayen.francisco.927" TargetMode="External"/><Relationship Id="rId4398" Type="http://schemas.openxmlformats.org/officeDocument/2006/relationships/hyperlink" Target="https://www.facebook.com/amaya.sabado" TargetMode="External"/><Relationship Id="rId3066" Type="http://schemas.openxmlformats.org/officeDocument/2006/relationships/hyperlink" Target="https://www.facebook.com/watch/live/?ref=watch_permalink&amp;v=360307549312104" TargetMode="External"/><Relationship Id="rId4397" Type="http://schemas.openxmlformats.org/officeDocument/2006/relationships/hyperlink" Target="https://www.facebook.com/rapplerdotcom/photos/a.317154781638645/5594954703858600/" TargetMode="External"/><Relationship Id="rId3069" Type="http://schemas.openxmlformats.org/officeDocument/2006/relationships/hyperlink" Target="https://www.facebook.com/ayen.francisco.927" TargetMode="External"/><Relationship Id="rId3068" Type="http://schemas.openxmlformats.org/officeDocument/2006/relationships/hyperlink" Target="https://www.facebook.com/watch/live/?ref=watch_permalink&amp;v=360307549312104" TargetMode="External"/><Relationship Id="rId4399" Type="http://schemas.openxmlformats.org/officeDocument/2006/relationships/hyperlink" Target="https://www.facebook.com/rapplerdotcom/photos/a.317154781638645/5594954703858600/" TargetMode="External"/><Relationship Id="rId3090" Type="http://schemas.openxmlformats.org/officeDocument/2006/relationships/hyperlink" Target="https://www.facebook.com/watch/live/?ref=watch_permalink&amp;v=360307549312104" TargetMode="External"/><Relationship Id="rId3092" Type="http://schemas.openxmlformats.org/officeDocument/2006/relationships/hyperlink" Target="https://www.facebook.com/watch/live/?ref=watch_permalink&amp;v=360307549312104" TargetMode="External"/><Relationship Id="rId3091" Type="http://schemas.openxmlformats.org/officeDocument/2006/relationships/hyperlink" Target="https://www.facebook.com/romer.carredo" TargetMode="External"/><Relationship Id="rId3094" Type="http://schemas.openxmlformats.org/officeDocument/2006/relationships/hyperlink" Target="https://www.facebook.com/watch/live/?ref=watch_permalink&amp;v=360307549312104" TargetMode="External"/><Relationship Id="rId3093" Type="http://schemas.openxmlformats.org/officeDocument/2006/relationships/hyperlink" Target="https://www.facebook.com/yhel.domingo.9" TargetMode="External"/><Relationship Id="rId3096" Type="http://schemas.openxmlformats.org/officeDocument/2006/relationships/hyperlink" Target="https://www.facebook.com/watch/live/?ref=watch_permalink&amp;v=360307549312104" TargetMode="External"/><Relationship Id="rId3095" Type="http://schemas.openxmlformats.org/officeDocument/2006/relationships/hyperlink" Target="https://www.facebook.com/gin.elle.100" TargetMode="External"/><Relationship Id="rId3098" Type="http://schemas.openxmlformats.org/officeDocument/2006/relationships/hyperlink" Target="https://www.facebook.com/watch/live/?ref=watch_permalink&amp;v=360307549312104" TargetMode="External"/><Relationship Id="rId3097" Type="http://schemas.openxmlformats.org/officeDocument/2006/relationships/hyperlink" Target="https://www.facebook.com/rona.baltazar.16" TargetMode="External"/><Relationship Id="rId3099" Type="http://schemas.openxmlformats.org/officeDocument/2006/relationships/hyperlink" Target="https://www.facebook.com/elanie.berou.3" TargetMode="External"/><Relationship Id="rId3081" Type="http://schemas.openxmlformats.org/officeDocument/2006/relationships/hyperlink" Target="https://www.facebook.com/profile.php?id=100071111743897" TargetMode="External"/><Relationship Id="rId3080" Type="http://schemas.openxmlformats.org/officeDocument/2006/relationships/hyperlink" Target="https://www.facebook.com/watch/live/?ref=watch_permalink&amp;v=360307549312104" TargetMode="External"/><Relationship Id="rId3083" Type="http://schemas.openxmlformats.org/officeDocument/2006/relationships/hyperlink" Target="https://www.facebook.com/nenita.nino.37" TargetMode="External"/><Relationship Id="rId3082" Type="http://schemas.openxmlformats.org/officeDocument/2006/relationships/hyperlink" Target="https://www.facebook.com/watch/live/?ref=watch_permalink&amp;v=360307549312104" TargetMode="External"/><Relationship Id="rId3085" Type="http://schemas.openxmlformats.org/officeDocument/2006/relationships/hyperlink" Target="https://www.facebook.com/gin.elle.100" TargetMode="External"/><Relationship Id="rId3084" Type="http://schemas.openxmlformats.org/officeDocument/2006/relationships/hyperlink" Target="https://www.facebook.com/watch/live/?ref=watch_permalink&amp;v=360307549312104" TargetMode="External"/><Relationship Id="rId3087" Type="http://schemas.openxmlformats.org/officeDocument/2006/relationships/hyperlink" Target="https://www.facebook.com/samantha.luiz.92" TargetMode="External"/><Relationship Id="rId3086" Type="http://schemas.openxmlformats.org/officeDocument/2006/relationships/hyperlink" Target="https://www.facebook.com/watch/live/?ref=watch_permalink&amp;v=360307549312104" TargetMode="External"/><Relationship Id="rId3089" Type="http://schemas.openxmlformats.org/officeDocument/2006/relationships/hyperlink" Target="https://www.facebook.com/wilma.remobautista.9" TargetMode="External"/><Relationship Id="rId3088" Type="http://schemas.openxmlformats.org/officeDocument/2006/relationships/hyperlink" Target="https://www.facebook.com/watch/live/?ref=watch_permalink&amp;v=360307549312104" TargetMode="External"/><Relationship Id="rId3039" Type="http://schemas.openxmlformats.org/officeDocument/2006/relationships/hyperlink" Target="https://www.facebook.com/cora.ropeta" TargetMode="External"/><Relationship Id="rId5691" Type="http://schemas.openxmlformats.org/officeDocument/2006/relationships/hyperlink" Target="https://www.facebook.com/rapplerdotcom/photos/a.317154781638645/5594453700575367/" TargetMode="External"/><Relationship Id="rId5692" Type="http://schemas.openxmlformats.org/officeDocument/2006/relationships/hyperlink" Target="https://www.facebook.com/Babe.Serrano" TargetMode="External"/><Relationship Id="rId3030" Type="http://schemas.openxmlformats.org/officeDocument/2006/relationships/hyperlink" Target="https://www.facebook.com/watch/live/?ref=watch_permalink&amp;v=360307549312104" TargetMode="External"/><Relationship Id="rId4361" Type="http://schemas.openxmlformats.org/officeDocument/2006/relationships/hyperlink" Target="https://www.facebook.com/rapplerdotcom/photos/a.317154781638645/5594954703858600/" TargetMode="External"/><Relationship Id="rId4360" Type="http://schemas.openxmlformats.org/officeDocument/2006/relationships/hyperlink" Target="https://www.facebook.com/joey.abella.507" TargetMode="External"/><Relationship Id="rId5690" Type="http://schemas.openxmlformats.org/officeDocument/2006/relationships/hyperlink" Target="https://www.facebook.com/profile.php?id=100077329839114" TargetMode="External"/><Relationship Id="rId3032" Type="http://schemas.openxmlformats.org/officeDocument/2006/relationships/hyperlink" Target="https://www.facebook.com/watch/live/?ref=watch_permalink&amp;v=360307549312104" TargetMode="External"/><Relationship Id="rId4363" Type="http://schemas.openxmlformats.org/officeDocument/2006/relationships/hyperlink" Target="https://www.facebook.com/rapplerdotcom/photos/a.317154781638645/5594954703858600/" TargetMode="External"/><Relationship Id="rId5695" Type="http://schemas.openxmlformats.org/officeDocument/2006/relationships/hyperlink" Target="https://www.facebook.com/rapplerdotcom/photos/a.317154781638645/5594453700575367/" TargetMode="External"/><Relationship Id="rId3031" Type="http://schemas.openxmlformats.org/officeDocument/2006/relationships/hyperlink" Target="https://www.facebook.com/titorobert.piansay.12" TargetMode="External"/><Relationship Id="rId4362" Type="http://schemas.openxmlformats.org/officeDocument/2006/relationships/hyperlink" Target="https://www.facebook.com/rick.capunihan" TargetMode="External"/><Relationship Id="rId5696" Type="http://schemas.openxmlformats.org/officeDocument/2006/relationships/hyperlink" Target="https://www.facebook.com/profile.php?id=100007043323184" TargetMode="External"/><Relationship Id="rId3034" Type="http://schemas.openxmlformats.org/officeDocument/2006/relationships/hyperlink" Target="https://www.facebook.com/watch/live/?ref=watch_permalink&amp;v=360307549312104" TargetMode="External"/><Relationship Id="rId4365" Type="http://schemas.openxmlformats.org/officeDocument/2006/relationships/hyperlink" Target="https://www.facebook.com/rapplerdotcom/photos/a.317154781638645/5594954703858600/" TargetMode="External"/><Relationship Id="rId5693" Type="http://schemas.openxmlformats.org/officeDocument/2006/relationships/hyperlink" Target="https://www.facebook.com/rapplerdotcom/photos/a.317154781638645/5594453700575367/" TargetMode="External"/><Relationship Id="rId3033" Type="http://schemas.openxmlformats.org/officeDocument/2006/relationships/hyperlink" Target="https://www.facebook.com/ester.manlisic" TargetMode="External"/><Relationship Id="rId4364" Type="http://schemas.openxmlformats.org/officeDocument/2006/relationships/hyperlink" Target="https://www.facebook.com/rick.capunihan" TargetMode="External"/><Relationship Id="rId5694" Type="http://schemas.openxmlformats.org/officeDocument/2006/relationships/hyperlink" Target="https://www.facebook.com/azon.delrosario.1" TargetMode="External"/><Relationship Id="rId3036" Type="http://schemas.openxmlformats.org/officeDocument/2006/relationships/hyperlink" Target="https://www.facebook.com/watch/live/?ref=watch_permalink&amp;v=360307549312104" TargetMode="External"/><Relationship Id="rId4367" Type="http://schemas.openxmlformats.org/officeDocument/2006/relationships/hyperlink" Target="https://www.facebook.com/rapplerdotcom/photos/a.317154781638645/5594954703858600/" TargetMode="External"/><Relationship Id="rId5699" Type="http://schemas.openxmlformats.org/officeDocument/2006/relationships/hyperlink" Target="https://www.facebook.com/rapplerdotcom/photos/a.317154781638645/5594453700575367/" TargetMode="External"/><Relationship Id="rId3035" Type="http://schemas.openxmlformats.org/officeDocument/2006/relationships/hyperlink" Target="https://www.facebook.com/maryjean.larion" TargetMode="External"/><Relationship Id="rId4366" Type="http://schemas.openxmlformats.org/officeDocument/2006/relationships/hyperlink" Target="https://www.facebook.com/rick.capunihan" TargetMode="External"/><Relationship Id="rId3038" Type="http://schemas.openxmlformats.org/officeDocument/2006/relationships/hyperlink" Target="https://www.facebook.com/watch/live/?ref=watch_permalink&amp;v=360307549312104" TargetMode="External"/><Relationship Id="rId4369" Type="http://schemas.openxmlformats.org/officeDocument/2006/relationships/hyperlink" Target="https://www.facebook.com/rapplerdotcom/photos/a.317154781638645/5594954703858600/" TargetMode="External"/><Relationship Id="rId5697" Type="http://schemas.openxmlformats.org/officeDocument/2006/relationships/hyperlink" Target="https://www.facebook.com/rapplerdotcom/photos/a.317154781638645/5594453700575367/" TargetMode="External"/><Relationship Id="rId3037" Type="http://schemas.openxmlformats.org/officeDocument/2006/relationships/hyperlink" Target="https://www.facebook.com/madonna.bagalayfulgar.3" TargetMode="External"/><Relationship Id="rId4368" Type="http://schemas.openxmlformats.org/officeDocument/2006/relationships/hyperlink" Target="https://www.facebook.com/josie.salas.731" TargetMode="External"/><Relationship Id="rId5698" Type="http://schemas.openxmlformats.org/officeDocument/2006/relationships/hyperlink" Target="https://www.facebook.com/gracey.lay.9" TargetMode="External"/><Relationship Id="rId3029" Type="http://schemas.openxmlformats.org/officeDocument/2006/relationships/hyperlink" Target="https://www.facebook.com/wilma.remobautista.9" TargetMode="External"/><Relationship Id="rId3028" Type="http://schemas.openxmlformats.org/officeDocument/2006/relationships/hyperlink" Target="https://www.facebook.com/watch/live/?ref=watch_permalink&amp;v=360307549312104" TargetMode="External"/><Relationship Id="rId4359" Type="http://schemas.openxmlformats.org/officeDocument/2006/relationships/hyperlink" Target="https://www.facebook.com/rapplerdotcom/photos/a.317154781638645/5594954703858600/" TargetMode="External"/><Relationship Id="rId5680" Type="http://schemas.openxmlformats.org/officeDocument/2006/relationships/hyperlink" Target="https://www.facebook.com/lalang.uv.3" TargetMode="External"/><Relationship Id="rId5681" Type="http://schemas.openxmlformats.org/officeDocument/2006/relationships/hyperlink" Target="https://www.facebook.com/rapplerdotcom/photos/a.317154781638645/5594453700575367/" TargetMode="External"/><Relationship Id="rId4350" Type="http://schemas.openxmlformats.org/officeDocument/2006/relationships/hyperlink" Target="https://www.facebook.com/tolits.briones" TargetMode="External"/><Relationship Id="rId3021" Type="http://schemas.openxmlformats.org/officeDocument/2006/relationships/hyperlink" Target="https://www.facebook.com/deth.mamaclay" TargetMode="External"/><Relationship Id="rId4352" Type="http://schemas.openxmlformats.org/officeDocument/2006/relationships/hyperlink" Target="https://www.facebook.com/euji.666" TargetMode="External"/><Relationship Id="rId5684" Type="http://schemas.openxmlformats.org/officeDocument/2006/relationships/hyperlink" Target="https://www.facebook.com/noel.manuel.52" TargetMode="External"/><Relationship Id="rId3020" Type="http://schemas.openxmlformats.org/officeDocument/2006/relationships/hyperlink" Target="https://www.facebook.com/watch/live/?ref=watch_permalink&amp;v=360307549312104" TargetMode="External"/><Relationship Id="rId4351" Type="http://schemas.openxmlformats.org/officeDocument/2006/relationships/hyperlink" Target="https://www.facebook.com/rapplerdotcom/photos/a.317154781638645/5594954703858600/" TargetMode="External"/><Relationship Id="rId5685" Type="http://schemas.openxmlformats.org/officeDocument/2006/relationships/hyperlink" Target="https://www.facebook.com/rapplerdotcom/photos/a.317154781638645/5594453700575367/" TargetMode="External"/><Relationship Id="rId3023" Type="http://schemas.openxmlformats.org/officeDocument/2006/relationships/hyperlink" Target="https://www.facebook.com/jazzminelouisse.agudo.3" TargetMode="External"/><Relationship Id="rId4354" Type="http://schemas.openxmlformats.org/officeDocument/2006/relationships/hyperlink" Target="https://www.facebook.com/athena.margarette.71" TargetMode="External"/><Relationship Id="rId5682" Type="http://schemas.openxmlformats.org/officeDocument/2006/relationships/hyperlink" Target="https://www.facebook.com/dave.padilla.3348" TargetMode="External"/><Relationship Id="rId3022" Type="http://schemas.openxmlformats.org/officeDocument/2006/relationships/hyperlink" Target="https://www.facebook.com/watch/live/?ref=watch_permalink&amp;v=360307549312104" TargetMode="External"/><Relationship Id="rId4353" Type="http://schemas.openxmlformats.org/officeDocument/2006/relationships/hyperlink" Target="https://www.facebook.com/rapplerdotcom/photos/a.317154781638645/5594954703858600/" TargetMode="External"/><Relationship Id="rId5683" Type="http://schemas.openxmlformats.org/officeDocument/2006/relationships/hyperlink" Target="https://www.facebook.com/rapplerdotcom/photos/a.317154781638645/5594453700575367/" TargetMode="External"/><Relationship Id="rId3025" Type="http://schemas.openxmlformats.org/officeDocument/2006/relationships/hyperlink" Target="https://www.facebook.com/profile.php?id=100071111743897" TargetMode="External"/><Relationship Id="rId4356" Type="http://schemas.openxmlformats.org/officeDocument/2006/relationships/hyperlink" Target="https://www.facebook.com/josie.salas.731" TargetMode="External"/><Relationship Id="rId5688" Type="http://schemas.openxmlformats.org/officeDocument/2006/relationships/hyperlink" Target="https://www.facebook.com/malou.b.delapaz" TargetMode="External"/><Relationship Id="rId3024" Type="http://schemas.openxmlformats.org/officeDocument/2006/relationships/hyperlink" Target="https://www.facebook.com/watch/live/?ref=watch_permalink&amp;v=360307549312104" TargetMode="External"/><Relationship Id="rId4355" Type="http://schemas.openxmlformats.org/officeDocument/2006/relationships/hyperlink" Target="https://www.facebook.com/rapplerdotcom/photos/a.317154781638645/5594954703858600/" TargetMode="External"/><Relationship Id="rId5689" Type="http://schemas.openxmlformats.org/officeDocument/2006/relationships/hyperlink" Target="https://www.facebook.com/rapplerdotcom/photos/a.317154781638645/5594453700575367/" TargetMode="External"/><Relationship Id="rId3027" Type="http://schemas.openxmlformats.org/officeDocument/2006/relationships/hyperlink" Target="https://www.facebook.com/gin.elle.100" TargetMode="External"/><Relationship Id="rId4358" Type="http://schemas.openxmlformats.org/officeDocument/2006/relationships/hyperlink" Target="https://www.facebook.com/janice.arroyo.98837" TargetMode="External"/><Relationship Id="rId5686" Type="http://schemas.openxmlformats.org/officeDocument/2006/relationships/hyperlink" Target="https://www.facebook.com/jimmy.pascua.5" TargetMode="External"/><Relationship Id="rId3026" Type="http://schemas.openxmlformats.org/officeDocument/2006/relationships/hyperlink" Target="https://www.facebook.com/watch/live/?ref=watch_permalink&amp;v=360307549312104" TargetMode="External"/><Relationship Id="rId4357" Type="http://schemas.openxmlformats.org/officeDocument/2006/relationships/hyperlink" Target="https://www.facebook.com/rapplerdotcom/photos/a.317154781638645/5594954703858600/" TargetMode="External"/><Relationship Id="rId5687" Type="http://schemas.openxmlformats.org/officeDocument/2006/relationships/hyperlink" Target="https://www.facebook.com/rapplerdotcom/photos/a.317154781638645/5594453700575367/" TargetMode="External"/><Relationship Id="rId3050" Type="http://schemas.openxmlformats.org/officeDocument/2006/relationships/hyperlink" Target="https://www.facebook.com/watch/live/?ref=watch_permalink&amp;v=360307549312104" TargetMode="External"/><Relationship Id="rId4381" Type="http://schemas.openxmlformats.org/officeDocument/2006/relationships/hyperlink" Target="https://www.facebook.com/rapplerdotcom/photos/a.317154781638645/5594954703858600/" TargetMode="External"/><Relationship Id="rId4380" Type="http://schemas.openxmlformats.org/officeDocument/2006/relationships/hyperlink" Target="https://www.facebook.com/johnny.collantes.37" TargetMode="External"/><Relationship Id="rId3052" Type="http://schemas.openxmlformats.org/officeDocument/2006/relationships/hyperlink" Target="https://www.facebook.com/watch/live/?ref=watch_permalink&amp;v=360307549312104" TargetMode="External"/><Relationship Id="rId4383" Type="http://schemas.openxmlformats.org/officeDocument/2006/relationships/hyperlink" Target="https://www.facebook.com/rapplerdotcom/photos/a.317154781638645/5594954703858600/" TargetMode="External"/><Relationship Id="rId3051" Type="http://schemas.openxmlformats.org/officeDocument/2006/relationships/hyperlink" Target="https://www.facebook.com/arnold.alam.12" TargetMode="External"/><Relationship Id="rId4382" Type="http://schemas.openxmlformats.org/officeDocument/2006/relationships/hyperlink" Target="https://www.facebook.com/erick.balbin" TargetMode="External"/><Relationship Id="rId3054" Type="http://schemas.openxmlformats.org/officeDocument/2006/relationships/hyperlink" Target="https://www.facebook.com/watch/live/?ref=watch_permalink&amp;v=360307549312104" TargetMode="External"/><Relationship Id="rId4385" Type="http://schemas.openxmlformats.org/officeDocument/2006/relationships/hyperlink" Target="https://www.facebook.com/rapplerdotcom/photos/a.317154781638645/5594954703858600/" TargetMode="External"/><Relationship Id="rId3053" Type="http://schemas.openxmlformats.org/officeDocument/2006/relationships/hyperlink" Target="https://www.facebook.com/jingjing.abellana" TargetMode="External"/><Relationship Id="rId4384" Type="http://schemas.openxmlformats.org/officeDocument/2006/relationships/hyperlink" Target="https://www.facebook.com/joeven.alvarez" TargetMode="External"/><Relationship Id="rId3056" Type="http://schemas.openxmlformats.org/officeDocument/2006/relationships/hyperlink" Target="https://www.facebook.com/watch/live/?ref=watch_permalink&amp;v=360307549312104" TargetMode="External"/><Relationship Id="rId4387" Type="http://schemas.openxmlformats.org/officeDocument/2006/relationships/hyperlink" Target="https://www.facebook.com/rapplerdotcom/photos/a.317154781638645/5594954703858600/" TargetMode="External"/><Relationship Id="rId3055" Type="http://schemas.openxmlformats.org/officeDocument/2006/relationships/hyperlink" Target="https://www.facebook.com/maryjean.larion" TargetMode="External"/><Relationship Id="rId4386" Type="http://schemas.openxmlformats.org/officeDocument/2006/relationships/hyperlink" Target="https://www.facebook.com/rogen.divinagracia.1" TargetMode="External"/><Relationship Id="rId3058" Type="http://schemas.openxmlformats.org/officeDocument/2006/relationships/hyperlink" Target="https://www.facebook.com/watch/live/?ref=watch_permalink&amp;v=360307549312104" TargetMode="External"/><Relationship Id="rId4389" Type="http://schemas.openxmlformats.org/officeDocument/2006/relationships/hyperlink" Target="https://www.facebook.com/rapplerdotcom/photos/a.317154781638645/5594954703858600/" TargetMode="External"/><Relationship Id="rId3057" Type="http://schemas.openxmlformats.org/officeDocument/2006/relationships/hyperlink" Target="https://www.facebook.com/siguenza.med96" TargetMode="External"/><Relationship Id="rId4388" Type="http://schemas.openxmlformats.org/officeDocument/2006/relationships/hyperlink" Target="https://www.facebook.com/janice.arroyo.98837" TargetMode="External"/><Relationship Id="rId3059" Type="http://schemas.openxmlformats.org/officeDocument/2006/relationships/hyperlink" Target="https://www.facebook.com/annalyn.patayan" TargetMode="External"/><Relationship Id="rId4370" Type="http://schemas.openxmlformats.org/officeDocument/2006/relationships/hyperlink" Target="https://www.facebook.com/onie.abon.98" TargetMode="External"/><Relationship Id="rId3041" Type="http://schemas.openxmlformats.org/officeDocument/2006/relationships/hyperlink" Target="https://www.facebook.com/profile.php?id=100070893796485" TargetMode="External"/><Relationship Id="rId4372" Type="http://schemas.openxmlformats.org/officeDocument/2006/relationships/hyperlink" Target="https://www.facebook.com/labicanefloraalday" TargetMode="External"/><Relationship Id="rId3040" Type="http://schemas.openxmlformats.org/officeDocument/2006/relationships/hyperlink" Target="https://www.facebook.com/watch/live/?ref=watch_permalink&amp;v=360307549312104" TargetMode="External"/><Relationship Id="rId4371" Type="http://schemas.openxmlformats.org/officeDocument/2006/relationships/hyperlink" Target="https://www.facebook.com/rapplerdotcom/photos/a.317154781638645/5594954703858600/" TargetMode="External"/><Relationship Id="rId3043" Type="http://schemas.openxmlformats.org/officeDocument/2006/relationships/hyperlink" Target="https://www.facebook.com/dollysampane" TargetMode="External"/><Relationship Id="rId4374" Type="http://schemas.openxmlformats.org/officeDocument/2006/relationships/hyperlink" Target="https://www.facebook.com/dianjane.sy" TargetMode="External"/><Relationship Id="rId3042" Type="http://schemas.openxmlformats.org/officeDocument/2006/relationships/hyperlink" Target="https://www.facebook.com/watch/live/?ref=watch_permalink&amp;v=360307549312104" TargetMode="External"/><Relationship Id="rId4373" Type="http://schemas.openxmlformats.org/officeDocument/2006/relationships/hyperlink" Target="https://www.facebook.com/rapplerdotcom/photos/a.317154781638645/5594954703858600/" TargetMode="External"/><Relationship Id="rId3045" Type="http://schemas.openxmlformats.org/officeDocument/2006/relationships/hyperlink" Target="https://www.facebook.com/ayen.francisco.927" TargetMode="External"/><Relationship Id="rId4376" Type="http://schemas.openxmlformats.org/officeDocument/2006/relationships/hyperlink" Target="https://www.facebook.com/noel.ramirez.35110" TargetMode="External"/><Relationship Id="rId3044" Type="http://schemas.openxmlformats.org/officeDocument/2006/relationships/hyperlink" Target="https://www.facebook.com/watch/live/?ref=watch_permalink&amp;v=360307549312104" TargetMode="External"/><Relationship Id="rId4375" Type="http://schemas.openxmlformats.org/officeDocument/2006/relationships/hyperlink" Target="https://www.facebook.com/rapplerdotcom/photos/a.317154781638645/5594954703858600/" TargetMode="External"/><Relationship Id="rId3047" Type="http://schemas.openxmlformats.org/officeDocument/2006/relationships/hyperlink" Target="https://www.facebook.com/mariane.mangubat" TargetMode="External"/><Relationship Id="rId4378" Type="http://schemas.openxmlformats.org/officeDocument/2006/relationships/hyperlink" Target="https://www.facebook.com/profile.php?id=100009754082201" TargetMode="External"/><Relationship Id="rId3046" Type="http://schemas.openxmlformats.org/officeDocument/2006/relationships/hyperlink" Target="https://www.facebook.com/watch/live/?ref=watch_permalink&amp;v=360307549312104" TargetMode="External"/><Relationship Id="rId4377" Type="http://schemas.openxmlformats.org/officeDocument/2006/relationships/hyperlink" Target="https://www.facebook.com/rapplerdotcom/photos/a.317154781638645/5594954703858600/" TargetMode="External"/><Relationship Id="rId3049" Type="http://schemas.openxmlformats.org/officeDocument/2006/relationships/hyperlink" Target="https://www.facebook.com/elanie.berou.3" TargetMode="External"/><Relationship Id="rId3048" Type="http://schemas.openxmlformats.org/officeDocument/2006/relationships/hyperlink" Target="https://www.facebook.com/watch/live/?ref=watch_permalink&amp;v=360307549312104" TargetMode="External"/><Relationship Id="rId4379" Type="http://schemas.openxmlformats.org/officeDocument/2006/relationships/hyperlink" Target="https://www.facebook.com/rapplerdotcom/photos/a.317154781638645/5594954703858600/" TargetMode="External"/><Relationship Id="rId5714" Type="http://schemas.openxmlformats.org/officeDocument/2006/relationships/hyperlink" Target="https://www.facebook.com/machristina.zaragoza" TargetMode="External"/><Relationship Id="rId5715" Type="http://schemas.openxmlformats.org/officeDocument/2006/relationships/hyperlink" Target="https://www.facebook.com/rapplerdotcom/photos/a.317154781638645/5594453700575367/" TargetMode="External"/><Relationship Id="rId5712" Type="http://schemas.openxmlformats.org/officeDocument/2006/relationships/hyperlink" Target="https://www.facebook.com/juliusryan.tuquero" TargetMode="External"/><Relationship Id="rId5713" Type="http://schemas.openxmlformats.org/officeDocument/2006/relationships/hyperlink" Target="https://www.facebook.com/rapplerdotcom/photos/a.317154781638645/5594453700575367/" TargetMode="External"/><Relationship Id="rId5718" Type="http://schemas.openxmlformats.org/officeDocument/2006/relationships/hyperlink" Target="https://www.facebook.com/gina.rico.55" TargetMode="External"/><Relationship Id="rId5719" Type="http://schemas.openxmlformats.org/officeDocument/2006/relationships/hyperlink" Target="https://www.facebook.com/rapplerdotcom/photos/a.317154781638645/5594453700575367/" TargetMode="External"/><Relationship Id="rId5716" Type="http://schemas.openxmlformats.org/officeDocument/2006/relationships/hyperlink" Target="https://www.facebook.com/janet.santos.7121" TargetMode="External"/><Relationship Id="rId5717" Type="http://schemas.openxmlformats.org/officeDocument/2006/relationships/hyperlink" Target="https://www.facebook.com/rapplerdotcom/photos/a.317154781638645/5594453700575367/" TargetMode="External"/><Relationship Id="rId5710" Type="http://schemas.openxmlformats.org/officeDocument/2006/relationships/hyperlink" Target="https://www.facebook.com/jojo.lagaya.9" TargetMode="External"/><Relationship Id="rId5711" Type="http://schemas.openxmlformats.org/officeDocument/2006/relationships/hyperlink" Target="https://www.facebook.com/rapplerdotcom/photos/a.317154781638645/5594453700575367/" TargetMode="External"/><Relationship Id="rId5703" Type="http://schemas.openxmlformats.org/officeDocument/2006/relationships/hyperlink" Target="https://www.facebook.com/rapplerdotcom/photos/a.317154781638645/5594453700575367/" TargetMode="External"/><Relationship Id="rId5704" Type="http://schemas.openxmlformats.org/officeDocument/2006/relationships/hyperlink" Target="https://www.facebook.com/profile.php?id=100075535575222" TargetMode="External"/><Relationship Id="rId5701" Type="http://schemas.openxmlformats.org/officeDocument/2006/relationships/hyperlink" Target="https://www.facebook.com/rapplerdotcom/photos/a.317154781638645/5594453700575367/" TargetMode="External"/><Relationship Id="rId5702" Type="http://schemas.openxmlformats.org/officeDocument/2006/relationships/hyperlink" Target="https://www.facebook.com/profile.php?id=100009365788837" TargetMode="External"/><Relationship Id="rId5707" Type="http://schemas.openxmlformats.org/officeDocument/2006/relationships/hyperlink" Target="https://www.facebook.com/rapplerdotcom/photos/a.317154781638645/5594453700575367/" TargetMode="External"/><Relationship Id="rId5708" Type="http://schemas.openxmlformats.org/officeDocument/2006/relationships/hyperlink" Target="https://www.facebook.com/may.atr.5623" TargetMode="External"/><Relationship Id="rId5705" Type="http://schemas.openxmlformats.org/officeDocument/2006/relationships/hyperlink" Target="https://www.facebook.com/rapplerdotcom/photos/a.317154781638645/5594453700575367/" TargetMode="External"/><Relationship Id="rId5706" Type="http://schemas.openxmlformats.org/officeDocument/2006/relationships/hyperlink" Target="https://www.facebook.com/gloria.bumanglag.56" TargetMode="External"/><Relationship Id="rId5709" Type="http://schemas.openxmlformats.org/officeDocument/2006/relationships/hyperlink" Target="https://www.facebook.com/rapplerdotcom/photos/a.317154781638645/5594453700575367/" TargetMode="External"/><Relationship Id="rId5700" Type="http://schemas.openxmlformats.org/officeDocument/2006/relationships/hyperlink" Target="https://www.facebook.com/ramil.delarosa.5" TargetMode="External"/><Relationship Id="rId3117" Type="http://schemas.openxmlformats.org/officeDocument/2006/relationships/hyperlink" Target="https://www.facebook.com/madonna.bagalayfulgar.3" TargetMode="External"/><Relationship Id="rId4448" Type="http://schemas.openxmlformats.org/officeDocument/2006/relationships/hyperlink" Target="https://www.facebook.com/hayl06" TargetMode="External"/><Relationship Id="rId3116" Type="http://schemas.openxmlformats.org/officeDocument/2006/relationships/hyperlink" Target="https://www.facebook.com/watch/live/?ref=watch_permalink&amp;v=360307549312104" TargetMode="External"/><Relationship Id="rId4447" Type="http://schemas.openxmlformats.org/officeDocument/2006/relationships/hyperlink" Target="https://www.facebook.com/rapplerdotcom/photos/a.317154781638645/5594954703858600/" TargetMode="External"/><Relationship Id="rId3119" Type="http://schemas.openxmlformats.org/officeDocument/2006/relationships/hyperlink" Target="https://www.facebook.com/profile.php?id=100070669880767" TargetMode="External"/><Relationship Id="rId5778" Type="http://schemas.openxmlformats.org/officeDocument/2006/relationships/hyperlink" Target="https://www.facebook.com/profile.php?id=100040002892951" TargetMode="External"/><Relationship Id="rId3118" Type="http://schemas.openxmlformats.org/officeDocument/2006/relationships/hyperlink" Target="https://www.facebook.com/watch/live/?ref=watch_permalink&amp;v=360307549312104" TargetMode="External"/><Relationship Id="rId4449" Type="http://schemas.openxmlformats.org/officeDocument/2006/relationships/hyperlink" Target="https://www.facebook.com/rapplerdotcom/photos/a.317154781638645/5594954703858600/" TargetMode="External"/><Relationship Id="rId5779" Type="http://schemas.openxmlformats.org/officeDocument/2006/relationships/hyperlink" Target="https://www.facebook.com/rapplerdotcom/photos/a.317154781638645/5594453700575367/" TargetMode="External"/><Relationship Id="rId4440" Type="http://schemas.openxmlformats.org/officeDocument/2006/relationships/hyperlink" Target="https://www.facebook.com/jayloudave.basog" TargetMode="External"/><Relationship Id="rId5772" Type="http://schemas.openxmlformats.org/officeDocument/2006/relationships/hyperlink" Target="https://www.facebook.com/profile.php?id=100076414760032" TargetMode="External"/><Relationship Id="rId5773" Type="http://schemas.openxmlformats.org/officeDocument/2006/relationships/hyperlink" Target="https://www.facebook.com/rapplerdotcom/photos/a.317154781638645/5594453700575367/" TargetMode="External"/><Relationship Id="rId3111" Type="http://schemas.openxmlformats.org/officeDocument/2006/relationships/hyperlink" Target="https://www.facebook.com/profile.php?id=100070893796485" TargetMode="External"/><Relationship Id="rId4442" Type="http://schemas.openxmlformats.org/officeDocument/2006/relationships/hyperlink" Target="https://www.facebook.com/amaya.sabado" TargetMode="External"/><Relationship Id="rId5770" Type="http://schemas.openxmlformats.org/officeDocument/2006/relationships/hyperlink" Target="https://www.facebook.com/soledad.mariano.336" TargetMode="External"/><Relationship Id="rId3110" Type="http://schemas.openxmlformats.org/officeDocument/2006/relationships/hyperlink" Target="https://www.facebook.com/watch/live/?ref=watch_permalink&amp;v=360307549312104" TargetMode="External"/><Relationship Id="rId4441" Type="http://schemas.openxmlformats.org/officeDocument/2006/relationships/hyperlink" Target="https://www.facebook.com/rapplerdotcom/photos/a.317154781638645/5594954703858600/" TargetMode="External"/><Relationship Id="rId5771" Type="http://schemas.openxmlformats.org/officeDocument/2006/relationships/hyperlink" Target="https://www.facebook.com/rapplerdotcom/photos/a.317154781638645/5594453700575367/" TargetMode="External"/><Relationship Id="rId3113" Type="http://schemas.openxmlformats.org/officeDocument/2006/relationships/hyperlink" Target="https://www.facebook.com/materesa.villa.9" TargetMode="External"/><Relationship Id="rId4444" Type="http://schemas.openxmlformats.org/officeDocument/2006/relationships/hyperlink" Target="https://www.facebook.com/rosemarie.saturno" TargetMode="External"/><Relationship Id="rId5776" Type="http://schemas.openxmlformats.org/officeDocument/2006/relationships/hyperlink" Target="https://www.facebook.com/bernardo.hermogenes" TargetMode="External"/><Relationship Id="rId3112" Type="http://schemas.openxmlformats.org/officeDocument/2006/relationships/hyperlink" Target="https://www.facebook.com/watch/live/?ref=watch_permalink&amp;v=360307549312104" TargetMode="External"/><Relationship Id="rId4443" Type="http://schemas.openxmlformats.org/officeDocument/2006/relationships/hyperlink" Target="https://www.facebook.com/rapplerdotcom/photos/a.317154781638645/5594954703858600/" TargetMode="External"/><Relationship Id="rId5777" Type="http://schemas.openxmlformats.org/officeDocument/2006/relationships/hyperlink" Target="https://www.facebook.com/rapplerdotcom/photos/a.317154781638645/5594453700575367/" TargetMode="External"/><Relationship Id="rId3115" Type="http://schemas.openxmlformats.org/officeDocument/2006/relationships/hyperlink" Target="https://www.facebook.com/maryjean.larion" TargetMode="External"/><Relationship Id="rId4446" Type="http://schemas.openxmlformats.org/officeDocument/2006/relationships/hyperlink" Target="https://www.facebook.com/rapkarl04" TargetMode="External"/><Relationship Id="rId5774" Type="http://schemas.openxmlformats.org/officeDocument/2006/relationships/hyperlink" Target="https://www.facebook.com/profile.php?id=100010227300304" TargetMode="External"/><Relationship Id="rId3114" Type="http://schemas.openxmlformats.org/officeDocument/2006/relationships/hyperlink" Target="https://www.facebook.com/watch/live/?ref=watch_permalink&amp;v=360307549312104" TargetMode="External"/><Relationship Id="rId4445" Type="http://schemas.openxmlformats.org/officeDocument/2006/relationships/hyperlink" Target="https://www.facebook.com/rapplerdotcom/photos/a.317154781638645/5594954703858600/" TargetMode="External"/><Relationship Id="rId5775" Type="http://schemas.openxmlformats.org/officeDocument/2006/relationships/hyperlink" Target="https://www.facebook.com/rapplerdotcom/photos/a.317154781638645/5594453700575367/" TargetMode="External"/><Relationship Id="rId3106" Type="http://schemas.openxmlformats.org/officeDocument/2006/relationships/hyperlink" Target="https://www.facebook.com/watch/live/?ref=watch_permalink&amp;v=360307549312104" TargetMode="External"/><Relationship Id="rId4437" Type="http://schemas.openxmlformats.org/officeDocument/2006/relationships/hyperlink" Target="https://www.facebook.com/rapplerdotcom/photos/a.317154781638645/5594954703858600/" TargetMode="External"/><Relationship Id="rId5769" Type="http://schemas.openxmlformats.org/officeDocument/2006/relationships/hyperlink" Target="https://www.facebook.com/rapplerdotcom/photos/a.317154781638645/5594453700575367/" TargetMode="External"/><Relationship Id="rId3105" Type="http://schemas.openxmlformats.org/officeDocument/2006/relationships/hyperlink" Target="https://www.facebook.com/profile.php?id=100071047785780" TargetMode="External"/><Relationship Id="rId4436" Type="http://schemas.openxmlformats.org/officeDocument/2006/relationships/hyperlink" Target="https://www.facebook.com/madz.gomez.73" TargetMode="External"/><Relationship Id="rId3108" Type="http://schemas.openxmlformats.org/officeDocument/2006/relationships/hyperlink" Target="https://www.facebook.com/watch/live/?ref=watch_permalink&amp;v=360307549312104" TargetMode="External"/><Relationship Id="rId4439" Type="http://schemas.openxmlformats.org/officeDocument/2006/relationships/hyperlink" Target="https://www.facebook.com/rapplerdotcom/photos/a.317154781638645/5594954703858600/" TargetMode="External"/><Relationship Id="rId5767" Type="http://schemas.openxmlformats.org/officeDocument/2006/relationships/hyperlink" Target="https://www.facebook.com/rapplerdotcom/photos/a.317154781638645/5594453700575367/" TargetMode="External"/><Relationship Id="rId3107" Type="http://schemas.openxmlformats.org/officeDocument/2006/relationships/hyperlink" Target="https://www.facebook.com/maryjean.larion" TargetMode="External"/><Relationship Id="rId4438" Type="http://schemas.openxmlformats.org/officeDocument/2006/relationships/hyperlink" Target="https://www.facebook.com/CornerPrinter.ph" TargetMode="External"/><Relationship Id="rId5768" Type="http://schemas.openxmlformats.org/officeDocument/2006/relationships/hyperlink" Target="https://www.facebook.com/narciso.santos.980967" TargetMode="External"/><Relationship Id="rId3109" Type="http://schemas.openxmlformats.org/officeDocument/2006/relationships/hyperlink" Target="https://www.facebook.com/maryjean.larion" TargetMode="External"/><Relationship Id="rId5761" Type="http://schemas.openxmlformats.org/officeDocument/2006/relationships/hyperlink" Target="https://www.facebook.com/rapplerdotcom/photos/a.317154781638645/5594453700575367/" TargetMode="External"/><Relationship Id="rId5762" Type="http://schemas.openxmlformats.org/officeDocument/2006/relationships/hyperlink" Target="https://www.facebook.com/teresita.gonzales.31337" TargetMode="External"/><Relationship Id="rId3100" Type="http://schemas.openxmlformats.org/officeDocument/2006/relationships/hyperlink" Target="https://www.facebook.com/watch/live/?ref=watch_permalink&amp;v=360307549312104" TargetMode="External"/><Relationship Id="rId4431" Type="http://schemas.openxmlformats.org/officeDocument/2006/relationships/hyperlink" Target="https://www.facebook.com/rapplerdotcom/photos/a.317154781638645/5594954703858600/" TargetMode="External"/><Relationship Id="rId4430" Type="http://schemas.openxmlformats.org/officeDocument/2006/relationships/hyperlink" Target="https://www.facebook.com/ester.barcelon" TargetMode="External"/><Relationship Id="rId5760" Type="http://schemas.openxmlformats.org/officeDocument/2006/relationships/hyperlink" Target="https://www.facebook.com/saturnino.m.zamora" TargetMode="External"/><Relationship Id="rId3102" Type="http://schemas.openxmlformats.org/officeDocument/2006/relationships/hyperlink" Target="https://www.facebook.com/watch/live/?ref=watch_permalink&amp;v=360307549312104" TargetMode="External"/><Relationship Id="rId4433" Type="http://schemas.openxmlformats.org/officeDocument/2006/relationships/hyperlink" Target="https://www.facebook.com/rapplerdotcom/photos/a.317154781638645/5594954703858600/" TargetMode="External"/><Relationship Id="rId5765" Type="http://schemas.openxmlformats.org/officeDocument/2006/relationships/hyperlink" Target="https://www.facebook.com/rapplerdotcom/photos/a.317154781638645/5594453700575367/" TargetMode="External"/><Relationship Id="rId3101" Type="http://schemas.openxmlformats.org/officeDocument/2006/relationships/hyperlink" Target="https://www.facebook.com/ophelia.villapando" TargetMode="External"/><Relationship Id="rId4432" Type="http://schemas.openxmlformats.org/officeDocument/2006/relationships/hyperlink" Target="https://www.facebook.com/madz.gomez.73" TargetMode="External"/><Relationship Id="rId5766" Type="http://schemas.openxmlformats.org/officeDocument/2006/relationships/hyperlink" Target="https://www.facebook.com/mariateresa.camaddo" TargetMode="External"/><Relationship Id="rId3104" Type="http://schemas.openxmlformats.org/officeDocument/2006/relationships/hyperlink" Target="https://www.facebook.com/watch/live/?ref=watch_permalink&amp;v=360307549312104" TargetMode="External"/><Relationship Id="rId4435" Type="http://schemas.openxmlformats.org/officeDocument/2006/relationships/hyperlink" Target="https://www.facebook.com/rapplerdotcom/photos/a.317154781638645/5594954703858600/" TargetMode="External"/><Relationship Id="rId5763" Type="http://schemas.openxmlformats.org/officeDocument/2006/relationships/hyperlink" Target="https://www.facebook.com/rapplerdotcom/photos/a.317154781638645/5594453700575367/" TargetMode="External"/><Relationship Id="rId3103" Type="http://schemas.openxmlformats.org/officeDocument/2006/relationships/hyperlink" Target="https://www.facebook.com/madonna.bagalayfulgar.3" TargetMode="External"/><Relationship Id="rId4434" Type="http://schemas.openxmlformats.org/officeDocument/2006/relationships/hyperlink" Target="https://www.facebook.com/emmaibarra.manabat" TargetMode="External"/><Relationship Id="rId5764" Type="http://schemas.openxmlformats.org/officeDocument/2006/relationships/hyperlink" Target="https://www.facebook.com/carmelita.panganiban.374" TargetMode="External"/><Relationship Id="rId3139" Type="http://schemas.openxmlformats.org/officeDocument/2006/relationships/hyperlink" Target="https://www.facebook.com/clifordjay.infante" TargetMode="External"/><Relationship Id="rId3138" Type="http://schemas.openxmlformats.org/officeDocument/2006/relationships/hyperlink" Target="https://www.facebook.com/watch/live/?ref=watch_permalink&amp;v=360307549312104" TargetMode="External"/><Relationship Id="rId4469" Type="http://schemas.openxmlformats.org/officeDocument/2006/relationships/hyperlink" Target="https://www.facebook.com/rapplerdotcom/photos/a.317154781638645/5594954703858600/" TargetMode="External"/><Relationship Id="rId5790" Type="http://schemas.openxmlformats.org/officeDocument/2006/relationships/hyperlink" Target="https://www.facebook.com/profile.php?id=100005240507812" TargetMode="External"/><Relationship Id="rId5791" Type="http://schemas.openxmlformats.org/officeDocument/2006/relationships/hyperlink" Target="https://www.facebook.com/rapplerdotcom/photos/a.317154781638645/5594453700575367/" TargetMode="External"/><Relationship Id="rId4460" Type="http://schemas.openxmlformats.org/officeDocument/2006/relationships/hyperlink" Target="https://www.facebook.com/gina.besinga" TargetMode="External"/><Relationship Id="rId3131" Type="http://schemas.openxmlformats.org/officeDocument/2006/relationships/hyperlink" Target="https://www.facebook.com/madonna.bagalayfulgar.3" TargetMode="External"/><Relationship Id="rId4462" Type="http://schemas.openxmlformats.org/officeDocument/2006/relationships/hyperlink" Target="https://www.facebook.com/amaya.sabado" TargetMode="External"/><Relationship Id="rId5794" Type="http://schemas.openxmlformats.org/officeDocument/2006/relationships/hyperlink" Target="https://www.facebook.com/jude.romero.14" TargetMode="External"/><Relationship Id="rId3130" Type="http://schemas.openxmlformats.org/officeDocument/2006/relationships/hyperlink" Target="https://www.facebook.com/watch/live/?ref=watch_permalink&amp;v=360307549312104" TargetMode="External"/><Relationship Id="rId4461" Type="http://schemas.openxmlformats.org/officeDocument/2006/relationships/hyperlink" Target="https://www.facebook.com/rapplerdotcom/photos/a.317154781638645/5594954703858600/" TargetMode="External"/><Relationship Id="rId5795" Type="http://schemas.openxmlformats.org/officeDocument/2006/relationships/hyperlink" Target="https://www.facebook.com/rapplerdotcom/photos/a.317154781638645/5594453700575367/" TargetMode="External"/><Relationship Id="rId3133" Type="http://schemas.openxmlformats.org/officeDocument/2006/relationships/hyperlink" Target="https://www.facebook.com/madonna.bagalayfulgar.3" TargetMode="External"/><Relationship Id="rId4464" Type="http://schemas.openxmlformats.org/officeDocument/2006/relationships/hyperlink" Target="https://www.facebook.com/gov.landayto" TargetMode="External"/><Relationship Id="rId5792" Type="http://schemas.openxmlformats.org/officeDocument/2006/relationships/hyperlink" Target="https://www.facebook.com/rafaelito.ballesteros.90" TargetMode="External"/><Relationship Id="rId3132" Type="http://schemas.openxmlformats.org/officeDocument/2006/relationships/hyperlink" Target="https://www.facebook.com/watch/live/?ref=watch_permalink&amp;v=360307549312104" TargetMode="External"/><Relationship Id="rId4463" Type="http://schemas.openxmlformats.org/officeDocument/2006/relationships/hyperlink" Target="https://www.facebook.com/rapplerdotcom/photos/a.317154781638645/5594954703858600/" TargetMode="External"/><Relationship Id="rId5793" Type="http://schemas.openxmlformats.org/officeDocument/2006/relationships/hyperlink" Target="https://www.facebook.com/rapplerdotcom/photos/a.317154781638645/5594453700575367/" TargetMode="External"/><Relationship Id="rId3135" Type="http://schemas.openxmlformats.org/officeDocument/2006/relationships/hyperlink" Target="https://www.facebook.com/madonna.bagalayfulgar.3" TargetMode="External"/><Relationship Id="rId4466" Type="http://schemas.openxmlformats.org/officeDocument/2006/relationships/hyperlink" Target="https://www.facebook.com/raks.vppablo" TargetMode="External"/><Relationship Id="rId5798" Type="http://schemas.openxmlformats.org/officeDocument/2006/relationships/hyperlink" Target="https://www.facebook.com/jimmy.pascua.5" TargetMode="External"/><Relationship Id="rId3134" Type="http://schemas.openxmlformats.org/officeDocument/2006/relationships/hyperlink" Target="https://www.facebook.com/watch/live/?ref=watch_permalink&amp;v=360307549312104" TargetMode="External"/><Relationship Id="rId4465" Type="http://schemas.openxmlformats.org/officeDocument/2006/relationships/hyperlink" Target="https://www.facebook.com/rapplerdotcom/photos/a.317154781638645/5594954703858600/" TargetMode="External"/><Relationship Id="rId5799" Type="http://schemas.openxmlformats.org/officeDocument/2006/relationships/hyperlink" Target="https://www.facebook.com/rapplerdotcom/photos/a.317154781638645/5594453700575367/" TargetMode="External"/><Relationship Id="rId3137" Type="http://schemas.openxmlformats.org/officeDocument/2006/relationships/hyperlink" Target="https://www.facebook.com/hannah.2793" TargetMode="External"/><Relationship Id="rId4468" Type="http://schemas.openxmlformats.org/officeDocument/2006/relationships/hyperlink" Target="https://www.facebook.com/profile.php?id=100076601927157" TargetMode="External"/><Relationship Id="rId5796" Type="http://schemas.openxmlformats.org/officeDocument/2006/relationships/hyperlink" Target="https://www.facebook.com/merly.mesuga" TargetMode="External"/><Relationship Id="rId3136" Type="http://schemas.openxmlformats.org/officeDocument/2006/relationships/hyperlink" Target="https://www.facebook.com/watch/live/?ref=watch_permalink&amp;v=360307549312104" TargetMode="External"/><Relationship Id="rId4467" Type="http://schemas.openxmlformats.org/officeDocument/2006/relationships/hyperlink" Target="https://www.facebook.com/rapplerdotcom/photos/a.317154781638645/5594954703858600/" TargetMode="External"/><Relationship Id="rId5797" Type="http://schemas.openxmlformats.org/officeDocument/2006/relationships/hyperlink" Target="https://www.facebook.com/rapplerdotcom/photos/a.317154781638645/5594453700575367/" TargetMode="External"/><Relationship Id="rId3128" Type="http://schemas.openxmlformats.org/officeDocument/2006/relationships/hyperlink" Target="https://www.facebook.com/watch/live/?ref=watch_permalink&amp;v=360307549312104" TargetMode="External"/><Relationship Id="rId4459" Type="http://schemas.openxmlformats.org/officeDocument/2006/relationships/hyperlink" Target="https://www.facebook.com/rapplerdotcom/photos/a.317154781638645/5594954703858600/" TargetMode="External"/><Relationship Id="rId3127" Type="http://schemas.openxmlformats.org/officeDocument/2006/relationships/hyperlink" Target="https://www.facebook.com/madonna.bagalayfulgar.3" TargetMode="External"/><Relationship Id="rId4458" Type="http://schemas.openxmlformats.org/officeDocument/2006/relationships/hyperlink" Target="https://www.facebook.com/Overhauled12" TargetMode="External"/><Relationship Id="rId5789" Type="http://schemas.openxmlformats.org/officeDocument/2006/relationships/hyperlink" Target="https://www.facebook.com/rapplerdotcom/photos/a.317154781638645/5594453700575367/" TargetMode="External"/><Relationship Id="rId3129" Type="http://schemas.openxmlformats.org/officeDocument/2006/relationships/hyperlink" Target="https://www.facebook.com/madonna.bagalayfulgar.3" TargetMode="External"/><Relationship Id="rId5780" Type="http://schemas.openxmlformats.org/officeDocument/2006/relationships/hyperlink" Target="https://www.facebook.com/anecia.comandantepore" TargetMode="External"/><Relationship Id="rId3120" Type="http://schemas.openxmlformats.org/officeDocument/2006/relationships/hyperlink" Target="https://www.facebook.com/watch/live/?ref=watch_permalink&amp;v=360307549312104" TargetMode="External"/><Relationship Id="rId4451" Type="http://schemas.openxmlformats.org/officeDocument/2006/relationships/hyperlink" Target="https://www.facebook.com/rapplerdotcom/photos/a.317154781638645/5594954703858600/" TargetMode="External"/><Relationship Id="rId5783" Type="http://schemas.openxmlformats.org/officeDocument/2006/relationships/hyperlink" Target="https://www.facebook.com/rapplerdotcom/photos/a.317154781638645/5594453700575367/" TargetMode="External"/><Relationship Id="rId4450" Type="http://schemas.openxmlformats.org/officeDocument/2006/relationships/hyperlink" Target="https://www.facebook.com/frank.chavez.161" TargetMode="External"/><Relationship Id="rId5784" Type="http://schemas.openxmlformats.org/officeDocument/2006/relationships/hyperlink" Target="https://www.facebook.com/pjp021055" TargetMode="External"/><Relationship Id="rId3122" Type="http://schemas.openxmlformats.org/officeDocument/2006/relationships/hyperlink" Target="https://www.facebook.com/watch/live/?ref=watch_permalink&amp;v=360307549312104" TargetMode="External"/><Relationship Id="rId4453" Type="http://schemas.openxmlformats.org/officeDocument/2006/relationships/hyperlink" Target="https://www.facebook.com/rapplerdotcom/photos/a.317154781638645/5594954703858600/" TargetMode="External"/><Relationship Id="rId5781" Type="http://schemas.openxmlformats.org/officeDocument/2006/relationships/hyperlink" Target="https://www.facebook.com/rapplerdotcom/photos/a.317154781638645/5594453700575367/" TargetMode="External"/><Relationship Id="rId3121" Type="http://schemas.openxmlformats.org/officeDocument/2006/relationships/hyperlink" Target="https://www.facebook.com/madonna.bagalayfulgar.3" TargetMode="External"/><Relationship Id="rId4452" Type="http://schemas.openxmlformats.org/officeDocument/2006/relationships/hyperlink" Target="https://www.facebook.com/profile.php?id=100004913538639" TargetMode="External"/><Relationship Id="rId5782" Type="http://schemas.openxmlformats.org/officeDocument/2006/relationships/hyperlink" Target="https://www.facebook.com/lesdicen" TargetMode="External"/><Relationship Id="rId3124" Type="http://schemas.openxmlformats.org/officeDocument/2006/relationships/hyperlink" Target="https://www.facebook.com/watch/live/?ref=watch_permalink&amp;v=360307549312104" TargetMode="External"/><Relationship Id="rId4455" Type="http://schemas.openxmlformats.org/officeDocument/2006/relationships/hyperlink" Target="https://www.facebook.com/rapplerdotcom/photos/a.317154781638645/5594954703858600/" TargetMode="External"/><Relationship Id="rId5787" Type="http://schemas.openxmlformats.org/officeDocument/2006/relationships/hyperlink" Target="https://www.facebook.com/rapplerdotcom/photos/a.317154781638645/5594453700575367/" TargetMode="External"/><Relationship Id="rId3123" Type="http://schemas.openxmlformats.org/officeDocument/2006/relationships/hyperlink" Target="https://www.facebook.com/madonna.bagalayfulgar.3" TargetMode="External"/><Relationship Id="rId4454" Type="http://schemas.openxmlformats.org/officeDocument/2006/relationships/hyperlink" Target="https://www.facebook.com/profile.php?id=100070347279389" TargetMode="External"/><Relationship Id="rId5788" Type="http://schemas.openxmlformats.org/officeDocument/2006/relationships/hyperlink" Target="https://www.facebook.com/rudy.ricafrente.10" TargetMode="External"/><Relationship Id="rId3126" Type="http://schemas.openxmlformats.org/officeDocument/2006/relationships/hyperlink" Target="https://www.facebook.com/watch/live/?ref=watch_permalink&amp;v=360307549312104" TargetMode="External"/><Relationship Id="rId4457" Type="http://schemas.openxmlformats.org/officeDocument/2006/relationships/hyperlink" Target="https://www.facebook.com/rapplerdotcom/photos/a.317154781638645/5594954703858600/" TargetMode="External"/><Relationship Id="rId5785" Type="http://schemas.openxmlformats.org/officeDocument/2006/relationships/hyperlink" Target="https://www.facebook.com/rapplerdotcom/photos/a.317154781638645/5594453700575367/" TargetMode="External"/><Relationship Id="rId3125" Type="http://schemas.openxmlformats.org/officeDocument/2006/relationships/hyperlink" Target="https://www.facebook.com/madonna.bagalayfulgar.3" TargetMode="External"/><Relationship Id="rId4456" Type="http://schemas.openxmlformats.org/officeDocument/2006/relationships/hyperlink" Target="https://www.facebook.com/ricoisaac.acido" TargetMode="External"/><Relationship Id="rId5786" Type="http://schemas.openxmlformats.org/officeDocument/2006/relationships/hyperlink" Target="https://www.facebook.com/MiLjenN25" TargetMode="External"/><Relationship Id="rId4404" Type="http://schemas.openxmlformats.org/officeDocument/2006/relationships/hyperlink" Target="https://www.facebook.com/arnold.austria.1" TargetMode="External"/><Relationship Id="rId5736" Type="http://schemas.openxmlformats.org/officeDocument/2006/relationships/hyperlink" Target="https://www.facebook.com/estelita.ambatacaluste" TargetMode="External"/><Relationship Id="rId4403" Type="http://schemas.openxmlformats.org/officeDocument/2006/relationships/hyperlink" Target="https://www.facebook.com/rapplerdotcom/photos/a.317154781638645/5594954703858600/" TargetMode="External"/><Relationship Id="rId5737" Type="http://schemas.openxmlformats.org/officeDocument/2006/relationships/hyperlink" Target="https://www.facebook.com/rapplerdotcom/photos/a.317154781638645/5594453700575367/" TargetMode="External"/><Relationship Id="rId4406" Type="http://schemas.openxmlformats.org/officeDocument/2006/relationships/hyperlink" Target="https://www.facebook.com/priscila.serenoreyes" TargetMode="External"/><Relationship Id="rId5734" Type="http://schemas.openxmlformats.org/officeDocument/2006/relationships/hyperlink" Target="https://www.facebook.com/luz.c.austria" TargetMode="External"/><Relationship Id="rId4405" Type="http://schemas.openxmlformats.org/officeDocument/2006/relationships/hyperlink" Target="https://www.facebook.com/rapplerdotcom/photos/a.317154781638645/5594954703858600/" TargetMode="External"/><Relationship Id="rId5735" Type="http://schemas.openxmlformats.org/officeDocument/2006/relationships/hyperlink" Target="https://www.facebook.com/rapplerdotcom/photos/a.317154781638645/5594453700575367/" TargetMode="External"/><Relationship Id="rId4408" Type="http://schemas.openxmlformats.org/officeDocument/2006/relationships/hyperlink" Target="https://www.facebook.com/myrna.gipulan" TargetMode="External"/><Relationship Id="rId4407" Type="http://schemas.openxmlformats.org/officeDocument/2006/relationships/hyperlink" Target="https://www.facebook.com/rapplerdotcom/photos/a.317154781638645/5594954703858600/" TargetMode="External"/><Relationship Id="rId5738" Type="http://schemas.openxmlformats.org/officeDocument/2006/relationships/hyperlink" Target="https://www.facebook.com/alfredofabro.boking" TargetMode="External"/><Relationship Id="rId4409" Type="http://schemas.openxmlformats.org/officeDocument/2006/relationships/hyperlink" Target="https://www.facebook.com/rapplerdotcom/photos/a.317154781638645/5594954703858600/" TargetMode="External"/><Relationship Id="rId5739" Type="http://schemas.openxmlformats.org/officeDocument/2006/relationships/hyperlink" Target="https://www.facebook.com/rapplerdotcom/photos/a.317154781638645/5594453700575367/" TargetMode="External"/><Relationship Id="rId4400" Type="http://schemas.openxmlformats.org/officeDocument/2006/relationships/hyperlink" Target="https://www.facebook.com/josefina.deri.5" TargetMode="External"/><Relationship Id="rId5732" Type="http://schemas.openxmlformats.org/officeDocument/2006/relationships/hyperlink" Target="https://www.facebook.com/val.canonigo.5" TargetMode="External"/><Relationship Id="rId5733" Type="http://schemas.openxmlformats.org/officeDocument/2006/relationships/hyperlink" Target="https://www.facebook.com/rapplerdotcom/photos/a.317154781638645/5594453700575367/" TargetMode="External"/><Relationship Id="rId4402" Type="http://schemas.openxmlformats.org/officeDocument/2006/relationships/hyperlink" Target="https://www.facebook.com/solito.barana.86" TargetMode="External"/><Relationship Id="rId5730" Type="http://schemas.openxmlformats.org/officeDocument/2006/relationships/hyperlink" Target="https://www.facebook.com/melbie.carpentero.7" TargetMode="External"/><Relationship Id="rId4401" Type="http://schemas.openxmlformats.org/officeDocument/2006/relationships/hyperlink" Target="https://www.facebook.com/rapplerdotcom/photos/a.317154781638645/5594954703858600/" TargetMode="External"/><Relationship Id="rId5731" Type="http://schemas.openxmlformats.org/officeDocument/2006/relationships/hyperlink" Target="https://www.facebook.com/rapplerdotcom/photos/a.317154781638645/5594453700575367/" TargetMode="External"/><Relationship Id="rId5725" Type="http://schemas.openxmlformats.org/officeDocument/2006/relationships/hyperlink" Target="https://www.facebook.com/rapplerdotcom/photos/a.317154781638645/5594453700575367/" TargetMode="External"/><Relationship Id="rId5726" Type="http://schemas.openxmlformats.org/officeDocument/2006/relationships/hyperlink" Target="https://www.facebook.com/rodel.palmones.58" TargetMode="External"/><Relationship Id="rId5723" Type="http://schemas.openxmlformats.org/officeDocument/2006/relationships/hyperlink" Target="https://www.facebook.com/rapplerdotcom/photos/a.317154781638645/5594453700575367/" TargetMode="External"/><Relationship Id="rId5724" Type="http://schemas.openxmlformats.org/officeDocument/2006/relationships/hyperlink" Target="https://www.facebook.com/eduardo.bonndadjr" TargetMode="External"/><Relationship Id="rId5729" Type="http://schemas.openxmlformats.org/officeDocument/2006/relationships/hyperlink" Target="https://www.facebook.com/rapplerdotcom/photos/a.317154781638645/5594453700575367/" TargetMode="External"/><Relationship Id="rId5727" Type="http://schemas.openxmlformats.org/officeDocument/2006/relationships/hyperlink" Target="https://www.facebook.com/rapplerdotcom/photos/a.317154781638645/5594453700575367/" TargetMode="External"/><Relationship Id="rId5728" Type="http://schemas.openxmlformats.org/officeDocument/2006/relationships/hyperlink" Target="https://www.facebook.com/ruel.padua.1" TargetMode="External"/><Relationship Id="rId5721" Type="http://schemas.openxmlformats.org/officeDocument/2006/relationships/hyperlink" Target="https://www.facebook.com/rapplerdotcom/photos/a.317154781638645/5594453700575367/" TargetMode="External"/><Relationship Id="rId5722" Type="http://schemas.openxmlformats.org/officeDocument/2006/relationships/hyperlink" Target="https://www.facebook.com/jing.gambayan" TargetMode="External"/><Relationship Id="rId5720" Type="http://schemas.openxmlformats.org/officeDocument/2006/relationships/hyperlink" Target="https://www.facebook.com/melbie.carpentero.7" TargetMode="External"/><Relationship Id="rId4426" Type="http://schemas.openxmlformats.org/officeDocument/2006/relationships/hyperlink" Target="https://www.facebook.com/lon.makinano.94" TargetMode="External"/><Relationship Id="rId5758" Type="http://schemas.openxmlformats.org/officeDocument/2006/relationships/hyperlink" Target="https://www.facebook.com/antonio.fortes.3150807" TargetMode="External"/><Relationship Id="rId4425" Type="http://schemas.openxmlformats.org/officeDocument/2006/relationships/hyperlink" Target="https://www.facebook.com/rapplerdotcom/photos/a.317154781638645/5594954703858600/" TargetMode="External"/><Relationship Id="rId5759" Type="http://schemas.openxmlformats.org/officeDocument/2006/relationships/hyperlink" Target="https://www.facebook.com/rapplerdotcom/photos/a.317154781638645/5594453700575367/" TargetMode="External"/><Relationship Id="rId4428" Type="http://schemas.openxmlformats.org/officeDocument/2006/relationships/hyperlink" Target="https://www.facebook.com/awin.calderon" TargetMode="External"/><Relationship Id="rId5756" Type="http://schemas.openxmlformats.org/officeDocument/2006/relationships/hyperlink" Target="https://www.facebook.com/enrico.valentin" TargetMode="External"/><Relationship Id="rId4427" Type="http://schemas.openxmlformats.org/officeDocument/2006/relationships/hyperlink" Target="https://www.facebook.com/rapplerdotcom/photos/a.317154781638645/5594954703858600/" TargetMode="External"/><Relationship Id="rId5757" Type="http://schemas.openxmlformats.org/officeDocument/2006/relationships/hyperlink" Target="https://www.facebook.com/rapplerdotcom/photos/a.317154781638645/5594453700575367/" TargetMode="External"/><Relationship Id="rId4429" Type="http://schemas.openxmlformats.org/officeDocument/2006/relationships/hyperlink" Target="https://www.facebook.com/rapplerdotcom/photos/a.317154781638645/5594954703858600/" TargetMode="External"/><Relationship Id="rId5750" Type="http://schemas.openxmlformats.org/officeDocument/2006/relationships/hyperlink" Target="https://www.facebook.com/profile.php?id=100076416052093" TargetMode="External"/><Relationship Id="rId5751" Type="http://schemas.openxmlformats.org/officeDocument/2006/relationships/hyperlink" Target="https://www.facebook.com/rapplerdotcom/photos/a.317154781638645/5594453700575367/" TargetMode="External"/><Relationship Id="rId4420" Type="http://schemas.openxmlformats.org/officeDocument/2006/relationships/hyperlink" Target="https://www.facebook.com/profile.php?id=100007155289018" TargetMode="External"/><Relationship Id="rId4422" Type="http://schemas.openxmlformats.org/officeDocument/2006/relationships/hyperlink" Target="https://www.facebook.com/profile.php?id=100007155289018" TargetMode="External"/><Relationship Id="rId5754" Type="http://schemas.openxmlformats.org/officeDocument/2006/relationships/hyperlink" Target="https://www.facebook.com/blesilda.santiago.7" TargetMode="External"/><Relationship Id="rId4421" Type="http://schemas.openxmlformats.org/officeDocument/2006/relationships/hyperlink" Target="https://www.facebook.com/rapplerdotcom/photos/a.317154781638645/5594954703858600/" TargetMode="External"/><Relationship Id="rId5755" Type="http://schemas.openxmlformats.org/officeDocument/2006/relationships/hyperlink" Target="https://www.facebook.com/rapplerdotcom/photos/a.317154781638645/5594453700575367/" TargetMode="External"/><Relationship Id="rId4424" Type="http://schemas.openxmlformats.org/officeDocument/2006/relationships/hyperlink" Target="https://www.facebook.com/solito.barana.86" TargetMode="External"/><Relationship Id="rId5752" Type="http://schemas.openxmlformats.org/officeDocument/2006/relationships/hyperlink" Target="https://www.facebook.com/eva.jimenez.39794895" TargetMode="External"/><Relationship Id="rId4423" Type="http://schemas.openxmlformats.org/officeDocument/2006/relationships/hyperlink" Target="https://www.facebook.com/rapplerdotcom/photos/a.317154781638645/5594954703858600/" TargetMode="External"/><Relationship Id="rId5753" Type="http://schemas.openxmlformats.org/officeDocument/2006/relationships/hyperlink" Target="https://www.facebook.com/rapplerdotcom/photos/a.317154781638645/5594453700575367/" TargetMode="External"/><Relationship Id="rId4415" Type="http://schemas.openxmlformats.org/officeDocument/2006/relationships/hyperlink" Target="https://www.facebook.com/rapplerdotcom/photos/a.317154781638645/5594954703858600/" TargetMode="External"/><Relationship Id="rId5747" Type="http://schemas.openxmlformats.org/officeDocument/2006/relationships/hyperlink" Target="https://www.facebook.com/rapplerdotcom/photos/a.317154781638645/5594453700575367/" TargetMode="External"/><Relationship Id="rId4414" Type="http://schemas.openxmlformats.org/officeDocument/2006/relationships/hyperlink" Target="https://www.facebook.com/CornerPrinter.ph" TargetMode="External"/><Relationship Id="rId5748" Type="http://schemas.openxmlformats.org/officeDocument/2006/relationships/hyperlink" Target="https://www.facebook.com/melbie.carpentero.7" TargetMode="External"/><Relationship Id="rId4417" Type="http://schemas.openxmlformats.org/officeDocument/2006/relationships/hyperlink" Target="https://www.facebook.com/rapplerdotcom/photos/a.317154781638645/5594954703858600/" TargetMode="External"/><Relationship Id="rId5745" Type="http://schemas.openxmlformats.org/officeDocument/2006/relationships/hyperlink" Target="https://www.facebook.com/rapplerdotcom/photos/a.317154781638645/5594453700575367/" TargetMode="External"/><Relationship Id="rId4416" Type="http://schemas.openxmlformats.org/officeDocument/2006/relationships/hyperlink" Target="https://www.facebook.com/shelongrace.fernando.96" TargetMode="External"/><Relationship Id="rId5746" Type="http://schemas.openxmlformats.org/officeDocument/2006/relationships/hyperlink" Target="https://www.facebook.com/darylalmighty" TargetMode="External"/><Relationship Id="rId4419" Type="http://schemas.openxmlformats.org/officeDocument/2006/relationships/hyperlink" Target="https://www.facebook.com/rapplerdotcom/photos/a.317154781638645/5594954703858600/" TargetMode="External"/><Relationship Id="rId4418" Type="http://schemas.openxmlformats.org/officeDocument/2006/relationships/hyperlink" Target="https://www.facebook.com/myrna.gipulan" TargetMode="External"/><Relationship Id="rId5749" Type="http://schemas.openxmlformats.org/officeDocument/2006/relationships/hyperlink" Target="https://www.facebook.com/rapplerdotcom/photos/a.317154781638645/5594453700575367/" TargetMode="External"/><Relationship Id="rId5740" Type="http://schemas.openxmlformats.org/officeDocument/2006/relationships/hyperlink" Target="https://www.facebook.com/luz.c.austria" TargetMode="External"/><Relationship Id="rId4411" Type="http://schemas.openxmlformats.org/officeDocument/2006/relationships/hyperlink" Target="https://www.facebook.com/rapplerdotcom/photos/a.317154781638645/5594954703858600/" TargetMode="External"/><Relationship Id="rId5743" Type="http://schemas.openxmlformats.org/officeDocument/2006/relationships/hyperlink" Target="https://www.facebook.com/rapplerdotcom/photos/a.317154781638645/5594453700575367/" TargetMode="External"/><Relationship Id="rId4410" Type="http://schemas.openxmlformats.org/officeDocument/2006/relationships/hyperlink" Target="https://www.facebook.com/profile.php?id=100007155289018" TargetMode="External"/><Relationship Id="rId5744" Type="http://schemas.openxmlformats.org/officeDocument/2006/relationships/hyperlink" Target="https://www.facebook.com/jude.romero.14" TargetMode="External"/><Relationship Id="rId4413" Type="http://schemas.openxmlformats.org/officeDocument/2006/relationships/hyperlink" Target="https://www.facebook.com/rapplerdotcom/photos/a.317154781638645/5594954703858600/" TargetMode="External"/><Relationship Id="rId5741" Type="http://schemas.openxmlformats.org/officeDocument/2006/relationships/hyperlink" Target="https://www.facebook.com/rapplerdotcom/photos/a.317154781638645/5594453700575367/" TargetMode="External"/><Relationship Id="rId4412" Type="http://schemas.openxmlformats.org/officeDocument/2006/relationships/hyperlink" Target="https://www.facebook.com/josie.roncal.3" TargetMode="External"/><Relationship Id="rId5742" Type="http://schemas.openxmlformats.org/officeDocument/2006/relationships/hyperlink" Target="https://www.facebook.com/esmeraldo.go" TargetMode="External"/><Relationship Id="rId3191" Type="http://schemas.openxmlformats.org/officeDocument/2006/relationships/hyperlink" Target="https://www.facebook.com/vito.bose.5" TargetMode="External"/><Relationship Id="rId3190" Type="http://schemas.openxmlformats.org/officeDocument/2006/relationships/hyperlink" Target="https://www.facebook.com/watch/live/?ref=watch_permalink&amp;v=332681445500650" TargetMode="External"/><Relationship Id="rId3193" Type="http://schemas.openxmlformats.org/officeDocument/2006/relationships/hyperlink" Target="https://www.facebook.com/del.ching" TargetMode="External"/><Relationship Id="rId3192" Type="http://schemas.openxmlformats.org/officeDocument/2006/relationships/hyperlink" Target="https://www.facebook.com/watch/live/?ref=watch_permalink&amp;v=332681445500650" TargetMode="External"/><Relationship Id="rId3195" Type="http://schemas.openxmlformats.org/officeDocument/2006/relationships/hyperlink" Target="https://www.facebook.com/profile.php?id=100007491668111" TargetMode="External"/><Relationship Id="rId3194" Type="http://schemas.openxmlformats.org/officeDocument/2006/relationships/hyperlink" Target="https://www.facebook.com/watch/live/?ref=watch_permalink&amp;v=332681445500650" TargetMode="External"/><Relationship Id="rId3197" Type="http://schemas.openxmlformats.org/officeDocument/2006/relationships/hyperlink" Target="https://www.facebook.com/melpcatre" TargetMode="External"/><Relationship Id="rId3196" Type="http://schemas.openxmlformats.org/officeDocument/2006/relationships/hyperlink" Target="https://www.facebook.com/watch/live/?ref=watch_permalink&amp;v=332681445500650" TargetMode="External"/><Relationship Id="rId3199" Type="http://schemas.openxmlformats.org/officeDocument/2006/relationships/hyperlink" Target="https://www.facebook.com/miki.iida1" TargetMode="External"/><Relationship Id="rId3198" Type="http://schemas.openxmlformats.org/officeDocument/2006/relationships/hyperlink" Target="https://www.facebook.com/watch/live/?ref=watch_permalink&amp;v=332681445500650" TargetMode="External"/><Relationship Id="rId3180" Type="http://schemas.openxmlformats.org/officeDocument/2006/relationships/hyperlink" Target="https://www.facebook.com/watch/live/?ref=watch_permalink&amp;v=332681445500650" TargetMode="External"/><Relationship Id="rId3182" Type="http://schemas.openxmlformats.org/officeDocument/2006/relationships/hyperlink" Target="https://www.facebook.com/watch/live/?ref=watch_permalink&amp;v=332681445500650" TargetMode="External"/><Relationship Id="rId3181" Type="http://schemas.openxmlformats.org/officeDocument/2006/relationships/hyperlink" Target="https://www.facebook.com/steph.dannugcadelina" TargetMode="External"/><Relationship Id="rId3184" Type="http://schemas.openxmlformats.org/officeDocument/2006/relationships/hyperlink" Target="https://www.facebook.com/watch/live/?ref=watch_permalink&amp;v=332681445500650" TargetMode="External"/><Relationship Id="rId3183" Type="http://schemas.openxmlformats.org/officeDocument/2006/relationships/hyperlink" Target="https://www.facebook.com/mar.freedom.35" TargetMode="External"/><Relationship Id="rId3186" Type="http://schemas.openxmlformats.org/officeDocument/2006/relationships/hyperlink" Target="https://www.facebook.com/watch/live/?ref=watch_permalink&amp;v=332681445500650" TargetMode="External"/><Relationship Id="rId3185" Type="http://schemas.openxmlformats.org/officeDocument/2006/relationships/hyperlink" Target="https://www.facebook.com/profile.php?id=100011416980940" TargetMode="External"/><Relationship Id="rId3188" Type="http://schemas.openxmlformats.org/officeDocument/2006/relationships/hyperlink" Target="https://www.facebook.com/watch/live/?ref=watch_permalink&amp;v=332681445500650" TargetMode="External"/><Relationship Id="rId3187" Type="http://schemas.openxmlformats.org/officeDocument/2006/relationships/hyperlink" Target="https://www.facebook.com/profile.php?id=100018941223924" TargetMode="External"/><Relationship Id="rId3189" Type="http://schemas.openxmlformats.org/officeDocument/2006/relationships/hyperlink" Target="https://www.facebook.com/nikka.santos" TargetMode="External"/><Relationship Id="rId4480" Type="http://schemas.openxmlformats.org/officeDocument/2006/relationships/hyperlink" Target="https://www.facebook.com/genevieve.uy.9" TargetMode="External"/><Relationship Id="rId3151" Type="http://schemas.openxmlformats.org/officeDocument/2006/relationships/hyperlink" Target="https://www.facebook.com/lito.ramos.14" TargetMode="External"/><Relationship Id="rId4482" Type="http://schemas.openxmlformats.org/officeDocument/2006/relationships/hyperlink" Target="https://www.facebook.com/profile.php?id=100069483934379" TargetMode="External"/><Relationship Id="rId3150" Type="http://schemas.openxmlformats.org/officeDocument/2006/relationships/hyperlink" Target="https://www.facebook.com/watch/live/?ref=watch_permalink&amp;v=360307549312104" TargetMode="External"/><Relationship Id="rId4481" Type="http://schemas.openxmlformats.org/officeDocument/2006/relationships/hyperlink" Target="https://www.facebook.com/rapplerdotcom/photos/a.317154781638645/5594954703858600/" TargetMode="External"/><Relationship Id="rId3153" Type="http://schemas.openxmlformats.org/officeDocument/2006/relationships/hyperlink" Target="https://www.facebook.com/janicetsotto" TargetMode="External"/><Relationship Id="rId4484" Type="http://schemas.openxmlformats.org/officeDocument/2006/relationships/hyperlink" Target="https://www.facebook.com/ditoy.macatangay" TargetMode="External"/><Relationship Id="rId3152" Type="http://schemas.openxmlformats.org/officeDocument/2006/relationships/hyperlink" Target="https://www.facebook.com/watch/live/?ref=watch_permalink&amp;v=332681445500650" TargetMode="External"/><Relationship Id="rId4483" Type="http://schemas.openxmlformats.org/officeDocument/2006/relationships/hyperlink" Target="https://www.facebook.com/rapplerdotcom/photos/a.317154781638645/5594954703858600/" TargetMode="External"/><Relationship Id="rId3155" Type="http://schemas.openxmlformats.org/officeDocument/2006/relationships/hyperlink" Target="https://www.facebook.com/profile.php?id=100008524260472" TargetMode="External"/><Relationship Id="rId4486" Type="http://schemas.openxmlformats.org/officeDocument/2006/relationships/hyperlink" Target="https://www.facebook.com/may.atr.5623" TargetMode="External"/><Relationship Id="rId3154" Type="http://schemas.openxmlformats.org/officeDocument/2006/relationships/hyperlink" Target="https://www.facebook.com/watch/live/?ref=watch_permalink&amp;v=332681445500650" TargetMode="External"/><Relationship Id="rId4485" Type="http://schemas.openxmlformats.org/officeDocument/2006/relationships/hyperlink" Target="https://www.facebook.com/rapplerdotcom/photos/a.317154781638645/5594954703858600/" TargetMode="External"/><Relationship Id="rId3157" Type="http://schemas.openxmlformats.org/officeDocument/2006/relationships/hyperlink" Target="https://www.facebook.com/anabell.macalisang" TargetMode="External"/><Relationship Id="rId4488" Type="http://schemas.openxmlformats.org/officeDocument/2006/relationships/hyperlink" Target="https://www.facebook.com/alfred.paradero.9" TargetMode="External"/><Relationship Id="rId3156" Type="http://schemas.openxmlformats.org/officeDocument/2006/relationships/hyperlink" Target="https://www.facebook.com/watch/live/?ref=watch_permalink&amp;v=332681445500650" TargetMode="External"/><Relationship Id="rId4487" Type="http://schemas.openxmlformats.org/officeDocument/2006/relationships/hyperlink" Target="https://www.facebook.com/rapplerdotcom/photos/a.317154781638645/5594954703858600/" TargetMode="External"/><Relationship Id="rId3159" Type="http://schemas.openxmlformats.org/officeDocument/2006/relationships/hyperlink" Target="https://www.facebook.com/profile.php?id=100011366202531" TargetMode="External"/><Relationship Id="rId3158" Type="http://schemas.openxmlformats.org/officeDocument/2006/relationships/hyperlink" Target="https://www.facebook.com/watch/live/?ref=watch_permalink&amp;v=332681445500650" TargetMode="External"/><Relationship Id="rId4489" Type="http://schemas.openxmlformats.org/officeDocument/2006/relationships/hyperlink" Target="https://www.facebook.com/rapplerdotcom/photos/a.317154781638645/5594954703858600/" TargetMode="External"/><Relationship Id="rId3149" Type="http://schemas.openxmlformats.org/officeDocument/2006/relationships/hyperlink" Target="https://www.facebook.com/gin.elle.100" TargetMode="External"/><Relationship Id="rId3140" Type="http://schemas.openxmlformats.org/officeDocument/2006/relationships/hyperlink" Target="https://www.facebook.com/watch/live/?ref=watch_permalink&amp;v=360307549312104" TargetMode="External"/><Relationship Id="rId4471" Type="http://schemas.openxmlformats.org/officeDocument/2006/relationships/hyperlink" Target="https://www.facebook.com/rapplerdotcom/photos/a.317154781638645/5594954703858600/" TargetMode="External"/><Relationship Id="rId4470" Type="http://schemas.openxmlformats.org/officeDocument/2006/relationships/hyperlink" Target="https://www.facebook.com/profile.php?id=100003301642045" TargetMode="External"/><Relationship Id="rId3142" Type="http://schemas.openxmlformats.org/officeDocument/2006/relationships/hyperlink" Target="https://www.facebook.com/watch/live/?ref=watch_permalink&amp;v=360307549312104" TargetMode="External"/><Relationship Id="rId4473" Type="http://schemas.openxmlformats.org/officeDocument/2006/relationships/hyperlink" Target="https://www.facebook.com/rapplerdotcom/photos/a.317154781638645/5594954703858600/" TargetMode="External"/><Relationship Id="rId3141" Type="http://schemas.openxmlformats.org/officeDocument/2006/relationships/hyperlink" Target="https://www.facebook.com/ae.aebcd.71" TargetMode="External"/><Relationship Id="rId4472" Type="http://schemas.openxmlformats.org/officeDocument/2006/relationships/hyperlink" Target="https://www.facebook.com/tony.delacruz.948011" TargetMode="External"/><Relationship Id="rId3144" Type="http://schemas.openxmlformats.org/officeDocument/2006/relationships/hyperlink" Target="https://www.facebook.com/watch/live/?ref=watch_permalink&amp;v=360307549312104" TargetMode="External"/><Relationship Id="rId4475" Type="http://schemas.openxmlformats.org/officeDocument/2006/relationships/hyperlink" Target="https://www.facebook.com/rapplerdotcom/photos/a.317154781638645/5594954703858600/" TargetMode="External"/><Relationship Id="rId3143" Type="http://schemas.openxmlformats.org/officeDocument/2006/relationships/hyperlink" Target="https://www.facebook.com/gin.elle.100" TargetMode="External"/><Relationship Id="rId4474" Type="http://schemas.openxmlformats.org/officeDocument/2006/relationships/hyperlink" Target="https://www.facebook.com/marvin.andasan.5" TargetMode="External"/><Relationship Id="rId3146" Type="http://schemas.openxmlformats.org/officeDocument/2006/relationships/hyperlink" Target="https://www.facebook.com/watch/live/?ref=watch_permalink&amp;v=360307549312104" TargetMode="External"/><Relationship Id="rId4477" Type="http://schemas.openxmlformats.org/officeDocument/2006/relationships/hyperlink" Target="https://www.facebook.com/rapplerdotcom/photos/a.317154781638645/5594954703858600/" TargetMode="External"/><Relationship Id="rId3145" Type="http://schemas.openxmlformats.org/officeDocument/2006/relationships/hyperlink" Target="https://www.facebook.com/elanie.berou.3" TargetMode="External"/><Relationship Id="rId4476" Type="http://schemas.openxmlformats.org/officeDocument/2006/relationships/hyperlink" Target="https://www.facebook.com/milajf" TargetMode="External"/><Relationship Id="rId3148" Type="http://schemas.openxmlformats.org/officeDocument/2006/relationships/hyperlink" Target="https://www.facebook.com/watch/live/?ref=watch_permalink&amp;v=360307549312104" TargetMode="External"/><Relationship Id="rId4479" Type="http://schemas.openxmlformats.org/officeDocument/2006/relationships/hyperlink" Target="https://www.facebook.com/rapplerdotcom/photos/a.317154781638645/5594954703858600/" TargetMode="External"/><Relationship Id="rId3147" Type="http://schemas.openxmlformats.org/officeDocument/2006/relationships/hyperlink" Target="https://www.facebook.com/jingjing.abellana" TargetMode="External"/><Relationship Id="rId4478" Type="http://schemas.openxmlformats.org/officeDocument/2006/relationships/hyperlink" Target="https://www.facebook.com/mariateresa.camaddo" TargetMode="External"/><Relationship Id="rId3171" Type="http://schemas.openxmlformats.org/officeDocument/2006/relationships/hyperlink" Target="https://www.facebook.com/profile.php?id=100078433647836" TargetMode="External"/><Relationship Id="rId3170" Type="http://schemas.openxmlformats.org/officeDocument/2006/relationships/hyperlink" Target="https://www.facebook.com/watch/live/?ref=watch_permalink&amp;v=332681445500650" TargetMode="External"/><Relationship Id="rId3173" Type="http://schemas.openxmlformats.org/officeDocument/2006/relationships/hyperlink" Target="https://www.facebook.com/profile.php?id=100077975515176" TargetMode="External"/><Relationship Id="rId3172" Type="http://schemas.openxmlformats.org/officeDocument/2006/relationships/hyperlink" Target="https://www.facebook.com/watch/live/?ref=watch_permalink&amp;v=332681445500650" TargetMode="External"/><Relationship Id="rId3175" Type="http://schemas.openxmlformats.org/officeDocument/2006/relationships/hyperlink" Target="https://www.facebook.com/marela.alinea" TargetMode="External"/><Relationship Id="rId3174" Type="http://schemas.openxmlformats.org/officeDocument/2006/relationships/hyperlink" Target="https://www.facebook.com/watch/live/?ref=watch_permalink&amp;v=332681445500650" TargetMode="External"/><Relationship Id="rId3177" Type="http://schemas.openxmlformats.org/officeDocument/2006/relationships/hyperlink" Target="https://www.facebook.com/mutia.joyce.1" TargetMode="External"/><Relationship Id="rId3176" Type="http://schemas.openxmlformats.org/officeDocument/2006/relationships/hyperlink" Target="https://www.facebook.com/watch/live/?ref=watch_permalink&amp;v=332681445500650" TargetMode="External"/><Relationship Id="rId3179" Type="http://schemas.openxmlformats.org/officeDocument/2006/relationships/hyperlink" Target="https://www.facebook.com/tammy.aldezaafrica" TargetMode="External"/><Relationship Id="rId3178" Type="http://schemas.openxmlformats.org/officeDocument/2006/relationships/hyperlink" Target="https://www.facebook.com/watch/live/?ref=watch_permalink&amp;v=332681445500650" TargetMode="External"/><Relationship Id="rId3160" Type="http://schemas.openxmlformats.org/officeDocument/2006/relationships/hyperlink" Target="https://www.facebook.com/watch/live/?ref=watch_permalink&amp;v=332681445500650" TargetMode="External"/><Relationship Id="rId4491" Type="http://schemas.openxmlformats.org/officeDocument/2006/relationships/hyperlink" Target="https://www.facebook.com/rapplerdotcom/photos/a.317154781638645/5594954703858600/" TargetMode="External"/><Relationship Id="rId4490" Type="http://schemas.openxmlformats.org/officeDocument/2006/relationships/hyperlink" Target="https://www.facebook.com/pau.gaitan.33" TargetMode="External"/><Relationship Id="rId3162" Type="http://schemas.openxmlformats.org/officeDocument/2006/relationships/hyperlink" Target="https://www.facebook.com/watch/live/?ref=watch_permalink&amp;v=332681445500650" TargetMode="External"/><Relationship Id="rId4493" Type="http://schemas.openxmlformats.org/officeDocument/2006/relationships/hyperlink" Target="https://www.facebook.com/rapplerdotcom/photos/a.317154781638645/5594954703858600/" TargetMode="External"/><Relationship Id="rId3161" Type="http://schemas.openxmlformats.org/officeDocument/2006/relationships/hyperlink" Target="https://www.facebook.com/khlaire.pioquinto" TargetMode="External"/><Relationship Id="rId4492" Type="http://schemas.openxmlformats.org/officeDocument/2006/relationships/hyperlink" Target="https://www.facebook.com/alfred.paradero.9" TargetMode="External"/><Relationship Id="rId3164" Type="http://schemas.openxmlformats.org/officeDocument/2006/relationships/hyperlink" Target="https://www.facebook.com/watch/live/?ref=watch_permalink&amp;v=332681445500650" TargetMode="External"/><Relationship Id="rId4495" Type="http://schemas.openxmlformats.org/officeDocument/2006/relationships/hyperlink" Target="https://www.facebook.com/rapplerdotcom/photos/a.317154781638645/5594954703858600/" TargetMode="External"/><Relationship Id="rId3163" Type="http://schemas.openxmlformats.org/officeDocument/2006/relationships/hyperlink" Target="https://www.facebook.com/marjorie.santillan.31" TargetMode="External"/><Relationship Id="rId4494" Type="http://schemas.openxmlformats.org/officeDocument/2006/relationships/hyperlink" Target="https://www.facebook.com/tata.abet.3" TargetMode="External"/><Relationship Id="rId3166" Type="http://schemas.openxmlformats.org/officeDocument/2006/relationships/hyperlink" Target="https://www.facebook.com/watch/live/?ref=watch_permalink&amp;v=332681445500650" TargetMode="External"/><Relationship Id="rId4497" Type="http://schemas.openxmlformats.org/officeDocument/2006/relationships/hyperlink" Target="https://www.facebook.com/rapplerdotcom/photos/a.317154781638645/5594954703858600/" TargetMode="External"/><Relationship Id="rId3165" Type="http://schemas.openxmlformats.org/officeDocument/2006/relationships/hyperlink" Target="https://www.facebook.com/williambilly.kwong" TargetMode="External"/><Relationship Id="rId4496" Type="http://schemas.openxmlformats.org/officeDocument/2006/relationships/hyperlink" Target="https://www.facebook.com/profile.php?id=100013497646924" TargetMode="External"/><Relationship Id="rId3168" Type="http://schemas.openxmlformats.org/officeDocument/2006/relationships/hyperlink" Target="https://www.facebook.com/watch/live/?ref=watch_permalink&amp;v=332681445500650" TargetMode="External"/><Relationship Id="rId4499" Type="http://schemas.openxmlformats.org/officeDocument/2006/relationships/hyperlink" Target="https://www.facebook.com/rapplerdotcom/photos/a.317154781638645/5594954703858600/" TargetMode="External"/><Relationship Id="rId3167" Type="http://schemas.openxmlformats.org/officeDocument/2006/relationships/hyperlink" Target="https://www.facebook.com/madz.flores.18" TargetMode="External"/><Relationship Id="rId4498" Type="http://schemas.openxmlformats.org/officeDocument/2006/relationships/hyperlink" Target="https://www.facebook.com/jetskipogi019" TargetMode="External"/><Relationship Id="rId3169" Type="http://schemas.openxmlformats.org/officeDocument/2006/relationships/hyperlink" Target="https://www.facebook.com/germie.arandia" TargetMode="External"/><Relationship Id="rId5813" Type="http://schemas.openxmlformats.org/officeDocument/2006/relationships/hyperlink" Target="https://www.facebook.com/rapplerdotcom/photos/a.317154781638645/5594453700575367/" TargetMode="External"/><Relationship Id="rId5814" Type="http://schemas.openxmlformats.org/officeDocument/2006/relationships/hyperlink" Target="https://www.facebook.com/teresa.plamor" TargetMode="External"/><Relationship Id="rId5811" Type="http://schemas.openxmlformats.org/officeDocument/2006/relationships/hyperlink" Target="https://www.facebook.com/rapplerdotcom/photos/a.317154781638645/5594453700575367/" TargetMode="External"/><Relationship Id="rId5812" Type="http://schemas.openxmlformats.org/officeDocument/2006/relationships/hyperlink" Target="https://www.facebook.com/jocelyn.a.diaz.58" TargetMode="External"/><Relationship Id="rId5817" Type="http://schemas.openxmlformats.org/officeDocument/2006/relationships/hyperlink" Target="https://www.facebook.com/rapplerdotcom/photos/a.317154781638645/5594453700575367/" TargetMode="External"/><Relationship Id="rId5818" Type="http://schemas.openxmlformats.org/officeDocument/2006/relationships/hyperlink" Target="https://www.facebook.com/juan.tajanlangit.5" TargetMode="External"/><Relationship Id="rId5815" Type="http://schemas.openxmlformats.org/officeDocument/2006/relationships/hyperlink" Target="https://www.facebook.com/rapplerdotcom/photos/a.317154781638645/5594453700575367/" TargetMode="External"/><Relationship Id="rId5816" Type="http://schemas.openxmlformats.org/officeDocument/2006/relationships/hyperlink" Target="https://www.facebook.com/janicebalicoco2485" TargetMode="External"/><Relationship Id="rId5819" Type="http://schemas.openxmlformats.org/officeDocument/2006/relationships/hyperlink" Target="https://www.facebook.com/rapplerdotcom/photos/a.317154781638645/5594453700575367/" TargetMode="External"/><Relationship Id="rId5810" Type="http://schemas.openxmlformats.org/officeDocument/2006/relationships/hyperlink" Target="https://www.facebook.com/jessie.villagracia.37" TargetMode="External"/><Relationship Id="rId5802" Type="http://schemas.openxmlformats.org/officeDocument/2006/relationships/hyperlink" Target="https://www.facebook.com/profile.php?id=1300557137" TargetMode="External"/><Relationship Id="rId5803" Type="http://schemas.openxmlformats.org/officeDocument/2006/relationships/hyperlink" Target="https://www.facebook.com/rapplerdotcom/photos/a.317154781638645/5594453700575367/" TargetMode="External"/><Relationship Id="rId5800" Type="http://schemas.openxmlformats.org/officeDocument/2006/relationships/hyperlink" Target="https://www.facebook.com/ogie.fernandez.731" TargetMode="External"/><Relationship Id="rId5801" Type="http://schemas.openxmlformats.org/officeDocument/2006/relationships/hyperlink" Target="https://www.facebook.com/rapplerdotcom/photos/a.317154781638645/5594453700575367/" TargetMode="External"/><Relationship Id="rId5806" Type="http://schemas.openxmlformats.org/officeDocument/2006/relationships/hyperlink" Target="https://www.facebook.com/johannis.dihayco" TargetMode="External"/><Relationship Id="rId5807" Type="http://schemas.openxmlformats.org/officeDocument/2006/relationships/hyperlink" Target="https://www.facebook.com/rapplerdotcom/photos/a.317154781638645/5594453700575367/" TargetMode="External"/><Relationship Id="rId5804" Type="http://schemas.openxmlformats.org/officeDocument/2006/relationships/hyperlink" Target="https://www.facebook.com/profile.php?id=100076456402720" TargetMode="External"/><Relationship Id="rId5805" Type="http://schemas.openxmlformats.org/officeDocument/2006/relationships/hyperlink" Target="https://www.facebook.com/rapplerdotcom/photos/a.317154781638645/5594453700575367/" TargetMode="External"/><Relationship Id="rId5808" Type="http://schemas.openxmlformats.org/officeDocument/2006/relationships/hyperlink" Target="https://www.facebook.com/emmanuel.bernardino.391" TargetMode="External"/><Relationship Id="rId5809" Type="http://schemas.openxmlformats.org/officeDocument/2006/relationships/hyperlink" Target="https://www.facebook.com/rapplerdotcom/photos/a.317154781638645/5594453700575367/" TargetMode="External"/><Relationship Id="rId4503" Type="http://schemas.openxmlformats.org/officeDocument/2006/relationships/hyperlink" Target="https://www.facebook.com/rapplerdotcom/photos/a.317154781638645/5594954703858600/" TargetMode="External"/><Relationship Id="rId5835" Type="http://schemas.openxmlformats.org/officeDocument/2006/relationships/hyperlink" Target="https://www.facebook.com/rapplerdotcom/photos/a.317154781638645/5594453700575367/" TargetMode="External"/><Relationship Id="rId4502" Type="http://schemas.openxmlformats.org/officeDocument/2006/relationships/hyperlink" Target="https://www.facebook.com/profile.php?id=100075965177809" TargetMode="External"/><Relationship Id="rId5836" Type="http://schemas.openxmlformats.org/officeDocument/2006/relationships/hyperlink" Target="https://www.facebook.com/irma.rubio.735" TargetMode="External"/><Relationship Id="rId4505" Type="http://schemas.openxmlformats.org/officeDocument/2006/relationships/hyperlink" Target="https://www.facebook.com/rapplerdotcom/photos/a.317154781638645/5594954703858600/" TargetMode="External"/><Relationship Id="rId5833" Type="http://schemas.openxmlformats.org/officeDocument/2006/relationships/hyperlink" Target="https://www.facebook.com/rapplerdotcom/photos/a.317154781638645/5594453700575367/" TargetMode="External"/><Relationship Id="rId4504" Type="http://schemas.openxmlformats.org/officeDocument/2006/relationships/hyperlink" Target="https://www.facebook.com/letecia.gonzales.31" TargetMode="External"/><Relationship Id="rId5834" Type="http://schemas.openxmlformats.org/officeDocument/2006/relationships/hyperlink" Target="https://www.facebook.com/oscar.sibal" TargetMode="External"/><Relationship Id="rId4507" Type="http://schemas.openxmlformats.org/officeDocument/2006/relationships/hyperlink" Target="https://www.facebook.com/rapplerdotcom/photos/a.317154781638645/5594954703858600/" TargetMode="External"/><Relationship Id="rId5839" Type="http://schemas.openxmlformats.org/officeDocument/2006/relationships/hyperlink" Target="https://www.facebook.com/rapplerdotcom/photos/a.317154781638645/5594453700575367/" TargetMode="External"/><Relationship Id="rId4506" Type="http://schemas.openxmlformats.org/officeDocument/2006/relationships/hyperlink" Target="https://www.facebook.com/rhenz.jauod" TargetMode="External"/><Relationship Id="rId4509" Type="http://schemas.openxmlformats.org/officeDocument/2006/relationships/hyperlink" Target="https://www.facebook.com/rapplerdotcom/photos/a.317154781638645/5594954703858600/" TargetMode="External"/><Relationship Id="rId5837" Type="http://schemas.openxmlformats.org/officeDocument/2006/relationships/hyperlink" Target="https://www.facebook.com/rapplerdotcom/photos/a.317154781638645/5594453700575367/" TargetMode="External"/><Relationship Id="rId4508" Type="http://schemas.openxmlformats.org/officeDocument/2006/relationships/hyperlink" Target="https://www.facebook.com/rhonda.couris.7" TargetMode="External"/><Relationship Id="rId5838" Type="http://schemas.openxmlformats.org/officeDocument/2006/relationships/hyperlink" Target="https://www.facebook.com/beth.n.luna" TargetMode="External"/><Relationship Id="rId5831" Type="http://schemas.openxmlformats.org/officeDocument/2006/relationships/hyperlink" Target="https://www.facebook.com/rapplerdotcom/photos/a.317154781638645/5594453700575367/" TargetMode="External"/><Relationship Id="rId5832" Type="http://schemas.openxmlformats.org/officeDocument/2006/relationships/hyperlink" Target="https://www.facebook.com/zeny.gallatiera" TargetMode="External"/><Relationship Id="rId4501" Type="http://schemas.openxmlformats.org/officeDocument/2006/relationships/hyperlink" Target="https://www.facebook.com/rapplerdotcom/photos/a.317154781638645/5594954703858600/" TargetMode="External"/><Relationship Id="rId4500" Type="http://schemas.openxmlformats.org/officeDocument/2006/relationships/hyperlink" Target="https://www.facebook.com/profile.php?id=100074949353472" TargetMode="External"/><Relationship Id="rId5830" Type="http://schemas.openxmlformats.org/officeDocument/2006/relationships/hyperlink" Target="https://www.facebook.com/profile.php?id=100071338364446" TargetMode="External"/><Relationship Id="rId5824" Type="http://schemas.openxmlformats.org/officeDocument/2006/relationships/hyperlink" Target="https://www.facebook.com/johnny.collantes.37" TargetMode="External"/><Relationship Id="rId5825" Type="http://schemas.openxmlformats.org/officeDocument/2006/relationships/hyperlink" Target="https://www.facebook.com/rapplerdotcom/photos/a.317154781638645/5594453700575367/" TargetMode="External"/><Relationship Id="rId5822" Type="http://schemas.openxmlformats.org/officeDocument/2006/relationships/hyperlink" Target="https://www.facebook.com/jessie.villagracia.37" TargetMode="External"/><Relationship Id="rId5823" Type="http://schemas.openxmlformats.org/officeDocument/2006/relationships/hyperlink" Target="https://www.facebook.com/rapplerdotcom/photos/a.317154781638645/5594453700575367/" TargetMode="External"/><Relationship Id="rId5828" Type="http://schemas.openxmlformats.org/officeDocument/2006/relationships/hyperlink" Target="https://www.facebook.com/lilia.aquino.3367" TargetMode="External"/><Relationship Id="rId5829" Type="http://schemas.openxmlformats.org/officeDocument/2006/relationships/hyperlink" Target="https://www.facebook.com/rapplerdotcom/photos/a.317154781638645/5594453700575367/" TargetMode="External"/><Relationship Id="rId5826" Type="http://schemas.openxmlformats.org/officeDocument/2006/relationships/hyperlink" Target="https://www.facebook.com/daijing.dizon" TargetMode="External"/><Relationship Id="rId5827" Type="http://schemas.openxmlformats.org/officeDocument/2006/relationships/hyperlink" Target="https://www.facebook.com/rapplerdotcom/photos/a.317154781638645/5594453700575367/" TargetMode="External"/><Relationship Id="rId5820" Type="http://schemas.openxmlformats.org/officeDocument/2006/relationships/hyperlink" Target="https://www.facebook.com/martin.orsal.1" TargetMode="External"/><Relationship Id="rId5821" Type="http://schemas.openxmlformats.org/officeDocument/2006/relationships/hyperlink" Target="https://www.facebook.com/rapplerdotcom/photos/a.317154781638645/5594453700575367/" TargetMode="External"/><Relationship Id="rId3238" Type="http://schemas.openxmlformats.org/officeDocument/2006/relationships/hyperlink" Target="https://www.facebook.com/rapplerdotcom/posts/pfbid035u2RhZvcYSiCeymgBfXLoFoq87y2V8v81A9xDtyoKJgzTGtotsEEoj2bH7Zd4mtzl" TargetMode="External"/><Relationship Id="rId4569" Type="http://schemas.openxmlformats.org/officeDocument/2006/relationships/hyperlink" Target="https://www.facebook.com/watch/live/?ref=watch_permalink&amp;v=923735834984653" TargetMode="External"/><Relationship Id="rId3237" Type="http://schemas.openxmlformats.org/officeDocument/2006/relationships/hyperlink" Target="https://www.facebook.com/profile.php?id=100077672017175" TargetMode="External"/><Relationship Id="rId4568" Type="http://schemas.openxmlformats.org/officeDocument/2006/relationships/hyperlink" Target="https://www.facebook.com/menchie.delrosario" TargetMode="External"/><Relationship Id="rId5899" Type="http://schemas.openxmlformats.org/officeDocument/2006/relationships/hyperlink" Target="https://www.facebook.com/rapplerdotcom/photos/a.317154781638645/5594359700584767/" TargetMode="External"/><Relationship Id="rId3239" Type="http://schemas.openxmlformats.org/officeDocument/2006/relationships/hyperlink" Target="https://www.facebook.com/profile.php?id=100078131813881" TargetMode="External"/><Relationship Id="rId5890" Type="http://schemas.openxmlformats.org/officeDocument/2006/relationships/hyperlink" Target="https://www.facebook.com/joyce.gracia" TargetMode="External"/><Relationship Id="rId3230" Type="http://schemas.openxmlformats.org/officeDocument/2006/relationships/hyperlink" Target="https://www.facebook.com/watch/live/?ref=watch_permalink&amp;v=332681445500650" TargetMode="External"/><Relationship Id="rId4561" Type="http://schemas.openxmlformats.org/officeDocument/2006/relationships/hyperlink" Target="https://www.facebook.com/watch/live/?ref=watch_permalink&amp;v=923735834984653" TargetMode="External"/><Relationship Id="rId5893" Type="http://schemas.openxmlformats.org/officeDocument/2006/relationships/hyperlink" Target="https://www.facebook.com/rapplerdotcom/photos/a.317154781638645/5594359700584767/" TargetMode="External"/><Relationship Id="rId4560" Type="http://schemas.openxmlformats.org/officeDocument/2006/relationships/hyperlink" Target="https://www.facebook.com/wahpakels.baguinang" TargetMode="External"/><Relationship Id="rId5894" Type="http://schemas.openxmlformats.org/officeDocument/2006/relationships/hyperlink" Target="https://www.facebook.com/fatima.dy" TargetMode="External"/><Relationship Id="rId3232" Type="http://schemas.openxmlformats.org/officeDocument/2006/relationships/hyperlink" Target="https://www.facebook.com/watch/live/?ref=watch_permalink&amp;v=332681445500650" TargetMode="External"/><Relationship Id="rId4563" Type="http://schemas.openxmlformats.org/officeDocument/2006/relationships/hyperlink" Target="https://www.facebook.com/watch/live/?ref=watch_permalink&amp;v=923735834984653" TargetMode="External"/><Relationship Id="rId5891" Type="http://schemas.openxmlformats.org/officeDocument/2006/relationships/hyperlink" Target="https://www.facebook.com/rapplerdotcom/photos/a.317154781638645/5594359700584767/" TargetMode="External"/><Relationship Id="rId3231" Type="http://schemas.openxmlformats.org/officeDocument/2006/relationships/hyperlink" Target="https://www.facebook.com/gigidominguezdelosreyes" TargetMode="External"/><Relationship Id="rId4562" Type="http://schemas.openxmlformats.org/officeDocument/2006/relationships/hyperlink" Target="https://www.facebook.com/nabinagnap.seyer" TargetMode="External"/><Relationship Id="rId5892" Type="http://schemas.openxmlformats.org/officeDocument/2006/relationships/hyperlink" Target="https://www.facebook.com/nancy.obrador.1" TargetMode="External"/><Relationship Id="rId3234" Type="http://schemas.openxmlformats.org/officeDocument/2006/relationships/hyperlink" Target="https://www.facebook.com/watch/live/?ref=watch_permalink&amp;v=332681445500650" TargetMode="External"/><Relationship Id="rId4565" Type="http://schemas.openxmlformats.org/officeDocument/2006/relationships/hyperlink" Target="https://www.facebook.com/watch/live/?ref=watch_permalink&amp;v=923735834984653" TargetMode="External"/><Relationship Id="rId5897" Type="http://schemas.openxmlformats.org/officeDocument/2006/relationships/hyperlink" Target="https://www.facebook.com/rapplerdotcom/photos/a.317154781638645/5594359700584767/" TargetMode="External"/><Relationship Id="rId3233" Type="http://schemas.openxmlformats.org/officeDocument/2006/relationships/hyperlink" Target="https://www.facebook.com/iamwilverlalu" TargetMode="External"/><Relationship Id="rId4564" Type="http://schemas.openxmlformats.org/officeDocument/2006/relationships/hyperlink" Target="https://www.facebook.com/daphne.baula" TargetMode="External"/><Relationship Id="rId5898" Type="http://schemas.openxmlformats.org/officeDocument/2006/relationships/hyperlink" Target="https://www.facebook.com/macristina.panaguiton.7" TargetMode="External"/><Relationship Id="rId3236" Type="http://schemas.openxmlformats.org/officeDocument/2006/relationships/hyperlink" Target="https://www.facebook.com/rapplerdotcom/posts/pfbid035u2RhZvcYSiCeymgBfXLoFoq87y2V8v81A9xDtyoKJgzTGtotsEEoj2bH7Zd4mtzl" TargetMode="External"/><Relationship Id="rId4567" Type="http://schemas.openxmlformats.org/officeDocument/2006/relationships/hyperlink" Target="https://www.facebook.com/watch/live/?ref=watch_permalink&amp;v=923735834984653" TargetMode="External"/><Relationship Id="rId5895" Type="http://schemas.openxmlformats.org/officeDocument/2006/relationships/hyperlink" Target="https://www.facebook.com/rapplerdotcom/photos/a.317154781638645/5594359700584767/" TargetMode="External"/><Relationship Id="rId3235" Type="http://schemas.openxmlformats.org/officeDocument/2006/relationships/hyperlink" Target="https://www.facebook.com/annie.hao.58" TargetMode="External"/><Relationship Id="rId4566" Type="http://schemas.openxmlformats.org/officeDocument/2006/relationships/hyperlink" Target="https://www.facebook.com/tess.reyes.58958" TargetMode="External"/><Relationship Id="rId5896" Type="http://schemas.openxmlformats.org/officeDocument/2006/relationships/hyperlink" Target="https://www.facebook.com/marilyn.a.ferrer" TargetMode="External"/><Relationship Id="rId3227" Type="http://schemas.openxmlformats.org/officeDocument/2006/relationships/hyperlink" Target="https://www.facebook.com/ghaga.c.landero" TargetMode="External"/><Relationship Id="rId4558" Type="http://schemas.openxmlformats.org/officeDocument/2006/relationships/hyperlink" Target="https://www.facebook.com/julia.evangelista.18488" TargetMode="External"/><Relationship Id="rId3226" Type="http://schemas.openxmlformats.org/officeDocument/2006/relationships/hyperlink" Target="https://www.facebook.com/watch/live/?ref=watch_permalink&amp;v=332681445500650" TargetMode="External"/><Relationship Id="rId4557" Type="http://schemas.openxmlformats.org/officeDocument/2006/relationships/hyperlink" Target="https://www.facebook.com/watch/live/?ref=watch_permalink&amp;v=923735834984653" TargetMode="External"/><Relationship Id="rId3229" Type="http://schemas.openxmlformats.org/officeDocument/2006/relationships/hyperlink" Target="https://www.facebook.com/elizabeth.eslao" TargetMode="External"/><Relationship Id="rId5888" Type="http://schemas.openxmlformats.org/officeDocument/2006/relationships/hyperlink" Target="https://www.facebook.com/pandoy.malabanan" TargetMode="External"/><Relationship Id="rId3228" Type="http://schemas.openxmlformats.org/officeDocument/2006/relationships/hyperlink" Target="https://www.facebook.com/watch/live/?ref=watch_permalink&amp;v=332681445500650" TargetMode="External"/><Relationship Id="rId4559" Type="http://schemas.openxmlformats.org/officeDocument/2006/relationships/hyperlink" Target="https://www.facebook.com/watch/live/?ref=watch_permalink&amp;v=923735834984653" TargetMode="External"/><Relationship Id="rId5889" Type="http://schemas.openxmlformats.org/officeDocument/2006/relationships/hyperlink" Target="https://www.facebook.com/rapplerdotcom/photos/a.317154781638645/5594359700584767/" TargetMode="External"/><Relationship Id="rId4550" Type="http://schemas.openxmlformats.org/officeDocument/2006/relationships/hyperlink" Target="https://www.facebook.com/johndiazcortez" TargetMode="External"/><Relationship Id="rId5882" Type="http://schemas.openxmlformats.org/officeDocument/2006/relationships/hyperlink" Target="https://www.facebook.com/profile.php?id=100013349808064" TargetMode="External"/><Relationship Id="rId5883" Type="http://schemas.openxmlformats.org/officeDocument/2006/relationships/hyperlink" Target="https://www.facebook.com/rapplerdotcom/posts/pfbid0Kg1RoVj1WsJryHzrsA3oSrLQ6DJc4g1o3yMhcNHB9BrPu7fZV7ugtw1hYVefEPE9l" TargetMode="External"/><Relationship Id="rId3221" Type="http://schemas.openxmlformats.org/officeDocument/2006/relationships/hyperlink" Target="https://www.facebook.com/melanie.diomampo.7" TargetMode="External"/><Relationship Id="rId4552" Type="http://schemas.openxmlformats.org/officeDocument/2006/relationships/hyperlink" Target="https://www.facebook.com/emmanuel.villarba" TargetMode="External"/><Relationship Id="rId5880" Type="http://schemas.openxmlformats.org/officeDocument/2006/relationships/hyperlink" Target="https://www.facebook.com/champoybulletelbow" TargetMode="External"/><Relationship Id="rId3220" Type="http://schemas.openxmlformats.org/officeDocument/2006/relationships/hyperlink" Target="https://www.facebook.com/watch/live/?ref=watch_permalink&amp;v=332681445500650" TargetMode="External"/><Relationship Id="rId4551" Type="http://schemas.openxmlformats.org/officeDocument/2006/relationships/hyperlink" Target="https://www.facebook.com/rapplerdotcom/photos/a.317154781638645/5594954703858600/" TargetMode="External"/><Relationship Id="rId5881" Type="http://schemas.openxmlformats.org/officeDocument/2006/relationships/hyperlink" Target="https://www.facebook.com/rapplerdotcom/posts/pfbid0Kg1RoVj1WsJryHzrsA3oSrLQ6DJc4g1o3yMhcNHB9BrPu7fZV7ugtw1hYVefEPE9l" TargetMode="External"/><Relationship Id="rId3223" Type="http://schemas.openxmlformats.org/officeDocument/2006/relationships/hyperlink" Target="https://www.facebook.com/profile.php?id=100071843274449" TargetMode="External"/><Relationship Id="rId4554" Type="http://schemas.openxmlformats.org/officeDocument/2006/relationships/hyperlink" Target="https://www.facebook.com/nosgnoilaluap" TargetMode="External"/><Relationship Id="rId5886" Type="http://schemas.openxmlformats.org/officeDocument/2006/relationships/hyperlink" Target="https://www.facebook.com/profile.php?id=100071312860980" TargetMode="External"/><Relationship Id="rId3222" Type="http://schemas.openxmlformats.org/officeDocument/2006/relationships/hyperlink" Target="https://www.facebook.com/watch/live/?ref=watch_permalink&amp;v=332681445500650" TargetMode="External"/><Relationship Id="rId4553" Type="http://schemas.openxmlformats.org/officeDocument/2006/relationships/hyperlink" Target="https://www.facebook.com/watch/live/?ref=watch_permalink&amp;v=923735834984653" TargetMode="External"/><Relationship Id="rId5887" Type="http://schemas.openxmlformats.org/officeDocument/2006/relationships/hyperlink" Target="https://www.facebook.com/rapplerdotcom/posts/pfbid0Kg1RoVj1WsJryHzrsA3oSrLQ6DJc4g1o3yMhcNHB9BrPu7fZV7ugtw1hYVefEPE9l" TargetMode="External"/><Relationship Id="rId3225" Type="http://schemas.openxmlformats.org/officeDocument/2006/relationships/hyperlink" Target="https://www.facebook.com/liza.isagra" TargetMode="External"/><Relationship Id="rId4556" Type="http://schemas.openxmlformats.org/officeDocument/2006/relationships/hyperlink" Target="https://www.facebook.com/olive63" TargetMode="External"/><Relationship Id="rId5884" Type="http://schemas.openxmlformats.org/officeDocument/2006/relationships/hyperlink" Target="https://www.facebook.com/wengnyssa.wengnyssa" TargetMode="External"/><Relationship Id="rId3224" Type="http://schemas.openxmlformats.org/officeDocument/2006/relationships/hyperlink" Target="https://www.facebook.com/watch/live/?ref=watch_permalink&amp;v=332681445500650" TargetMode="External"/><Relationship Id="rId4555" Type="http://schemas.openxmlformats.org/officeDocument/2006/relationships/hyperlink" Target="https://www.facebook.com/watch/live/?ref=watch_permalink&amp;v=923735834984653" TargetMode="External"/><Relationship Id="rId5885" Type="http://schemas.openxmlformats.org/officeDocument/2006/relationships/hyperlink" Target="https://www.facebook.com/rapplerdotcom/posts/pfbid0Kg1RoVj1WsJryHzrsA3oSrLQ6DJc4g1o3yMhcNHB9BrPu7fZV7ugtw1hYVefEPE9l" TargetMode="External"/><Relationship Id="rId3259" Type="http://schemas.openxmlformats.org/officeDocument/2006/relationships/hyperlink" Target="https://www.facebook.com/jaime.gacusan.12" TargetMode="External"/><Relationship Id="rId3250" Type="http://schemas.openxmlformats.org/officeDocument/2006/relationships/hyperlink" Target="https://www.facebook.com/rapplerdotcom/posts/pfbid035u2RhZvcYSiCeymgBfXLoFoq87y2V8v81A9xDtyoKJgzTGtotsEEoj2bH7Zd4mtzl" TargetMode="External"/><Relationship Id="rId4581" Type="http://schemas.openxmlformats.org/officeDocument/2006/relationships/hyperlink" Target="https://www.facebook.com/watch/live/?ref=watch_permalink&amp;v=923735834984653" TargetMode="External"/><Relationship Id="rId4580" Type="http://schemas.openxmlformats.org/officeDocument/2006/relationships/hyperlink" Target="https://www.facebook.com/gloria.adams.948" TargetMode="External"/><Relationship Id="rId3252" Type="http://schemas.openxmlformats.org/officeDocument/2006/relationships/hyperlink" Target="https://www.facebook.com/rapplerdotcom/posts/pfbid035u2RhZvcYSiCeymgBfXLoFoq87y2V8v81A9xDtyoKJgzTGtotsEEoj2bH7Zd4mtzl" TargetMode="External"/><Relationship Id="rId4583" Type="http://schemas.openxmlformats.org/officeDocument/2006/relationships/hyperlink" Target="https://www.facebook.com/watch/live/?ref=watch_permalink&amp;v=923735834984653" TargetMode="External"/><Relationship Id="rId3251" Type="http://schemas.openxmlformats.org/officeDocument/2006/relationships/hyperlink" Target="https://www.facebook.com/florence.tejada.31" TargetMode="External"/><Relationship Id="rId4582" Type="http://schemas.openxmlformats.org/officeDocument/2006/relationships/hyperlink" Target="https://www.facebook.com/ariane.alejado.5" TargetMode="External"/><Relationship Id="rId3254" Type="http://schemas.openxmlformats.org/officeDocument/2006/relationships/hyperlink" Target="https://www.facebook.com/rapplerdotcom/posts/pfbid035u2RhZvcYSiCeymgBfXLoFoq87y2V8v81A9xDtyoKJgzTGtotsEEoj2bH7Zd4mtzl" TargetMode="External"/><Relationship Id="rId4585" Type="http://schemas.openxmlformats.org/officeDocument/2006/relationships/hyperlink" Target="https://www.facebook.com/watch/live/?ref=watch_permalink&amp;v=923735834984653" TargetMode="External"/><Relationship Id="rId3253" Type="http://schemas.openxmlformats.org/officeDocument/2006/relationships/hyperlink" Target="https://www.facebook.com/arjay.quirino.5" TargetMode="External"/><Relationship Id="rId4584" Type="http://schemas.openxmlformats.org/officeDocument/2006/relationships/hyperlink" Target="https://www.facebook.com/crispina.pin.35" TargetMode="External"/><Relationship Id="rId3256" Type="http://schemas.openxmlformats.org/officeDocument/2006/relationships/hyperlink" Target="https://www.facebook.com/rapplerdotcom/posts/pfbid035u2RhZvcYSiCeymgBfXLoFoq87y2V8v81A9xDtyoKJgzTGtotsEEoj2bH7Zd4mtzl" TargetMode="External"/><Relationship Id="rId4587" Type="http://schemas.openxmlformats.org/officeDocument/2006/relationships/hyperlink" Target="https://www.facebook.com/watch/live/?ref=watch_permalink&amp;v=923735834984653" TargetMode="External"/><Relationship Id="rId3255" Type="http://schemas.openxmlformats.org/officeDocument/2006/relationships/hyperlink" Target="https://www.facebook.com/mayumi.cruz.90" TargetMode="External"/><Relationship Id="rId4586" Type="http://schemas.openxmlformats.org/officeDocument/2006/relationships/hyperlink" Target="https://www.facebook.com/crispina.pin.35" TargetMode="External"/><Relationship Id="rId3258" Type="http://schemas.openxmlformats.org/officeDocument/2006/relationships/hyperlink" Target="https://www.facebook.com/rapplerdotcom/posts/pfbid035u2RhZvcYSiCeymgBfXLoFoq87y2V8v81A9xDtyoKJgzTGtotsEEoj2bH7Zd4mtzl" TargetMode="External"/><Relationship Id="rId4589" Type="http://schemas.openxmlformats.org/officeDocument/2006/relationships/hyperlink" Target="https://www.facebook.com/watch/live/?ref=watch_permalink&amp;v=923735834984653" TargetMode="External"/><Relationship Id="rId3257" Type="http://schemas.openxmlformats.org/officeDocument/2006/relationships/hyperlink" Target="https://www.facebook.com/jayceeguspid" TargetMode="External"/><Relationship Id="rId4588" Type="http://schemas.openxmlformats.org/officeDocument/2006/relationships/hyperlink" Target="https://www.facebook.com/ram.bagsic" TargetMode="External"/><Relationship Id="rId3249" Type="http://schemas.openxmlformats.org/officeDocument/2006/relationships/hyperlink" Target="https://www.facebook.com/eden.lara" TargetMode="External"/><Relationship Id="rId3248" Type="http://schemas.openxmlformats.org/officeDocument/2006/relationships/hyperlink" Target="https://www.facebook.com/rapplerdotcom/posts/pfbid035u2RhZvcYSiCeymgBfXLoFoq87y2V8v81A9xDtyoKJgzTGtotsEEoj2bH7Zd4mtzl" TargetMode="External"/><Relationship Id="rId4579" Type="http://schemas.openxmlformats.org/officeDocument/2006/relationships/hyperlink" Target="https://www.facebook.com/watch/live/?ref=watch_permalink&amp;v=923735834984653" TargetMode="External"/><Relationship Id="rId4570" Type="http://schemas.openxmlformats.org/officeDocument/2006/relationships/hyperlink" Target="https://www.facebook.com/menchie.delrosario" TargetMode="External"/><Relationship Id="rId3241" Type="http://schemas.openxmlformats.org/officeDocument/2006/relationships/hyperlink" Target="https://www.facebook.com/profile.php?id=100078872943485" TargetMode="External"/><Relationship Id="rId4572" Type="http://schemas.openxmlformats.org/officeDocument/2006/relationships/hyperlink" Target="https://www.facebook.com/menchie.delrosario" TargetMode="External"/><Relationship Id="rId3240" Type="http://schemas.openxmlformats.org/officeDocument/2006/relationships/hyperlink" Target="https://www.facebook.com/rapplerdotcom/posts/pfbid035u2RhZvcYSiCeymgBfXLoFoq87y2V8v81A9xDtyoKJgzTGtotsEEoj2bH7Zd4mtzl" TargetMode="External"/><Relationship Id="rId4571" Type="http://schemas.openxmlformats.org/officeDocument/2006/relationships/hyperlink" Target="https://www.facebook.com/watch/live/?ref=watch_permalink&amp;v=923735834984653" TargetMode="External"/><Relationship Id="rId3243" Type="http://schemas.openxmlformats.org/officeDocument/2006/relationships/hyperlink" Target="https://www.facebook.com/profile.php?id=100077417917077" TargetMode="External"/><Relationship Id="rId4574" Type="http://schemas.openxmlformats.org/officeDocument/2006/relationships/hyperlink" Target="https://www.facebook.com/marie.diot1" TargetMode="External"/><Relationship Id="rId3242" Type="http://schemas.openxmlformats.org/officeDocument/2006/relationships/hyperlink" Target="https://www.facebook.com/rapplerdotcom/posts/pfbid035u2RhZvcYSiCeymgBfXLoFoq87y2V8v81A9xDtyoKJgzTGtotsEEoj2bH7Zd4mtzl" TargetMode="External"/><Relationship Id="rId4573" Type="http://schemas.openxmlformats.org/officeDocument/2006/relationships/hyperlink" Target="https://www.facebook.com/watch/live/?ref=watch_permalink&amp;v=923735834984653" TargetMode="External"/><Relationship Id="rId3245" Type="http://schemas.openxmlformats.org/officeDocument/2006/relationships/hyperlink" Target="https://www.facebook.com/profile.php?id=100077279991106" TargetMode="External"/><Relationship Id="rId4576" Type="http://schemas.openxmlformats.org/officeDocument/2006/relationships/hyperlink" Target="https://www.facebook.com/profile.php?id=100015856993797" TargetMode="External"/><Relationship Id="rId3244" Type="http://schemas.openxmlformats.org/officeDocument/2006/relationships/hyperlink" Target="https://www.facebook.com/rapplerdotcom/posts/pfbid035u2RhZvcYSiCeymgBfXLoFoq87y2V8v81A9xDtyoKJgzTGtotsEEoj2bH7Zd4mtzl" TargetMode="External"/><Relationship Id="rId4575" Type="http://schemas.openxmlformats.org/officeDocument/2006/relationships/hyperlink" Target="https://www.facebook.com/watch/live/?ref=watch_permalink&amp;v=923735834984653" TargetMode="External"/><Relationship Id="rId3247" Type="http://schemas.openxmlformats.org/officeDocument/2006/relationships/hyperlink" Target="https://www.facebook.com/profile.php?id=100078582816731" TargetMode="External"/><Relationship Id="rId4578" Type="http://schemas.openxmlformats.org/officeDocument/2006/relationships/hyperlink" Target="https://www.facebook.com/tisay.quevedo" TargetMode="External"/><Relationship Id="rId3246" Type="http://schemas.openxmlformats.org/officeDocument/2006/relationships/hyperlink" Target="https://www.facebook.com/rapplerdotcom/posts/pfbid035u2RhZvcYSiCeymgBfXLoFoq87y2V8v81A9xDtyoKJgzTGtotsEEoj2bH7Zd4mtzl" TargetMode="External"/><Relationship Id="rId4577" Type="http://schemas.openxmlformats.org/officeDocument/2006/relationships/hyperlink" Target="https://www.facebook.com/watch/live/?ref=watch_permalink&amp;v=923735834984653" TargetMode="External"/><Relationship Id="rId4525" Type="http://schemas.openxmlformats.org/officeDocument/2006/relationships/hyperlink" Target="https://www.facebook.com/rapplerdotcom/photos/a.317154781638645/5594954703858600/" TargetMode="External"/><Relationship Id="rId5857" Type="http://schemas.openxmlformats.org/officeDocument/2006/relationships/hyperlink" Target="https://www.facebook.com/rapplerdotcom/photos/a.317154781638645/5594453700575367/" TargetMode="External"/><Relationship Id="rId4524" Type="http://schemas.openxmlformats.org/officeDocument/2006/relationships/hyperlink" Target="https://www.facebook.com/carlito.almonte.779" TargetMode="External"/><Relationship Id="rId5858" Type="http://schemas.openxmlformats.org/officeDocument/2006/relationships/hyperlink" Target="https://www.facebook.com/oyette.calanog" TargetMode="External"/><Relationship Id="rId4527" Type="http://schemas.openxmlformats.org/officeDocument/2006/relationships/hyperlink" Target="https://www.facebook.com/rapplerdotcom/photos/a.317154781638645/5594954703858600/" TargetMode="External"/><Relationship Id="rId5855" Type="http://schemas.openxmlformats.org/officeDocument/2006/relationships/hyperlink" Target="https://www.facebook.com/rapplerdotcom/photos/a.317154781638645/5594453700575367/" TargetMode="External"/><Relationship Id="rId4526" Type="http://schemas.openxmlformats.org/officeDocument/2006/relationships/hyperlink" Target="https://www.facebook.com/junplaz" TargetMode="External"/><Relationship Id="rId5856" Type="http://schemas.openxmlformats.org/officeDocument/2006/relationships/hyperlink" Target="https://www.facebook.com/rnld29" TargetMode="External"/><Relationship Id="rId4529" Type="http://schemas.openxmlformats.org/officeDocument/2006/relationships/hyperlink" Target="https://www.facebook.com/rapplerdotcom/photos/a.317154781638645/5594954703858600/" TargetMode="External"/><Relationship Id="rId4528" Type="http://schemas.openxmlformats.org/officeDocument/2006/relationships/hyperlink" Target="https://www.facebook.com/profile.php?id=100079181871183" TargetMode="External"/><Relationship Id="rId5859" Type="http://schemas.openxmlformats.org/officeDocument/2006/relationships/hyperlink" Target="https://www.facebook.com/rapplerdotcom/photos/a.317154781638645/5594453700575367/" TargetMode="External"/><Relationship Id="rId5850" Type="http://schemas.openxmlformats.org/officeDocument/2006/relationships/hyperlink" Target="https://www.facebook.com/julie.arenas143" TargetMode="External"/><Relationship Id="rId4521" Type="http://schemas.openxmlformats.org/officeDocument/2006/relationships/hyperlink" Target="https://www.facebook.com/rapplerdotcom/photos/a.317154781638645/5594954703858600/" TargetMode="External"/><Relationship Id="rId5853" Type="http://schemas.openxmlformats.org/officeDocument/2006/relationships/hyperlink" Target="https://www.facebook.com/rapplerdotcom/photos/a.317154781638645/5594453700575367/" TargetMode="External"/><Relationship Id="rId4520" Type="http://schemas.openxmlformats.org/officeDocument/2006/relationships/hyperlink" Target="https://www.facebook.com/jb.chua28" TargetMode="External"/><Relationship Id="rId5854" Type="http://schemas.openxmlformats.org/officeDocument/2006/relationships/hyperlink" Target="https://www.facebook.com/profile.php?id=100074886289403" TargetMode="External"/><Relationship Id="rId4523" Type="http://schemas.openxmlformats.org/officeDocument/2006/relationships/hyperlink" Target="https://www.facebook.com/rapplerdotcom/photos/a.317154781638645/5594954703858600/" TargetMode="External"/><Relationship Id="rId5851" Type="http://schemas.openxmlformats.org/officeDocument/2006/relationships/hyperlink" Target="https://www.facebook.com/rapplerdotcom/photos/a.317154781638645/5594453700575367/" TargetMode="External"/><Relationship Id="rId4522" Type="http://schemas.openxmlformats.org/officeDocument/2006/relationships/hyperlink" Target="https://www.facebook.com/allen.aguilar.58" TargetMode="External"/><Relationship Id="rId5852" Type="http://schemas.openxmlformats.org/officeDocument/2006/relationships/hyperlink" Target="https://www.facebook.com/cecilia.bucong" TargetMode="External"/><Relationship Id="rId4514" Type="http://schemas.openxmlformats.org/officeDocument/2006/relationships/hyperlink" Target="https://www.facebook.com/profile.php?id=100067648721233" TargetMode="External"/><Relationship Id="rId5846" Type="http://schemas.openxmlformats.org/officeDocument/2006/relationships/hyperlink" Target="https://www.facebook.com/nessmark.altar" TargetMode="External"/><Relationship Id="rId4513" Type="http://schemas.openxmlformats.org/officeDocument/2006/relationships/hyperlink" Target="https://www.facebook.com/rapplerdotcom/photos/a.317154781638645/5594954703858600/" TargetMode="External"/><Relationship Id="rId5847" Type="http://schemas.openxmlformats.org/officeDocument/2006/relationships/hyperlink" Target="https://www.facebook.com/rapplerdotcom/photos/a.317154781638645/5594453700575367/" TargetMode="External"/><Relationship Id="rId4516" Type="http://schemas.openxmlformats.org/officeDocument/2006/relationships/hyperlink" Target="https://www.facebook.com/cidj.jalandoni" TargetMode="External"/><Relationship Id="rId5844" Type="http://schemas.openxmlformats.org/officeDocument/2006/relationships/hyperlink" Target="https://www.facebook.com/profile.php?id=100008034378748" TargetMode="External"/><Relationship Id="rId4515" Type="http://schemas.openxmlformats.org/officeDocument/2006/relationships/hyperlink" Target="https://www.facebook.com/rapplerdotcom/photos/a.317154781638645/5594954703858600/" TargetMode="External"/><Relationship Id="rId5845" Type="http://schemas.openxmlformats.org/officeDocument/2006/relationships/hyperlink" Target="https://www.facebook.com/rapplerdotcom/photos/a.317154781638645/5594453700575367/" TargetMode="External"/><Relationship Id="rId4518" Type="http://schemas.openxmlformats.org/officeDocument/2006/relationships/hyperlink" Target="https://www.facebook.com/arlyn.roxas.94" TargetMode="External"/><Relationship Id="rId4517" Type="http://schemas.openxmlformats.org/officeDocument/2006/relationships/hyperlink" Target="https://www.facebook.com/rapplerdotcom/photos/a.317154781638645/5594954703858600/" TargetMode="External"/><Relationship Id="rId5848" Type="http://schemas.openxmlformats.org/officeDocument/2006/relationships/hyperlink" Target="https://www.facebook.com/jessie.villagracia.37" TargetMode="External"/><Relationship Id="rId4519" Type="http://schemas.openxmlformats.org/officeDocument/2006/relationships/hyperlink" Target="https://www.facebook.com/rapplerdotcom/photos/a.317154781638645/5594954703858600/" TargetMode="External"/><Relationship Id="rId5849" Type="http://schemas.openxmlformats.org/officeDocument/2006/relationships/hyperlink" Target="https://www.facebook.com/rapplerdotcom/photos/a.317154781638645/5594453700575367/" TargetMode="External"/><Relationship Id="rId4510" Type="http://schemas.openxmlformats.org/officeDocument/2006/relationships/hyperlink" Target="https://www.facebook.com/epal.aco.56" TargetMode="External"/><Relationship Id="rId5842" Type="http://schemas.openxmlformats.org/officeDocument/2006/relationships/hyperlink" Target="https://www.facebook.com/nessmark.altar" TargetMode="External"/><Relationship Id="rId5843" Type="http://schemas.openxmlformats.org/officeDocument/2006/relationships/hyperlink" Target="https://www.facebook.com/rapplerdotcom/photos/a.317154781638645/5594453700575367/" TargetMode="External"/><Relationship Id="rId4512" Type="http://schemas.openxmlformats.org/officeDocument/2006/relationships/hyperlink" Target="https://www.facebook.com/buenaventura.romy" TargetMode="External"/><Relationship Id="rId5840" Type="http://schemas.openxmlformats.org/officeDocument/2006/relationships/hyperlink" Target="https://www.facebook.com/virgilio.r.cruz.5" TargetMode="External"/><Relationship Id="rId4511" Type="http://schemas.openxmlformats.org/officeDocument/2006/relationships/hyperlink" Target="https://www.facebook.com/rapplerdotcom/photos/a.317154781638645/5594954703858600/" TargetMode="External"/><Relationship Id="rId5841" Type="http://schemas.openxmlformats.org/officeDocument/2006/relationships/hyperlink" Target="https://www.facebook.com/rapplerdotcom/photos/a.317154781638645/5594453700575367/" TargetMode="External"/><Relationship Id="rId3216" Type="http://schemas.openxmlformats.org/officeDocument/2006/relationships/hyperlink" Target="https://www.facebook.com/watch/live/?ref=watch_permalink&amp;v=332681445500650" TargetMode="External"/><Relationship Id="rId4547" Type="http://schemas.openxmlformats.org/officeDocument/2006/relationships/hyperlink" Target="https://www.facebook.com/rapplerdotcom/photos/a.317154781638645/5594954703858600/" TargetMode="External"/><Relationship Id="rId5879" Type="http://schemas.openxmlformats.org/officeDocument/2006/relationships/hyperlink" Target="https://www.facebook.com/rapplerdotcom/posts/pfbid0Kg1RoVj1WsJryHzrsA3oSrLQ6DJc4g1o3yMhcNHB9BrPu7fZV7ugtw1hYVefEPE9l" TargetMode="External"/><Relationship Id="rId3215" Type="http://schemas.openxmlformats.org/officeDocument/2006/relationships/hyperlink" Target="https://www.facebook.com/paul.balite" TargetMode="External"/><Relationship Id="rId4546" Type="http://schemas.openxmlformats.org/officeDocument/2006/relationships/hyperlink" Target="https://www.facebook.com/acsaudi" TargetMode="External"/><Relationship Id="rId3218" Type="http://schemas.openxmlformats.org/officeDocument/2006/relationships/hyperlink" Target="https://www.facebook.com/watch/live/?ref=watch_permalink&amp;v=332681445500650" TargetMode="External"/><Relationship Id="rId4549" Type="http://schemas.openxmlformats.org/officeDocument/2006/relationships/hyperlink" Target="https://www.facebook.com/rapplerdotcom/photos/a.317154781638645/5594954703858600/" TargetMode="External"/><Relationship Id="rId5877" Type="http://schemas.openxmlformats.org/officeDocument/2006/relationships/hyperlink" Target="https://www.facebook.com/rapplerdotcom/posts/pfbid0Kg1RoVj1WsJryHzrsA3oSrLQ6DJc4g1o3yMhcNHB9BrPu7fZV7ugtw1hYVefEPE9l" TargetMode="External"/><Relationship Id="rId3217" Type="http://schemas.openxmlformats.org/officeDocument/2006/relationships/hyperlink" Target="https://www.facebook.com/paz.gerero.1" TargetMode="External"/><Relationship Id="rId4548" Type="http://schemas.openxmlformats.org/officeDocument/2006/relationships/hyperlink" Target="https://www.facebook.com/camilabayenyap" TargetMode="External"/><Relationship Id="rId5878" Type="http://schemas.openxmlformats.org/officeDocument/2006/relationships/hyperlink" Target="https://www.facebook.com/janarvy.parr" TargetMode="External"/><Relationship Id="rId3219" Type="http://schemas.openxmlformats.org/officeDocument/2006/relationships/hyperlink" Target="https://www.facebook.com/danielle.reyeshabla" TargetMode="External"/><Relationship Id="rId5871" Type="http://schemas.openxmlformats.org/officeDocument/2006/relationships/hyperlink" Target="https://www.facebook.com/rapplerdotcom/posts/pfbid0Kg1RoVj1WsJryHzrsA3oSrLQ6DJc4g1o3yMhcNHB9BrPu7fZV7ugtw1hYVefEPE9l" TargetMode="External"/><Relationship Id="rId5872" Type="http://schemas.openxmlformats.org/officeDocument/2006/relationships/hyperlink" Target="https://www.facebook.com/regine.tamayo1" TargetMode="External"/><Relationship Id="rId3210" Type="http://schemas.openxmlformats.org/officeDocument/2006/relationships/hyperlink" Target="https://www.facebook.com/watch/live/?ref=watch_permalink&amp;v=332681445500650" TargetMode="External"/><Relationship Id="rId4541" Type="http://schemas.openxmlformats.org/officeDocument/2006/relationships/hyperlink" Target="https://www.facebook.com/rapplerdotcom/photos/a.317154781638645/5594954703858600/" TargetMode="External"/><Relationship Id="rId4540" Type="http://schemas.openxmlformats.org/officeDocument/2006/relationships/hyperlink" Target="https://www.facebook.com/joshybanez" TargetMode="External"/><Relationship Id="rId5870" Type="http://schemas.openxmlformats.org/officeDocument/2006/relationships/hyperlink" Target="https://www.facebook.com/tintin.f.asis" TargetMode="External"/><Relationship Id="rId3212" Type="http://schemas.openxmlformats.org/officeDocument/2006/relationships/hyperlink" Target="https://www.facebook.com/watch/live/?ref=watch_permalink&amp;v=332681445500650" TargetMode="External"/><Relationship Id="rId4543" Type="http://schemas.openxmlformats.org/officeDocument/2006/relationships/hyperlink" Target="https://www.facebook.com/rapplerdotcom/photos/a.317154781638645/5594954703858600/" TargetMode="External"/><Relationship Id="rId5875" Type="http://schemas.openxmlformats.org/officeDocument/2006/relationships/hyperlink" Target="https://www.facebook.com/rapplerdotcom/posts/pfbid0Kg1RoVj1WsJryHzrsA3oSrLQ6DJc4g1o3yMhcNHB9BrPu7fZV7ugtw1hYVefEPE9l" TargetMode="External"/><Relationship Id="rId3211" Type="http://schemas.openxmlformats.org/officeDocument/2006/relationships/hyperlink" Target="https://www.facebook.com/sonia.t.cruz" TargetMode="External"/><Relationship Id="rId4542" Type="http://schemas.openxmlformats.org/officeDocument/2006/relationships/hyperlink" Target="https://www.facebook.com/dr.julius.uy" TargetMode="External"/><Relationship Id="rId5876" Type="http://schemas.openxmlformats.org/officeDocument/2006/relationships/hyperlink" Target="https://www.facebook.com/majecelruby.barnido.507" TargetMode="External"/><Relationship Id="rId3214" Type="http://schemas.openxmlformats.org/officeDocument/2006/relationships/hyperlink" Target="https://www.facebook.com/watch/live/?ref=watch_permalink&amp;v=332681445500650" TargetMode="External"/><Relationship Id="rId4545" Type="http://schemas.openxmlformats.org/officeDocument/2006/relationships/hyperlink" Target="https://www.facebook.com/rapplerdotcom/photos/a.317154781638645/5594954703858600/" TargetMode="External"/><Relationship Id="rId5873" Type="http://schemas.openxmlformats.org/officeDocument/2006/relationships/hyperlink" Target="https://www.facebook.com/rapplerdotcom/posts/pfbid0Kg1RoVj1WsJryHzrsA3oSrLQ6DJc4g1o3yMhcNHB9BrPu7fZV7ugtw1hYVefEPE9l" TargetMode="External"/><Relationship Id="rId3213" Type="http://schemas.openxmlformats.org/officeDocument/2006/relationships/hyperlink" Target="https://www.facebook.com/ryutuc" TargetMode="External"/><Relationship Id="rId4544" Type="http://schemas.openxmlformats.org/officeDocument/2006/relationships/hyperlink" Target="https://www.facebook.com/pepe.ledesma.7140" TargetMode="External"/><Relationship Id="rId5874" Type="http://schemas.openxmlformats.org/officeDocument/2006/relationships/hyperlink" Target="https://www.facebook.com/jcaramirez" TargetMode="External"/><Relationship Id="rId3205" Type="http://schemas.openxmlformats.org/officeDocument/2006/relationships/hyperlink" Target="https://www.facebook.com/istib.sabater.3" TargetMode="External"/><Relationship Id="rId4536" Type="http://schemas.openxmlformats.org/officeDocument/2006/relationships/hyperlink" Target="https://www.facebook.com/profile.php?id=100070149226427" TargetMode="External"/><Relationship Id="rId5868" Type="http://schemas.openxmlformats.org/officeDocument/2006/relationships/hyperlink" Target="https://www.facebook.com/mariaana.fontamillas" TargetMode="External"/><Relationship Id="rId3204" Type="http://schemas.openxmlformats.org/officeDocument/2006/relationships/hyperlink" Target="https://www.facebook.com/watch/live/?ref=watch_permalink&amp;v=332681445500650" TargetMode="External"/><Relationship Id="rId4535" Type="http://schemas.openxmlformats.org/officeDocument/2006/relationships/hyperlink" Target="https://www.facebook.com/rapplerdotcom/photos/a.317154781638645/5594954703858600/" TargetMode="External"/><Relationship Id="rId5869" Type="http://schemas.openxmlformats.org/officeDocument/2006/relationships/hyperlink" Target="https://www.facebook.com/rapplerdotcom/posts/pfbid0Kg1RoVj1WsJryHzrsA3oSrLQ6DJc4g1o3yMhcNHB9BrPu7fZV7ugtw1hYVefEPE9l" TargetMode="External"/><Relationship Id="rId3207" Type="http://schemas.openxmlformats.org/officeDocument/2006/relationships/hyperlink" Target="https://www.facebook.com/erlindaonaalbofera" TargetMode="External"/><Relationship Id="rId4538" Type="http://schemas.openxmlformats.org/officeDocument/2006/relationships/hyperlink" Target="https://www.facebook.com/denise.v.gatuslao" TargetMode="External"/><Relationship Id="rId5866" Type="http://schemas.openxmlformats.org/officeDocument/2006/relationships/hyperlink" Target="https://www.facebook.com/rogelio.lapuz.5055" TargetMode="External"/><Relationship Id="rId3206" Type="http://schemas.openxmlformats.org/officeDocument/2006/relationships/hyperlink" Target="https://www.facebook.com/watch/live/?ref=watch_permalink&amp;v=332681445500650" TargetMode="External"/><Relationship Id="rId4537" Type="http://schemas.openxmlformats.org/officeDocument/2006/relationships/hyperlink" Target="https://www.facebook.com/rapplerdotcom/photos/a.317154781638645/5594954703858600/" TargetMode="External"/><Relationship Id="rId5867" Type="http://schemas.openxmlformats.org/officeDocument/2006/relationships/hyperlink" Target="https://www.facebook.com/rapplerdotcom/photos/a.317154781638645/5594453700575367/" TargetMode="External"/><Relationship Id="rId3209" Type="http://schemas.openxmlformats.org/officeDocument/2006/relationships/hyperlink" Target="https://www.facebook.com/viamarcelo" TargetMode="External"/><Relationship Id="rId3208" Type="http://schemas.openxmlformats.org/officeDocument/2006/relationships/hyperlink" Target="https://www.facebook.com/watch/live/?ref=watch_permalink&amp;v=332681445500650" TargetMode="External"/><Relationship Id="rId4539" Type="http://schemas.openxmlformats.org/officeDocument/2006/relationships/hyperlink" Target="https://www.facebook.com/rapplerdotcom/photos/a.317154781638645/5594954703858600/" TargetMode="External"/><Relationship Id="rId5860" Type="http://schemas.openxmlformats.org/officeDocument/2006/relationships/hyperlink" Target="https://www.facebook.com/charlie.viejon.5" TargetMode="External"/><Relationship Id="rId5861" Type="http://schemas.openxmlformats.org/officeDocument/2006/relationships/hyperlink" Target="https://www.facebook.com/rapplerdotcom/photos/a.317154781638645/5594453700575367/" TargetMode="External"/><Relationship Id="rId4530" Type="http://schemas.openxmlformats.org/officeDocument/2006/relationships/hyperlink" Target="https://www.facebook.com/profile.php?id=100077494915560" TargetMode="External"/><Relationship Id="rId3201" Type="http://schemas.openxmlformats.org/officeDocument/2006/relationships/hyperlink" Target="https://www.facebook.com/paz.gerero.1" TargetMode="External"/><Relationship Id="rId4532" Type="http://schemas.openxmlformats.org/officeDocument/2006/relationships/hyperlink" Target="https://www.facebook.com/AMSIQTPI" TargetMode="External"/><Relationship Id="rId5864" Type="http://schemas.openxmlformats.org/officeDocument/2006/relationships/hyperlink" Target="https://www.facebook.com/santiago.meneses.31542" TargetMode="External"/><Relationship Id="rId3200" Type="http://schemas.openxmlformats.org/officeDocument/2006/relationships/hyperlink" Target="https://www.facebook.com/watch/live/?ref=watch_permalink&amp;v=332681445500650" TargetMode="External"/><Relationship Id="rId4531" Type="http://schemas.openxmlformats.org/officeDocument/2006/relationships/hyperlink" Target="https://www.facebook.com/rapplerdotcom/photos/a.317154781638645/5594954703858600/" TargetMode="External"/><Relationship Id="rId5865" Type="http://schemas.openxmlformats.org/officeDocument/2006/relationships/hyperlink" Target="https://www.facebook.com/rapplerdotcom/photos/a.317154781638645/5594453700575367/" TargetMode="External"/><Relationship Id="rId3203" Type="http://schemas.openxmlformats.org/officeDocument/2006/relationships/hyperlink" Target="https://www.facebook.com/profile.php?id=100007622536597" TargetMode="External"/><Relationship Id="rId4534" Type="http://schemas.openxmlformats.org/officeDocument/2006/relationships/hyperlink" Target="https://www.facebook.com/kyric.sirving01" TargetMode="External"/><Relationship Id="rId5862" Type="http://schemas.openxmlformats.org/officeDocument/2006/relationships/hyperlink" Target="https://www.facebook.com/yumika.mikay" TargetMode="External"/><Relationship Id="rId3202" Type="http://schemas.openxmlformats.org/officeDocument/2006/relationships/hyperlink" Target="https://www.facebook.com/watch/live/?ref=watch_permalink&amp;v=332681445500650" TargetMode="External"/><Relationship Id="rId4533" Type="http://schemas.openxmlformats.org/officeDocument/2006/relationships/hyperlink" Target="https://www.facebook.com/rapplerdotcom/photos/a.317154781638645/5594954703858600/" TargetMode="External"/><Relationship Id="rId5863" Type="http://schemas.openxmlformats.org/officeDocument/2006/relationships/hyperlink" Target="https://www.facebook.com/rapplerdotcom/photos/a.317154781638645/5594453700575367/" TargetMode="External"/><Relationship Id="rId190" Type="http://schemas.openxmlformats.org/officeDocument/2006/relationships/hyperlink" Target="https://www.facebook.com/rapplerdotcom/posts/pfbid0DUh4iFcrxZuR1UbiGhcAHcMdzsaV29GSeHCY1HabtqcnUWkjStX9TDaVqzzt92GDl" TargetMode="External"/><Relationship Id="rId194" Type="http://schemas.openxmlformats.org/officeDocument/2006/relationships/hyperlink" Target="https://www.facebook.com/rapplerdotcom/posts/pfbid0DUh4iFcrxZuR1UbiGhcAHcMdzsaV29GSeHCY1HabtqcnUWkjStX9TDaVqzzt92GDl" TargetMode="External"/><Relationship Id="rId193" Type="http://schemas.openxmlformats.org/officeDocument/2006/relationships/hyperlink" Target="https://www.facebook.com/pauljeric.queipo.1" TargetMode="External"/><Relationship Id="rId192" Type="http://schemas.openxmlformats.org/officeDocument/2006/relationships/hyperlink" Target="https://www.facebook.com/rapplerdotcom/posts/pfbid0DUh4iFcrxZuR1UbiGhcAHcMdzsaV29GSeHCY1HabtqcnUWkjStX9TDaVqzzt92GDl" TargetMode="External"/><Relationship Id="rId191" Type="http://schemas.openxmlformats.org/officeDocument/2006/relationships/hyperlink" Target="https://www.facebook.com/Boyp97" TargetMode="External"/><Relationship Id="rId187" Type="http://schemas.openxmlformats.org/officeDocument/2006/relationships/hyperlink" Target="https://www.facebook.com/mervilyn.constantino" TargetMode="External"/><Relationship Id="rId186" Type="http://schemas.openxmlformats.org/officeDocument/2006/relationships/hyperlink" Target="https://www.facebook.com/rapplerdotcom/posts/pfbid0DUh4iFcrxZuR1UbiGhcAHcMdzsaV29GSeHCY1HabtqcnUWkjStX9TDaVqzzt92GDl" TargetMode="External"/><Relationship Id="rId185" Type="http://schemas.openxmlformats.org/officeDocument/2006/relationships/hyperlink" Target="https://www.facebook.com/aqoucii.makmak" TargetMode="External"/><Relationship Id="rId184" Type="http://schemas.openxmlformats.org/officeDocument/2006/relationships/hyperlink" Target="https://www.facebook.com/rapplerdotcom/posts/pfbid0DUh4iFcrxZuR1UbiGhcAHcMdzsaV29GSeHCY1HabtqcnUWkjStX9TDaVqzzt92GDl" TargetMode="External"/><Relationship Id="rId189" Type="http://schemas.openxmlformats.org/officeDocument/2006/relationships/hyperlink" Target="https://www.facebook.com/james.borgia.3" TargetMode="External"/><Relationship Id="rId188" Type="http://schemas.openxmlformats.org/officeDocument/2006/relationships/hyperlink" Target="https://www.facebook.com/rapplerdotcom/posts/pfbid0DUh4iFcrxZuR1UbiGhcAHcMdzsaV29GSeHCY1HabtqcnUWkjStX9TDaVqzzt92GDl" TargetMode="External"/><Relationship Id="rId183" Type="http://schemas.openxmlformats.org/officeDocument/2006/relationships/hyperlink" Target="https://www.facebook.com/aqoucii.makmak" TargetMode="External"/><Relationship Id="rId182" Type="http://schemas.openxmlformats.org/officeDocument/2006/relationships/hyperlink" Target="https://www.facebook.com/rapplerdotcom/posts/pfbid0DUh4iFcrxZuR1UbiGhcAHcMdzsaV29GSeHCY1HabtqcnUWkjStX9TDaVqzzt92GDl" TargetMode="External"/><Relationship Id="rId181" Type="http://schemas.openxmlformats.org/officeDocument/2006/relationships/hyperlink" Target="https://www.facebook.com/profile.php?id=100009426127646" TargetMode="External"/><Relationship Id="rId180" Type="http://schemas.openxmlformats.org/officeDocument/2006/relationships/hyperlink" Target="https://www.facebook.com/rapplerdotcom/posts/pfbid0DUh4iFcrxZuR1UbiGhcAHcMdzsaV29GSeHCY1HabtqcnUWkjStX9TDaVqzzt92GDl" TargetMode="External"/><Relationship Id="rId176" Type="http://schemas.openxmlformats.org/officeDocument/2006/relationships/hyperlink" Target="https://www.facebook.com/rapplerdotcom/posts/pfbid0DUh4iFcrxZuR1UbiGhcAHcMdzsaV29GSeHCY1HabtqcnUWkjStX9TDaVqzzt92GDl" TargetMode="External"/><Relationship Id="rId175" Type="http://schemas.openxmlformats.org/officeDocument/2006/relationships/hyperlink" Target="https://www.facebook.com/henrileki" TargetMode="External"/><Relationship Id="rId174" Type="http://schemas.openxmlformats.org/officeDocument/2006/relationships/hyperlink" Target="https://www.facebook.com/rapplerdotcom/posts/pfbid0DUh4iFcrxZuR1UbiGhcAHcMdzsaV29GSeHCY1HabtqcnUWkjStX9TDaVqzzt92GDl" TargetMode="External"/><Relationship Id="rId173" Type="http://schemas.openxmlformats.org/officeDocument/2006/relationships/hyperlink" Target="https://www.facebook.com/joseph.geraldo.1232" TargetMode="External"/><Relationship Id="rId179" Type="http://schemas.openxmlformats.org/officeDocument/2006/relationships/hyperlink" Target="https://www.facebook.com/profile.php?id=100073995464849" TargetMode="External"/><Relationship Id="rId178" Type="http://schemas.openxmlformats.org/officeDocument/2006/relationships/hyperlink" Target="https://www.facebook.com/rapplerdotcom/posts/pfbid0DUh4iFcrxZuR1UbiGhcAHcMdzsaV29GSeHCY1HabtqcnUWkjStX9TDaVqzzt92GDl" TargetMode="External"/><Relationship Id="rId177" Type="http://schemas.openxmlformats.org/officeDocument/2006/relationships/hyperlink" Target="https://www.facebook.com/terry.daktil.75" TargetMode="External"/><Relationship Id="rId198" Type="http://schemas.openxmlformats.org/officeDocument/2006/relationships/hyperlink" Target="https://www.facebook.com/rapplerdotcom/posts/pfbid0DUh4iFcrxZuR1UbiGhcAHcMdzsaV29GSeHCY1HabtqcnUWkjStX9TDaVqzzt92GDl" TargetMode="External"/><Relationship Id="rId197" Type="http://schemas.openxmlformats.org/officeDocument/2006/relationships/hyperlink" Target="https://www.facebook.com/jovi.laganding" TargetMode="External"/><Relationship Id="rId196" Type="http://schemas.openxmlformats.org/officeDocument/2006/relationships/hyperlink" Target="https://www.facebook.com/rapplerdotcom/posts/pfbid0DUh4iFcrxZuR1UbiGhcAHcMdzsaV29GSeHCY1HabtqcnUWkjStX9TDaVqzzt92GDl" TargetMode="External"/><Relationship Id="rId195" Type="http://schemas.openxmlformats.org/officeDocument/2006/relationships/hyperlink" Target="https://www.facebook.com/randy.basco.3" TargetMode="External"/><Relationship Id="rId199" Type="http://schemas.openxmlformats.org/officeDocument/2006/relationships/hyperlink" Target="https://www.facebook.com/axljansantos" TargetMode="External"/><Relationship Id="rId150" Type="http://schemas.openxmlformats.org/officeDocument/2006/relationships/hyperlink" Target="https://www.facebook.com/rapplerdotcom/posts/pfbid0DUh4iFcrxZuR1UbiGhcAHcMdzsaV29GSeHCY1HabtqcnUWkjStX9TDaVqzzt92GDl" TargetMode="External"/><Relationship Id="rId149" Type="http://schemas.openxmlformats.org/officeDocument/2006/relationships/hyperlink" Target="https://www.facebook.com/emely.cantomayor.3" TargetMode="External"/><Relationship Id="rId148" Type="http://schemas.openxmlformats.org/officeDocument/2006/relationships/hyperlink" Target="https://www.facebook.com/rapplerdotcom/posts/pfbid0DUh4iFcrxZuR1UbiGhcAHcMdzsaV29GSeHCY1HabtqcnUWkjStX9TDaVqzzt92GDl" TargetMode="External"/><Relationship Id="rId3270" Type="http://schemas.openxmlformats.org/officeDocument/2006/relationships/hyperlink" Target="https://www.facebook.com/rapplerdotcom/posts/pfbid035u2RhZvcYSiCeymgBfXLoFoq87y2V8v81A9xDtyoKJgzTGtotsEEoj2bH7Zd4mtzl" TargetMode="External"/><Relationship Id="rId3272" Type="http://schemas.openxmlformats.org/officeDocument/2006/relationships/hyperlink" Target="https://www.facebook.com/rapplerdotcom/posts/pfbid035u2RhZvcYSiCeymgBfXLoFoq87y2V8v81A9xDtyoKJgzTGtotsEEoj2bH7Zd4mtzl" TargetMode="External"/><Relationship Id="rId3271" Type="http://schemas.openxmlformats.org/officeDocument/2006/relationships/hyperlink" Target="https://www.facebook.com/wyralin.fuentes" TargetMode="External"/><Relationship Id="rId143" Type="http://schemas.openxmlformats.org/officeDocument/2006/relationships/hyperlink" Target="https://www.facebook.com/rusticzana" TargetMode="External"/><Relationship Id="rId3274" Type="http://schemas.openxmlformats.org/officeDocument/2006/relationships/hyperlink" Target="https://www.facebook.com/rapplerdotcom/photos/a.317154781638645/5595372260483511/" TargetMode="External"/><Relationship Id="rId142" Type="http://schemas.openxmlformats.org/officeDocument/2006/relationships/hyperlink" Target="https://www.facebook.com/rapplerdotcom/posts/pfbid0DUh4iFcrxZuR1UbiGhcAHcMdzsaV29GSeHCY1HabtqcnUWkjStX9TDaVqzzt92GDl" TargetMode="External"/><Relationship Id="rId3273" Type="http://schemas.openxmlformats.org/officeDocument/2006/relationships/hyperlink" Target="https://www.facebook.com/nuelle.dominguezduterte.5" TargetMode="External"/><Relationship Id="rId141" Type="http://schemas.openxmlformats.org/officeDocument/2006/relationships/hyperlink" Target="https://www.facebook.com/honey.huervana" TargetMode="External"/><Relationship Id="rId3276" Type="http://schemas.openxmlformats.org/officeDocument/2006/relationships/hyperlink" Target="https://www.facebook.com/rapplerdotcom/photos/a.317154781638645/5595372260483511/" TargetMode="External"/><Relationship Id="rId140" Type="http://schemas.openxmlformats.org/officeDocument/2006/relationships/hyperlink" Target="https://www.facebook.com/rapplerdotcom/posts/pfbid0DUh4iFcrxZuR1UbiGhcAHcMdzsaV29GSeHCY1HabtqcnUWkjStX9TDaVqzzt92GDl" TargetMode="External"/><Relationship Id="rId3275" Type="http://schemas.openxmlformats.org/officeDocument/2006/relationships/hyperlink" Target="https://www.facebook.com/orchid.blk" TargetMode="External"/><Relationship Id="rId147" Type="http://schemas.openxmlformats.org/officeDocument/2006/relationships/hyperlink" Target="https://www.facebook.com/maylalyn.pagatpatanbiador" TargetMode="External"/><Relationship Id="rId3278" Type="http://schemas.openxmlformats.org/officeDocument/2006/relationships/hyperlink" Target="https://www.facebook.com/rapplerdotcom/photos/a.317154781638645/5595372260483511/" TargetMode="External"/><Relationship Id="rId146" Type="http://schemas.openxmlformats.org/officeDocument/2006/relationships/hyperlink" Target="https://www.facebook.com/rapplerdotcom/posts/pfbid0DUh4iFcrxZuR1UbiGhcAHcMdzsaV29GSeHCY1HabtqcnUWkjStX9TDaVqzzt92GDl" TargetMode="External"/><Relationship Id="rId3277" Type="http://schemas.openxmlformats.org/officeDocument/2006/relationships/hyperlink" Target="https://www.facebook.com/bulacan.trolley" TargetMode="External"/><Relationship Id="rId145" Type="http://schemas.openxmlformats.org/officeDocument/2006/relationships/hyperlink" Target="https://www.facebook.com/FjdCastillo" TargetMode="External"/><Relationship Id="rId144" Type="http://schemas.openxmlformats.org/officeDocument/2006/relationships/hyperlink" Target="https://www.facebook.com/rapplerdotcom/posts/pfbid0DUh4iFcrxZuR1UbiGhcAHcMdzsaV29GSeHCY1HabtqcnUWkjStX9TDaVqzzt92GDl" TargetMode="External"/><Relationship Id="rId3279" Type="http://schemas.openxmlformats.org/officeDocument/2006/relationships/hyperlink" Target="https://www.facebook.com/profile.php?id=100072652930837" TargetMode="External"/><Relationship Id="rId139" Type="http://schemas.openxmlformats.org/officeDocument/2006/relationships/hyperlink" Target="https://www.facebook.com/gumer.liston" TargetMode="External"/><Relationship Id="rId138" Type="http://schemas.openxmlformats.org/officeDocument/2006/relationships/hyperlink" Target="https://www.facebook.com/rapplerdotcom/posts/pfbid0DUh4iFcrxZuR1UbiGhcAHcMdzsaV29GSeHCY1HabtqcnUWkjStX9TDaVqzzt92GDl" TargetMode="External"/><Relationship Id="rId137" Type="http://schemas.openxmlformats.org/officeDocument/2006/relationships/hyperlink" Target="https://www.facebook.com/gumer.liston" TargetMode="External"/><Relationship Id="rId4590" Type="http://schemas.openxmlformats.org/officeDocument/2006/relationships/hyperlink" Target="https://www.facebook.com/megzkristofer.roblo" TargetMode="External"/><Relationship Id="rId3261" Type="http://schemas.openxmlformats.org/officeDocument/2006/relationships/hyperlink" Target="https://www.facebook.com/wallye.napua" TargetMode="External"/><Relationship Id="rId4592" Type="http://schemas.openxmlformats.org/officeDocument/2006/relationships/hyperlink" Target="https://www.facebook.com/lariza.francisco" TargetMode="External"/><Relationship Id="rId3260" Type="http://schemas.openxmlformats.org/officeDocument/2006/relationships/hyperlink" Target="https://www.facebook.com/rapplerdotcom/posts/pfbid035u2RhZvcYSiCeymgBfXLoFoq87y2V8v81A9xDtyoKJgzTGtotsEEoj2bH7Zd4mtzl" TargetMode="External"/><Relationship Id="rId4591" Type="http://schemas.openxmlformats.org/officeDocument/2006/relationships/hyperlink" Target="https://www.facebook.com/watch/live/?ref=watch_permalink&amp;v=923735834984653" TargetMode="External"/><Relationship Id="rId132" Type="http://schemas.openxmlformats.org/officeDocument/2006/relationships/hyperlink" Target="https://www.facebook.com/rapplerdotcom/posts/pfbid0DUh4iFcrxZuR1UbiGhcAHcMdzsaV29GSeHCY1HabtqcnUWkjStX9TDaVqzzt92GDl" TargetMode="External"/><Relationship Id="rId3263" Type="http://schemas.openxmlformats.org/officeDocument/2006/relationships/hyperlink" Target="https://www.facebook.com/airajoyces" TargetMode="External"/><Relationship Id="rId4594" Type="http://schemas.openxmlformats.org/officeDocument/2006/relationships/hyperlink" Target="https://www.facebook.com/lariza.francisco" TargetMode="External"/><Relationship Id="rId131" Type="http://schemas.openxmlformats.org/officeDocument/2006/relationships/hyperlink" Target="https://www.facebook.com/pauljeric.queipo.1" TargetMode="External"/><Relationship Id="rId3262" Type="http://schemas.openxmlformats.org/officeDocument/2006/relationships/hyperlink" Target="https://www.facebook.com/rapplerdotcom/posts/pfbid035u2RhZvcYSiCeymgBfXLoFoq87y2V8v81A9xDtyoKJgzTGtotsEEoj2bH7Zd4mtzl" TargetMode="External"/><Relationship Id="rId4593" Type="http://schemas.openxmlformats.org/officeDocument/2006/relationships/hyperlink" Target="https://www.facebook.com/watch/live/?ref=watch_permalink&amp;v=923735834984653" TargetMode="External"/><Relationship Id="rId130" Type="http://schemas.openxmlformats.org/officeDocument/2006/relationships/hyperlink" Target="https://www.facebook.com/rapplerdotcom/posts/pfbid0DUh4iFcrxZuR1UbiGhcAHcMdzsaV29GSeHCY1HabtqcnUWkjStX9TDaVqzzt92GDl" TargetMode="External"/><Relationship Id="rId3265" Type="http://schemas.openxmlformats.org/officeDocument/2006/relationships/hyperlink" Target="https://www.facebook.com/rene.r.galang.5" TargetMode="External"/><Relationship Id="rId4596" Type="http://schemas.openxmlformats.org/officeDocument/2006/relationships/hyperlink" Target="https://www.facebook.com/julia.evangelista.18488" TargetMode="External"/><Relationship Id="rId3264" Type="http://schemas.openxmlformats.org/officeDocument/2006/relationships/hyperlink" Target="https://www.facebook.com/rapplerdotcom/posts/pfbid035u2RhZvcYSiCeymgBfXLoFoq87y2V8v81A9xDtyoKJgzTGtotsEEoj2bH7Zd4mtzl" TargetMode="External"/><Relationship Id="rId4595" Type="http://schemas.openxmlformats.org/officeDocument/2006/relationships/hyperlink" Target="https://www.facebook.com/watch/live/?ref=watch_permalink&amp;v=923735834984653" TargetMode="External"/><Relationship Id="rId136" Type="http://schemas.openxmlformats.org/officeDocument/2006/relationships/hyperlink" Target="https://www.facebook.com/rapplerdotcom/posts/pfbid0DUh4iFcrxZuR1UbiGhcAHcMdzsaV29GSeHCY1HabtqcnUWkjStX9TDaVqzzt92GDl" TargetMode="External"/><Relationship Id="rId3267" Type="http://schemas.openxmlformats.org/officeDocument/2006/relationships/hyperlink" Target="https://www.facebook.com/clarenceedward.castillo" TargetMode="External"/><Relationship Id="rId4598" Type="http://schemas.openxmlformats.org/officeDocument/2006/relationships/hyperlink" Target="https://www.facebook.com/sharelle.mamerto.5" TargetMode="External"/><Relationship Id="rId135" Type="http://schemas.openxmlformats.org/officeDocument/2006/relationships/hyperlink" Target="https://www.facebook.com/tzadmar.julian" TargetMode="External"/><Relationship Id="rId3266" Type="http://schemas.openxmlformats.org/officeDocument/2006/relationships/hyperlink" Target="https://www.facebook.com/rapplerdotcom/posts/pfbid035u2RhZvcYSiCeymgBfXLoFoq87y2V8v81A9xDtyoKJgzTGtotsEEoj2bH7Zd4mtzl" TargetMode="External"/><Relationship Id="rId4597" Type="http://schemas.openxmlformats.org/officeDocument/2006/relationships/hyperlink" Target="https://www.facebook.com/watch/live/?ref=watch_permalink&amp;v=923735834984653" TargetMode="External"/><Relationship Id="rId134" Type="http://schemas.openxmlformats.org/officeDocument/2006/relationships/hyperlink" Target="https://www.facebook.com/rapplerdotcom/posts/pfbid0DUh4iFcrxZuR1UbiGhcAHcMdzsaV29GSeHCY1HabtqcnUWkjStX9TDaVqzzt92GDl" TargetMode="External"/><Relationship Id="rId3269" Type="http://schemas.openxmlformats.org/officeDocument/2006/relationships/hyperlink" Target="https://www.facebook.com/carandang.rnold" TargetMode="External"/><Relationship Id="rId133" Type="http://schemas.openxmlformats.org/officeDocument/2006/relationships/hyperlink" Target="https://www.facebook.com/christy.licayan.7" TargetMode="External"/><Relationship Id="rId3268" Type="http://schemas.openxmlformats.org/officeDocument/2006/relationships/hyperlink" Target="https://www.facebook.com/rapplerdotcom/posts/pfbid035u2RhZvcYSiCeymgBfXLoFoq87y2V8v81A9xDtyoKJgzTGtotsEEoj2bH7Zd4mtzl" TargetMode="External"/><Relationship Id="rId4599" Type="http://schemas.openxmlformats.org/officeDocument/2006/relationships/hyperlink" Target="https://www.facebook.com/watch/live/?ref=watch_permalink&amp;v=923735834984653" TargetMode="External"/><Relationship Id="rId172" Type="http://schemas.openxmlformats.org/officeDocument/2006/relationships/hyperlink" Target="https://www.facebook.com/rapplerdotcom/posts/pfbid0DUh4iFcrxZuR1UbiGhcAHcMdzsaV29GSeHCY1HabtqcnUWkjStX9TDaVqzzt92GDl" TargetMode="External"/><Relationship Id="rId171" Type="http://schemas.openxmlformats.org/officeDocument/2006/relationships/hyperlink" Target="https://www.facebook.com/mariaaya.dellosalozada" TargetMode="External"/><Relationship Id="rId170" Type="http://schemas.openxmlformats.org/officeDocument/2006/relationships/hyperlink" Target="https://www.facebook.com/rapplerdotcom/posts/pfbid0DUh4iFcrxZuR1UbiGhcAHcMdzsaV29GSeHCY1HabtqcnUWkjStX9TDaVqzzt92GDl" TargetMode="External"/><Relationship Id="rId3290" Type="http://schemas.openxmlformats.org/officeDocument/2006/relationships/hyperlink" Target="https://www.facebook.com/rapplerdotcom/photos/a.317154781638645/5595372260483511/" TargetMode="External"/><Relationship Id="rId3292" Type="http://schemas.openxmlformats.org/officeDocument/2006/relationships/hyperlink" Target="https://www.facebook.com/rapplerdotcom/photos/a.317154781638645/5595372260483511/" TargetMode="External"/><Relationship Id="rId3291" Type="http://schemas.openxmlformats.org/officeDocument/2006/relationships/hyperlink" Target="https://www.facebook.com/normel.panergo" TargetMode="External"/><Relationship Id="rId3294" Type="http://schemas.openxmlformats.org/officeDocument/2006/relationships/hyperlink" Target="https://www.facebook.com/rapplerdotcom/photos/a.317154781638645/5595372260483511/" TargetMode="External"/><Relationship Id="rId3293" Type="http://schemas.openxmlformats.org/officeDocument/2006/relationships/hyperlink" Target="https://www.facebook.com/gia.mitchell.9655" TargetMode="External"/><Relationship Id="rId165" Type="http://schemas.openxmlformats.org/officeDocument/2006/relationships/hyperlink" Target="https://www.facebook.com/jose.bataller.16" TargetMode="External"/><Relationship Id="rId3296" Type="http://schemas.openxmlformats.org/officeDocument/2006/relationships/hyperlink" Target="https://www.facebook.com/rapplerdotcom/photos/a.317154781638645/5595372260483511/" TargetMode="External"/><Relationship Id="rId164" Type="http://schemas.openxmlformats.org/officeDocument/2006/relationships/hyperlink" Target="https://www.facebook.com/rapplerdotcom/posts/pfbid0DUh4iFcrxZuR1UbiGhcAHcMdzsaV29GSeHCY1HabtqcnUWkjStX9TDaVqzzt92GDl" TargetMode="External"/><Relationship Id="rId3295" Type="http://schemas.openxmlformats.org/officeDocument/2006/relationships/hyperlink" Target="https://www.facebook.com/profile.php?id=100011569547804" TargetMode="External"/><Relationship Id="rId163" Type="http://schemas.openxmlformats.org/officeDocument/2006/relationships/hyperlink" Target="https://www.facebook.com/axljansantos" TargetMode="External"/><Relationship Id="rId3298" Type="http://schemas.openxmlformats.org/officeDocument/2006/relationships/hyperlink" Target="https://www.facebook.com/rapplerdotcom/photos/a.317154781638645/5595372260483511/" TargetMode="External"/><Relationship Id="rId162" Type="http://schemas.openxmlformats.org/officeDocument/2006/relationships/hyperlink" Target="https://www.facebook.com/rapplerdotcom/posts/pfbid0DUh4iFcrxZuR1UbiGhcAHcMdzsaV29GSeHCY1HabtqcnUWkjStX9TDaVqzzt92GDl" TargetMode="External"/><Relationship Id="rId3297" Type="http://schemas.openxmlformats.org/officeDocument/2006/relationships/hyperlink" Target="https://www.facebook.com/profile.php?id=100069939051229" TargetMode="External"/><Relationship Id="rId169" Type="http://schemas.openxmlformats.org/officeDocument/2006/relationships/hyperlink" Target="https://www.facebook.com/myraparreno" TargetMode="External"/><Relationship Id="rId168" Type="http://schemas.openxmlformats.org/officeDocument/2006/relationships/hyperlink" Target="https://www.facebook.com/rapplerdotcom/posts/pfbid0DUh4iFcrxZuR1UbiGhcAHcMdzsaV29GSeHCY1HabtqcnUWkjStX9TDaVqzzt92GDl" TargetMode="External"/><Relationship Id="rId3299" Type="http://schemas.openxmlformats.org/officeDocument/2006/relationships/hyperlink" Target="https://www.facebook.com/vicky.v.quiachon" TargetMode="External"/><Relationship Id="rId167" Type="http://schemas.openxmlformats.org/officeDocument/2006/relationships/hyperlink" Target="https://www.facebook.com/henrileki" TargetMode="External"/><Relationship Id="rId166" Type="http://schemas.openxmlformats.org/officeDocument/2006/relationships/hyperlink" Target="https://www.facebook.com/rapplerdotcom/posts/pfbid0DUh4iFcrxZuR1UbiGhcAHcMdzsaV29GSeHCY1HabtqcnUWkjStX9TDaVqzzt92GDl" TargetMode="External"/><Relationship Id="rId161" Type="http://schemas.openxmlformats.org/officeDocument/2006/relationships/hyperlink" Target="https://www.facebook.com/Tell-Tale-Tweet-103754798693384/" TargetMode="External"/><Relationship Id="rId160" Type="http://schemas.openxmlformats.org/officeDocument/2006/relationships/hyperlink" Target="https://www.facebook.com/rapplerdotcom/posts/pfbid0DUh4iFcrxZuR1UbiGhcAHcMdzsaV29GSeHCY1HabtqcnUWkjStX9TDaVqzzt92GDl" TargetMode="External"/><Relationship Id="rId159" Type="http://schemas.openxmlformats.org/officeDocument/2006/relationships/hyperlink" Target="https://www.facebook.com/kristian.arceo" TargetMode="External"/><Relationship Id="rId3281" Type="http://schemas.openxmlformats.org/officeDocument/2006/relationships/hyperlink" Target="https://www.facebook.com/profile.php?id=100072652930837" TargetMode="External"/><Relationship Id="rId3280" Type="http://schemas.openxmlformats.org/officeDocument/2006/relationships/hyperlink" Target="https://www.facebook.com/rapplerdotcom/photos/a.317154781638645/5595372260483511/" TargetMode="External"/><Relationship Id="rId3283" Type="http://schemas.openxmlformats.org/officeDocument/2006/relationships/hyperlink" Target="https://www.facebook.com/christopher.ramos.31521301" TargetMode="External"/><Relationship Id="rId3282" Type="http://schemas.openxmlformats.org/officeDocument/2006/relationships/hyperlink" Target="https://www.facebook.com/rapplerdotcom/photos/a.317154781638645/5595372260483511/" TargetMode="External"/><Relationship Id="rId154" Type="http://schemas.openxmlformats.org/officeDocument/2006/relationships/hyperlink" Target="https://www.facebook.com/rapplerdotcom/posts/pfbid0DUh4iFcrxZuR1UbiGhcAHcMdzsaV29GSeHCY1HabtqcnUWkjStX9TDaVqzzt92GDl" TargetMode="External"/><Relationship Id="rId3285" Type="http://schemas.openxmlformats.org/officeDocument/2006/relationships/hyperlink" Target="https://www.facebook.com/jesmirabel" TargetMode="External"/><Relationship Id="rId153" Type="http://schemas.openxmlformats.org/officeDocument/2006/relationships/hyperlink" Target="https://www.facebook.com/oteng.gai" TargetMode="External"/><Relationship Id="rId3284" Type="http://schemas.openxmlformats.org/officeDocument/2006/relationships/hyperlink" Target="https://www.facebook.com/rapplerdotcom/photos/a.317154781638645/5595372260483511/" TargetMode="External"/><Relationship Id="rId152" Type="http://schemas.openxmlformats.org/officeDocument/2006/relationships/hyperlink" Target="https://www.facebook.com/rapplerdotcom/posts/pfbid0DUh4iFcrxZuR1UbiGhcAHcMdzsaV29GSeHCY1HabtqcnUWkjStX9TDaVqzzt92GDl" TargetMode="External"/><Relationship Id="rId3287" Type="http://schemas.openxmlformats.org/officeDocument/2006/relationships/hyperlink" Target="https://www.facebook.com/santos.yap.37" TargetMode="External"/><Relationship Id="rId151" Type="http://schemas.openxmlformats.org/officeDocument/2006/relationships/hyperlink" Target="https://www.facebook.com/alex.ibarra.7169709" TargetMode="External"/><Relationship Id="rId3286" Type="http://schemas.openxmlformats.org/officeDocument/2006/relationships/hyperlink" Target="https://www.facebook.com/rapplerdotcom/photos/a.317154781638645/5595372260483511/" TargetMode="External"/><Relationship Id="rId158" Type="http://schemas.openxmlformats.org/officeDocument/2006/relationships/hyperlink" Target="https://www.facebook.com/rapplerdotcom/posts/pfbid0DUh4iFcrxZuR1UbiGhcAHcMdzsaV29GSeHCY1HabtqcnUWkjStX9TDaVqzzt92GDl" TargetMode="External"/><Relationship Id="rId3289" Type="http://schemas.openxmlformats.org/officeDocument/2006/relationships/hyperlink" Target="https://www.facebook.com/astroboiscout" TargetMode="External"/><Relationship Id="rId157" Type="http://schemas.openxmlformats.org/officeDocument/2006/relationships/hyperlink" Target="https://www.facebook.com/Tell-Tale-Tweet-103754798693384/" TargetMode="External"/><Relationship Id="rId3288" Type="http://schemas.openxmlformats.org/officeDocument/2006/relationships/hyperlink" Target="https://www.facebook.com/rapplerdotcom/photos/a.317154781638645/5595372260483511/" TargetMode="External"/><Relationship Id="rId156" Type="http://schemas.openxmlformats.org/officeDocument/2006/relationships/hyperlink" Target="https://www.facebook.com/rapplerdotcom/posts/pfbid0DUh4iFcrxZuR1UbiGhcAHcMdzsaV29GSeHCY1HabtqcnUWkjStX9TDaVqzzt92GDl" TargetMode="External"/><Relationship Id="rId155" Type="http://schemas.openxmlformats.org/officeDocument/2006/relationships/hyperlink" Target="https://www.facebook.com/kristian.arceo" TargetMode="External"/><Relationship Id="rId4602" Type="http://schemas.openxmlformats.org/officeDocument/2006/relationships/hyperlink" Target="https://www.facebook.com/totie.balce" TargetMode="External"/><Relationship Id="rId5934" Type="http://schemas.openxmlformats.org/officeDocument/2006/relationships/hyperlink" Target="https://www.facebook.com/bong.nicdao.3" TargetMode="External"/><Relationship Id="rId4601" Type="http://schemas.openxmlformats.org/officeDocument/2006/relationships/hyperlink" Target="https://www.facebook.com/watch/live/?ref=watch_permalink&amp;v=923735834984653" TargetMode="External"/><Relationship Id="rId5935" Type="http://schemas.openxmlformats.org/officeDocument/2006/relationships/hyperlink" Target="https://www.facebook.com/rapplerdotcom/photos/a.317154781638645/5594359700584767/" TargetMode="External"/><Relationship Id="rId4604" Type="http://schemas.openxmlformats.org/officeDocument/2006/relationships/hyperlink" Target="https://www.facebook.com/reesecolmenares" TargetMode="External"/><Relationship Id="rId5932" Type="http://schemas.openxmlformats.org/officeDocument/2006/relationships/hyperlink" Target="https://www.facebook.com/chris.lim.946" TargetMode="External"/><Relationship Id="rId4603" Type="http://schemas.openxmlformats.org/officeDocument/2006/relationships/hyperlink" Target="https://www.facebook.com/watch/live/?ref=watch_permalink&amp;v=923735834984653" TargetMode="External"/><Relationship Id="rId5933" Type="http://schemas.openxmlformats.org/officeDocument/2006/relationships/hyperlink" Target="https://www.facebook.com/rapplerdotcom/photos/a.317154781638645/5594359700584767/" TargetMode="External"/><Relationship Id="rId4606" Type="http://schemas.openxmlformats.org/officeDocument/2006/relationships/hyperlink" Target="https://www.facebook.com/profile.php?id=100068675928336" TargetMode="External"/><Relationship Id="rId5938" Type="http://schemas.openxmlformats.org/officeDocument/2006/relationships/hyperlink" Target="https://www.facebook.com/filemon.viduya.1" TargetMode="External"/><Relationship Id="rId4605" Type="http://schemas.openxmlformats.org/officeDocument/2006/relationships/hyperlink" Target="https://www.facebook.com/watch/live/?ref=watch_permalink&amp;v=923735834984653" TargetMode="External"/><Relationship Id="rId5939" Type="http://schemas.openxmlformats.org/officeDocument/2006/relationships/hyperlink" Target="https://www.facebook.com/rapplerdotcom/photos/a.317154781638645/5594359700584767/" TargetMode="External"/><Relationship Id="rId4608" Type="http://schemas.openxmlformats.org/officeDocument/2006/relationships/hyperlink" Target="https://www.facebook.com/carlos.lavidez" TargetMode="External"/><Relationship Id="rId5936" Type="http://schemas.openxmlformats.org/officeDocument/2006/relationships/hyperlink" Target="https://www.facebook.com/dontimothy.buhain.5" TargetMode="External"/><Relationship Id="rId4607" Type="http://schemas.openxmlformats.org/officeDocument/2006/relationships/hyperlink" Target="https://www.facebook.com/watch/live/?ref=watch_permalink&amp;v=923735834984653" TargetMode="External"/><Relationship Id="rId5937" Type="http://schemas.openxmlformats.org/officeDocument/2006/relationships/hyperlink" Target="https://www.facebook.com/rapplerdotcom/photos/a.317154781638645/5594359700584767/" TargetMode="External"/><Relationship Id="rId4609" Type="http://schemas.openxmlformats.org/officeDocument/2006/relationships/hyperlink" Target="https://www.facebook.com/watch/live/?ref=watch_permalink&amp;v=923735834984653" TargetMode="External"/><Relationship Id="rId5930" Type="http://schemas.openxmlformats.org/officeDocument/2006/relationships/hyperlink" Target="https://www.facebook.com/boy.cinco" TargetMode="External"/><Relationship Id="rId5931" Type="http://schemas.openxmlformats.org/officeDocument/2006/relationships/hyperlink" Target="https://www.facebook.com/rapplerdotcom/photos/a.317154781638645/5594359700584767/" TargetMode="External"/><Relationship Id="rId4600" Type="http://schemas.openxmlformats.org/officeDocument/2006/relationships/hyperlink" Target="https://www.facebook.com/rsvillarama" TargetMode="External"/><Relationship Id="rId5923" Type="http://schemas.openxmlformats.org/officeDocument/2006/relationships/hyperlink" Target="https://www.facebook.com/rapplerdotcom/photos/a.317154781638645/5594359700584767/" TargetMode="External"/><Relationship Id="rId5924" Type="http://schemas.openxmlformats.org/officeDocument/2006/relationships/hyperlink" Target="https://www.facebook.com/john.elizarde.5" TargetMode="External"/><Relationship Id="rId5921" Type="http://schemas.openxmlformats.org/officeDocument/2006/relationships/hyperlink" Target="https://www.facebook.com/rapplerdotcom/photos/a.317154781638645/5594359700584767/" TargetMode="External"/><Relationship Id="rId5922" Type="http://schemas.openxmlformats.org/officeDocument/2006/relationships/hyperlink" Target="https://www.facebook.com/austregelina.chua" TargetMode="External"/><Relationship Id="rId5927" Type="http://schemas.openxmlformats.org/officeDocument/2006/relationships/hyperlink" Target="https://www.facebook.com/rapplerdotcom/photos/a.317154781638645/5594359700584767/" TargetMode="External"/><Relationship Id="rId5928" Type="http://schemas.openxmlformats.org/officeDocument/2006/relationships/hyperlink" Target="https://www.facebook.com/tintin.radoc" TargetMode="External"/><Relationship Id="rId5925" Type="http://schemas.openxmlformats.org/officeDocument/2006/relationships/hyperlink" Target="https://www.facebook.com/rapplerdotcom/photos/a.317154781638645/5594359700584767/" TargetMode="External"/><Relationship Id="rId5926" Type="http://schemas.openxmlformats.org/officeDocument/2006/relationships/hyperlink" Target="https://www.facebook.com/nievestampis" TargetMode="External"/><Relationship Id="rId5929" Type="http://schemas.openxmlformats.org/officeDocument/2006/relationships/hyperlink" Target="https://www.facebook.com/rapplerdotcom/photos/a.317154781638645/5594359700584767/" TargetMode="External"/><Relationship Id="rId5920" Type="http://schemas.openxmlformats.org/officeDocument/2006/relationships/hyperlink" Target="https://www.facebook.com/benjie.paralta" TargetMode="External"/><Relationship Id="rId4624" Type="http://schemas.openxmlformats.org/officeDocument/2006/relationships/hyperlink" Target="https://www.facebook.com/profile.php?id=100078330409843" TargetMode="External"/><Relationship Id="rId5956" Type="http://schemas.openxmlformats.org/officeDocument/2006/relationships/hyperlink" Target="https://www.facebook.com/onie.abon.98" TargetMode="External"/><Relationship Id="rId4623" Type="http://schemas.openxmlformats.org/officeDocument/2006/relationships/hyperlink" Target="https://www.facebook.com/watch/live/?ref=watch_permalink&amp;v=923735834984653" TargetMode="External"/><Relationship Id="rId5957" Type="http://schemas.openxmlformats.org/officeDocument/2006/relationships/hyperlink" Target="https://www.facebook.com/rapplerdotcom/photos/a.317154781638645/5594359700584767/" TargetMode="External"/><Relationship Id="rId4626" Type="http://schemas.openxmlformats.org/officeDocument/2006/relationships/hyperlink" Target="https://www.facebook.com/javier.inanoria" TargetMode="External"/><Relationship Id="rId5954" Type="http://schemas.openxmlformats.org/officeDocument/2006/relationships/hyperlink" Target="https://www.facebook.com/fgancheta" TargetMode="External"/><Relationship Id="rId4625" Type="http://schemas.openxmlformats.org/officeDocument/2006/relationships/hyperlink" Target="https://www.facebook.com/watch/live/?ref=watch_permalink&amp;v=923735834984653" TargetMode="External"/><Relationship Id="rId5955" Type="http://schemas.openxmlformats.org/officeDocument/2006/relationships/hyperlink" Target="https://www.facebook.com/rapplerdotcom/photos/a.317154781638645/5594359700584767/" TargetMode="External"/><Relationship Id="rId4628" Type="http://schemas.openxmlformats.org/officeDocument/2006/relationships/hyperlink" Target="https://www.facebook.com/millet.a.uy" TargetMode="External"/><Relationship Id="rId4627" Type="http://schemas.openxmlformats.org/officeDocument/2006/relationships/hyperlink" Target="https://www.facebook.com/watch/live/?ref=watch_permalink&amp;v=923735834984653" TargetMode="External"/><Relationship Id="rId5958" Type="http://schemas.openxmlformats.org/officeDocument/2006/relationships/hyperlink" Target="https://www.facebook.com/allan.escalona.12" TargetMode="External"/><Relationship Id="rId4629" Type="http://schemas.openxmlformats.org/officeDocument/2006/relationships/hyperlink" Target="https://www.facebook.com/watch/live/?ref=watch_permalink&amp;v=923735834984653" TargetMode="External"/><Relationship Id="rId5959" Type="http://schemas.openxmlformats.org/officeDocument/2006/relationships/hyperlink" Target="https://www.facebook.com/rapplerdotcom/photos/a.317154781638645/5594359700584767/" TargetMode="External"/><Relationship Id="rId4620" Type="http://schemas.openxmlformats.org/officeDocument/2006/relationships/hyperlink" Target="https://www.facebook.com/profile.php?id=100074038491420" TargetMode="External"/><Relationship Id="rId5952" Type="http://schemas.openxmlformats.org/officeDocument/2006/relationships/hyperlink" Target="https://www.facebook.com/profile.php?id=100069246870332" TargetMode="External"/><Relationship Id="rId5953" Type="http://schemas.openxmlformats.org/officeDocument/2006/relationships/hyperlink" Target="https://www.facebook.com/rapplerdotcom/photos/a.317154781638645/5594359700584767/" TargetMode="External"/><Relationship Id="rId4622" Type="http://schemas.openxmlformats.org/officeDocument/2006/relationships/hyperlink" Target="https://www.facebook.com/francisca.bundalian.3" TargetMode="External"/><Relationship Id="rId5950" Type="http://schemas.openxmlformats.org/officeDocument/2006/relationships/hyperlink" Target="https://www.facebook.com/profile.php?id=100002846509290" TargetMode="External"/><Relationship Id="rId4621" Type="http://schemas.openxmlformats.org/officeDocument/2006/relationships/hyperlink" Target="https://www.facebook.com/watch/live/?ref=watch_permalink&amp;v=923735834984653" TargetMode="External"/><Relationship Id="rId5951" Type="http://schemas.openxmlformats.org/officeDocument/2006/relationships/hyperlink" Target="https://www.facebook.com/rapplerdotcom/photos/a.317154781638645/5594359700584767/" TargetMode="External"/><Relationship Id="rId4613" Type="http://schemas.openxmlformats.org/officeDocument/2006/relationships/hyperlink" Target="https://www.facebook.com/watch/live/?ref=watch_permalink&amp;v=923735834984653" TargetMode="External"/><Relationship Id="rId5945" Type="http://schemas.openxmlformats.org/officeDocument/2006/relationships/hyperlink" Target="https://www.facebook.com/rapplerdotcom/photos/a.317154781638645/5594359700584767/" TargetMode="External"/><Relationship Id="rId4612" Type="http://schemas.openxmlformats.org/officeDocument/2006/relationships/hyperlink" Target="https://www.facebook.com/materesa.balean" TargetMode="External"/><Relationship Id="rId5946" Type="http://schemas.openxmlformats.org/officeDocument/2006/relationships/hyperlink" Target="https://www.facebook.com/jonathan.biwit" TargetMode="External"/><Relationship Id="rId4615" Type="http://schemas.openxmlformats.org/officeDocument/2006/relationships/hyperlink" Target="https://www.facebook.com/watch/live/?ref=watch_permalink&amp;v=923735834984653" TargetMode="External"/><Relationship Id="rId5943" Type="http://schemas.openxmlformats.org/officeDocument/2006/relationships/hyperlink" Target="https://www.facebook.com/rapplerdotcom/photos/a.317154781638645/5594359700584767/" TargetMode="External"/><Relationship Id="rId4614" Type="http://schemas.openxmlformats.org/officeDocument/2006/relationships/hyperlink" Target="https://www.facebook.com/daphne.baula" TargetMode="External"/><Relationship Id="rId5944" Type="http://schemas.openxmlformats.org/officeDocument/2006/relationships/hyperlink" Target="https://www.facebook.com/rodulfojr.bumaat" TargetMode="External"/><Relationship Id="rId4617" Type="http://schemas.openxmlformats.org/officeDocument/2006/relationships/hyperlink" Target="https://www.facebook.com/watch/live/?ref=watch_permalink&amp;v=923735834984653" TargetMode="External"/><Relationship Id="rId5949" Type="http://schemas.openxmlformats.org/officeDocument/2006/relationships/hyperlink" Target="https://www.facebook.com/rapplerdotcom/photos/a.317154781638645/5594359700584767/" TargetMode="External"/><Relationship Id="rId4616" Type="http://schemas.openxmlformats.org/officeDocument/2006/relationships/hyperlink" Target="https://www.facebook.com/menchie.delrosario" TargetMode="External"/><Relationship Id="rId4619" Type="http://schemas.openxmlformats.org/officeDocument/2006/relationships/hyperlink" Target="https://www.facebook.com/watch/live/?ref=watch_permalink&amp;v=923735834984653" TargetMode="External"/><Relationship Id="rId5947" Type="http://schemas.openxmlformats.org/officeDocument/2006/relationships/hyperlink" Target="https://www.facebook.com/rapplerdotcom/photos/a.317154781638645/5594359700584767/" TargetMode="External"/><Relationship Id="rId4618" Type="http://schemas.openxmlformats.org/officeDocument/2006/relationships/hyperlink" Target="https://www.facebook.com/profile.php?id=100070655991563" TargetMode="External"/><Relationship Id="rId5948" Type="http://schemas.openxmlformats.org/officeDocument/2006/relationships/hyperlink" Target="https://www.facebook.com/lut.aver.3" TargetMode="External"/><Relationship Id="rId5941" Type="http://schemas.openxmlformats.org/officeDocument/2006/relationships/hyperlink" Target="https://www.facebook.com/rapplerdotcom/photos/a.317154781638645/5594359700584767/" TargetMode="External"/><Relationship Id="rId5942" Type="http://schemas.openxmlformats.org/officeDocument/2006/relationships/hyperlink" Target="https://www.facebook.com/alvin.arellano.986" TargetMode="External"/><Relationship Id="rId4611" Type="http://schemas.openxmlformats.org/officeDocument/2006/relationships/hyperlink" Target="https://www.facebook.com/watch/live/?ref=watch_permalink&amp;v=923735834984653" TargetMode="External"/><Relationship Id="rId4610" Type="http://schemas.openxmlformats.org/officeDocument/2006/relationships/hyperlink" Target="https://www.facebook.com/nosgnoilaluap" TargetMode="External"/><Relationship Id="rId5940" Type="http://schemas.openxmlformats.org/officeDocument/2006/relationships/hyperlink" Target="https://www.facebook.com/mariatheresa.ooyama" TargetMode="External"/><Relationship Id="rId5912" Type="http://schemas.openxmlformats.org/officeDocument/2006/relationships/hyperlink" Target="https://www.facebook.com/Alvin3aces" TargetMode="External"/><Relationship Id="rId5913" Type="http://schemas.openxmlformats.org/officeDocument/2006/relationships/hyperlink" Target="https://www.facebook.com/rapplerdotcom/photos/a.317154781638645/5594359700584767/" TargetMode="External"/><Relationship Id="rId5910" Type="http://schemas.openxmlformats.org/officeDocument/2006/relationships/hyperlink" Target="https://www.facebook.com/milagrosilidan" TargetMode="External"/><Relationship Id="rId5911" Type="http://schemas.openxmlformats.org/officeDocument/2006/relationships/hyperlink" Target="https://www.facebook.com/rapplerdotcom/photos/a.317154781638645/5594359700584767/" TargetMode="External"/><Relationship Id="rId5916" Type="http://schemas.openxmlformats.org/officeDocument/2006/relationships/hyperlink" Target="https://www.facebook.com/christene.delacruz.777" TargetMode="External"/><Relationship Id="rId5917" Type="http://schemas.openxmlformats.org/officeDocument/2006/relationships/hyperlink" Target="https://www.facebook.com/rapplerdotcom/photos/a.317154781638645/5594359700584767/" TargetMode="External"/><Relationship Id="rId5914" Type="http://schemas.openxmlformats.org/officeDocument/2006/relationships/hyperlink" Target="https://www.facebook.com/hyath" TargetMode="External"/><Relationship Id="rId5915" Type="http://schemas.openxmlformats.org/officeDocument/2006/relationships/hyperlink" Target="https://www.facebook.com/rapplerdotcom/photos/a.317154781638645/5594359700584767/" TargetMode="External"/><Relationship Id="rId5918" Type="http://schemas.openxmlformats.org/officeDocument/2006/relationships/hyperlink" Target="https://www.facebook.com/jaymar.pantojatumlos" TargetMode="External"/><Relationship Id="rId5919" Type="http://schemas.openxmlformats.org/officeDocument/2006/relationships/hyperlink" Target="https://www.facebook.com/rapplerdotcom/photos/a.317154781638645/5594359700584767/" TargetMode="External"/><Relationship Id="rId5901" Type="http://schemas.openxmlformats.org/officeDocument/2006/relationships/hyperlink" Target="https://www.facebook.com/rapplerdotcom/photos/a.317154781638645/5594359700584767/" TargetMode="External"/><Relationship Id="rId5902" Type="http://schemas.openxmlformats.org/officeDocument/2006/relationships/hyperlink" Target="https://www.facebook.com/edilberto.fermil.9" TargetMode="External"/><Relationship Id="rId5900" Type="http://schemas.openxmlformats.org/officeDocument/2006/relationships/hyperlink" Target="https://www.facebook.com/EnricElesisCruz" TargetMode="External"/><Relationship Id="rId5905" Type="http://schemas.openxmlformats.org/officeDocument/2006/relationships/hyperlink" Target="https://www.facebook.com/rapplerdotcom/photos/a.317154781638645/5594359700584767/" TargetMode="External"/><Relationship Id="rId5906" Type="http://schemas.openxmlformats.org/officeDocument/2006/relationships/hyperlink" Target="https://www.facebook.com/roie.donna" TargetMode="External"/><Relationship Id="rId5903" Type="http://schemas.openxmlformats.org/officeDocument/2006/relationships/hyperlink" Target="https://www.facebook.com/rapplerdotcom/photos/a.317154781638645/5594359700584767/" TargetMode="External"/><Relationship Id="rId5904" Type="http://schemas.openxmlformats.org/officeDocument/2006/relationships/hyperlink" Target="https://www.facebook.com/mel.lao.18" TargetMode="External"/><Relationship Id="rId5909" Type="http://schemas.openxmlformats.org/officeDocument/2006/relationships/hyperlink" Target="https://www.facebook.com/rapplerdotcom/photos/a.317154781638645/5594359700584767/" TargetMode="External"/><Relationship Id="rId5907" Type="http://schemas.openxmlformats.org/officeDocument/2006/relationships/hyperlink" Target="https://www.facebook.com/rapplerdotcom/photos/a.317154781638645/5594359700584767/" TargetMode="External"/><Relationship Id="rId5908" Type="http://schemas.openxmlformats.org/officeDocument/2006/relationships/hyperlink" Target="https://www.facebook.com/neilyuchan" TargetMode="External"/><Relationship Id="rId2027" Type="http://schemas.openxmlformats.org/officeDocument/2006/relationships/hyperlink" Target="https://www.facebook.com/rossanau" TargetMode="External"/><Relationship Id="rId3359" Type="http://schemas.openxmlformats.org/officeDocument/2006/relationships/hyperlink" Target="https://www.facebook.com/belen.bosea" TargetMode="External"/><Relationship Id="rId2028" Type="http://schemas.openxmlformats.org/officeDocument/2006/relationships/hyperlink" Target="https://www.facebook.com/rapplerdotcom/photos/a.317154781638645/5596022273751843/" TargetMode="External"/><Relationship Id="rId3358" Type="http://schemas.openxmlformats.org/officeDocument/2006/relationships/hyperlink" Target="https://www.facebook.com/rapplerdotcom/photos/a.317154781638645/5595372260483511/" TargetMode="External"/><Relationship Id="rId4689" Type="http://schemas.openxmlformats.org/officeDocument/2006/relationships/hyperlink" Target="https://www.facebook.com/watch/live/?ref=watch_permalink&amp;v=923735834984653" TargetMode="External"/><Relationship Id="rId2029" Type="http://schemas.openxmlformats.org/officeDocument/2006/relationships/hyperlink" Target="https://www.facebook.com/budsky.pabalinas" TargetMode="External"/><Relationship Id="rId107" Type="http://schemas.openxmlformats.org/officeDocument/2006/relationships/hyperlink" Target="https://www.facebook.com/profile.php?id=100009426127646" TargetMode="External"/><Relationship Id="rId106" Type="http://schemas.openxmlformats.org/officeDocument/2006/relationships/hyperlink" Target="https://www.facebook.com/rapplerdotcom/posts/pfbid0DUh4iFcrxZuR1UbiGhcAHcMdzsaV29GSeHCY1HabtqcnUWkjStX9TDaVqzzt92GDl" TargetMode="External"/><Relationship Id="rId105" Type="http://schemas.openxmlformats.org/officeDocument/2006/relationships/hyperlink" Target="https://www.facebook.com/alvin.quibilan" TargetMode="External"/><Relationship Id="rId104" Type="http://schemas.openxmlformats.org/officeDocument/2006/relationships/hyperlink" Target="https://www.facebook.com/rapplerdotcom/posts/pfbid0DUh4iFcrxZuR1UbiGhcAHcMdzsaV29GSeHCY1HabtqcnUWkjStX9TDaVqzzt92GDl" TargetMode="External"/><Relationship Id="rId109" Type="http://schemas.openxmlformats.org/officeDocument/2006/relationships/hyperlink" Target="https://www.facebook.com/charisse.martinezcomoda" TargetMode="External"/><Relationship Id="rId4680" Type="http://schemas.openxmlformats.org/officeDocument/2006/relationships/hyperlink" Target="https://www.facebook.com/bambina.cruz.5" TargetMode="External"/><Relationship Id="rId108" Type="http://schemas.openxmlformats.org/officeDocument/2006/relationships/hyperlink" Target="https://www.facebook.com/rapplerdotcom/posts/pfbid0DUh4iFcrxZuR1UbiGhcAHcMdzsaV29GSeHCY1HabtqcnUWkjStX9TDaVqzzt92GDl" TargetMode="External"/><Relationship Id="rId3351" Type="http://schemas.openxmlformats.org/officeDocument/2006/relationships/hyperlink" Target="https://www.facebook.com/julio.quian" TargetMode="External"/><Relationship Id="rId4682" Type="http://schemas.openxmlformats.org/officeDocument/2006/relationships/hyperlink" Target="https://www.facebook.com/ding.lunar.9" TargetMode="External"/><Relationship Id="rId2020" Type="http://schemas.openxmlformats.org/officeDocument/2006/relationships/hyperlink" Target="https://www.facebook.com/rapplerdotcom/photos/a.317154781638645/5596022273751843/" TargetMode="External"/><Relationship Id="rId3350" Type="http://schemas.openxmlformats.org/officeDocument/2006/relationships/hyperlink" Target="https://www.facebook.com/rapplerdotcom/photos/a.317154781638645/5595372260483511/" TargetMode="External"/><Relationship Id="rId4681" Type="http://schemas.openxmlformats.org/officeDocument/2006/relationships/hyperlink" Target="https://www.facebook.com/watch/live/?ref=watch_permalink&amp;v=923735834984653" TargetMode="External"/><Relationship Id="rId2021" Type="http://schemas.openxmlformats.org/officeDocument/2006/relationships/hyperlink" Target="https://www.facebook.com/ninotchka.rosca" TargetMode="External"/><Relationship Id="rId3353" Type="http://schemas.openxmlformats.org/officeDocument/2006/relationships/hyperlink" Target="https://www.facebook.com/BabymetalxDesu" TargetMode="External"/><Relationship Id="rId4684" Type="http://schemas.openxmlformats.org/officeDocument/2006/relationships/hyperlink" Target="https://www.facebook.com/ding.lunar.9" TargetMode="External"/><Relationship Id="rId2022" Type="http://schemas.openxmlformats.org/officeDocument/2006/relationships/hyperlink" Target="https://www.facebook.com/rapplerdotcom/photos/a.317154781638645/5596022273751843/" TargetMode="External"/><Relationship Id="rId3352" Type="http://schemas.openxmlformats.org/officeDocument/2006/relationships/hyperlink" Target="https://www.facebook.com/rapplerdotcom/photos/a.317154781638645/5595372260483511/" TargetMode="External"/><Relationship Id="rId4683" Type="http://schemas.openxmlformats.org/officeDocument/2006/relationships/hyperlink" Target="https://www.facebook.com/watch/live/?ref=watch_permalink&amp;v=923735834984653" TargetMode="External"/><Relationship Id="rId103" Type="http://schemas.openxmlformats.org/officeDocument/2006/relationships/hyperlink" Target="https://www.facebook.com/akr.bebelynpond" TargetMode="External"/><Relationship Id="rId2023" Type="http://schemas.openxmlformats.org/officeDocument/2006/relationships/hyperlink" Target="https://www.facebook.com/ninotchka.rosca" TargetMode="External"/><Relationship Id="rId3355" Type="http://schemas.openxmlformats.org/officeDocument/2006/relationships/hyperlink" Target="https://www.facebook.com/kir.aguilar.cabasaan" TargetMode="External"/><Relationship Id="rId4686" Type="http://schemas.openxmlformats.org/officeDocument/2006/relationships/hyperlink" Target="https://www.facebook.com/diego.bakulaw" TargetMode="External"/><Relationship Id="rId102" Type="http://schemas.openxmlformats.org/officeDocument/2006/relationships/hyperlink" Target="https://www.facebook.com/rapplerdotcom/posts/pfbid0DUh4iFcrxZuR1UbiGhcAHcMdzsaV29GSeHCY1HabtqcnUWkjStX9TDaVqzzt92GDl" TargetMode="External"/><Relationship Id="rId2024" Type="http://schemas.openxmlformats.org/officeDocument/2006/relationships/hyperlink" Target="https://www.facebook.com/rapplerdotcom/photos/a.317154781638645/5596022273751843/" TargetMode="External"/><Relationship Id="rId3354" Type="http://schemas.openxmlformats.org/officeDocument/2006/relationships/hyperlink" Target="https://www.facebook.com/rapplerdotcom/photos/a.317154781638645/5595372260483511/" TargetMode="External"/><Relationship Id="rId4685" Type="http://schemas.openxmlformats.org/officeDocument/2006/relationships/hyperlink" Target="https://www.facebook.com/watch/live/?ref=watch_permalink&amp;v=923735834984653" TargetMode="External"/><Relationship Id="rId101" Type="http://schemas.openxmlformats.org/officeDocument/2006/relationships/hyperlink" Target="https://www.facebook.com/profile.php?id=100069548558481" TargetMode="External"/><Relationship Id="rId2025" Type="http://schemas.openxmlformats.org/officeDocument/2006/relationships/hyperlink" Target="https://www.facebook.com/katrina.bay.18" TargetMode="External"/><Relationship Id="rId3357" Type="http://schemas.openxmlformats.org/officeDocument/2006/relationships/hyperlink" Target="https://www.facebook.com/fcyrylguray07" TargetMode="External"/><Relationship Id="rId4688" Type="http://schemas.openxmlformats.org/officeDocument/2006/relationships/hyperlink" Target="https://www.facebook.com/choba.dunato" TargetMode="External"/><Relationship Id="rId100" Type="http://schemas.openxmlformats.org/officeDocument/2006/relationships/hyperlink" Target="https://www.facebook.com/rapplerdotcom/posts/pfbid0DUh4iFcrxZuR1UbiGhcAHcMdzsaV29GSeHCY1HabtqcnUWkjStX9TDaVqzzt92GDl" TargetMode="External"/><Relationship Id="rId2026" Type="http://schemas.openxmlformats.org/officeDocument/2006/relationships/hyperlink" Target="https://www.facebook.com/rapplerdotcom/photos/a.317154781638645/5596022273751843/" TargetMode="External"/><Relationship Id="rId3356" Type="http://schemas.openxmlformats.org/officeDocument/2006/relationships/hyperlink" Target="https://www.facebook.com/rapplerdotcom/photos/a.317154781638645/5595372260483511/" TargetMode="External"/><Relationship Id="rId4687" Type="http://schemas.openxmlformats.org/officeDocument/2006/relationships/hyperlink" Target="https://www.facebook.com/watch/live/?ref=watch_permalink&amp;v=923735834984653" TargetMode="External"/><Relationship Id="rId2016" Type="http://schemas.openxmlformats.org/officeDocument/2006/relationships/hyperlink" Target="https://www.facebook.com/rapplerdotcom/photos/a.317154781638645/5596022273751843/" TargetMode="External"/><Relationship Id="rId3348" Type="http://schemas.openxmlformats.org/officeDocument/2006/relationships/hyperlink" Target="https://www.facebook.com/rapplerdotcom/photos/a.317154781638645/5595372260483511/" TargetMode="External"/><Relationship Id="rId4679" Type="http://schemas.openxmlformats.org/officeDocument/2006/relationships/hyperlink" Target="https://www.facebook.com/watch/live/?ref=watch_permalink&amp;v=923735834984653" TargetMode="External"/><Relationship Id="rId2017" Type="http://schemas.openxmlformats.org/officeDocument/2006/relationships/hyperlink" Target="https://www.facebook.com/evelyn.olivares.7505" TargetMode="External"/><Relationship Id="rId3347" Type="http://schemas.openxmlformats.org/officeDocument/2006/relationships/hyperlink" Target="https://www.facebook.com/jessvillante" TargetMode="External"/><Relationship Id="rId4678" Type="http://schemas.openxmlformats.org/officeDocument/2006/relationships/hyperlink" Target="https://www.facebook.com/choba.dunato" TargetMode="External"/><Relationship Id="rId2018" Type="http://schemas.openxmlformats.org/officeDocument/2006/relationships/hyperlink" Target="https://www.facebook.com/rapplerdotcom/photos/a.317154781638645/5596022273751843/" TargetMode="External"/><Relationship Id="rId2019" Type="http://schemas.openxmlformats.org/officeDocument/2006/relationships/hyperlink" Target="https://www.facebook.com/aimhigh06" TargetMode="External"/><Relationship Id="rId3349" Type="http://schemas.openxmlformats.org/officeDocument/2006/relationships/hyperlink" Target="https://www.facebook.com/paulpatrick.sapaden" TargetMode="External"/><Relationship Id="rId3340" Type="http://schemas.openxmlformats.org/officeDocument/2006/relationships/hyperlink" Target="https://www.facebook.com/rapplerdotcom/photos/a.317154781638645/5595372260483511/" TargetMode="External"/><Relationship Id="rId4671" Type="http://schemas.openxmlformats.org/officeDocument/2006/relationships/hyperlink" Target="https://www.facebook.com/watch/live/?ref=watch_permalink&amp;v=923735834984653" TargetMode="External"/><Relationship Id="rId4670" Type="http://schemas.openxmlformats.org/officeDocument/2006/relationships/hyperlink" Target="https://www.facebook.com/grcvldmr" TargetMode="External"/><Relationship Id="rId2010" Type="http://schemas.openxmlformats.org/officeDocument/2006/relationships/hyperlink" Target="https://www.facebook.com/rapplerdotcom/photos/a.317154781638645/5596022273751843/" TargetMode="External"/><Relationship Id="rId3342" Type="http://schemas.openxmlformats.org/officeDocument/2006/relationships/hyperlink" Target="https://www.facebook.com/rapplerdotcom/photos/a.317154781638645/5595372260483511/" TargetMode="External"/><Relationship Id="rId4673" Type="http://schemas.openxmlformats.org/officeDocument/2006/relationships/hyperlink" Target="https://www.facebook.com/watch/live/?ref=watch_permalink&amp;v=923735834984653" TargetMode="External"/><Relationship Id="rId2011" Type="http://schemas.openxmlformats.org/officeDocument/2006/relationships/hyperlink" Target="https://www.facebook.com/jico.trancuet" TargetMode="External"/><Relationship Id="rId3341" Type="http://schemas.openxmlformats.org/officeDocument/2006/relationships/hyperlink" Target="https://www.facebook.com/ate.rose.73" TargetMode="External"/><Relationship Id="rId4672" Type="http://schemas.openxmlformats.org/officeDocument/2006/relationships/hyperlink" Target="https://www.facebook.com/ferrer.eva" TargetMode="External"/><Relationship Id="rId2012" Type="http://schemas.openxmlformats.org/officeDocument/2006/relationships/hyperlink" Target="https://www.facebook.com/rapplerdotcom/photos/a.317154781638645/5596022273751843/" TargetMode="External"/><Relationship Id="rId3344" Type="http://schemas.openxmlformats.org/officeDocument/2006/relationships/hyperlink" Target="https://www.facebook.com/rapplerdotcom/photos/a.317154781638645/5595372260483511/" TargetMode="External"/><Relationship Id="rId4675" Type="http://schemas.openxmlformats.org/officeDocument/2006/relationships/hyperlink" Target="https://www.facebook.com/watch/live/?ref=watch_permalink&amp;v=923735834984653" TargetMode="External"/><Relationship Id="rId2013" Type="http://schemas.openxmlformats.org/officeDocument/2006/relationships/hyperlink" Target="https://www.facebook.com/nolie.mantaring" TargetMode="External"/><Relationship Id="rId3343" Type="http://schemas.openxmlformats.org/officeDocument/2006/relationships/hyperlink" Target="https://www.facebook.com/markvincent.almanzor" TargetMode="External"/><Relationship Id="rId4674" Type="http://schemas.openxmlformats.org/officeDocument/2006/relationships/hyperlink" Target="https://www.facebook.com/profile.php?id=100055630160451" TargetMode="External"/><Relationship Id="rId2014" Type="http://schemas.openxmlformats.org/officeDocument/2006/relationships/hyperlink" Target="https://www.facebook.com/rapplerdotcom/photos/a.317154781638645/5596022273751843/" TargetMode="External"/><Relationship Id="rId3346" Type="http://schemas.openxmlformats.org/officeDocument/2006/relationships/hyperlink" Target="https://www.facebook.com/rapplerdotcom/photos/a.317154781638645/5595372260483511/" TargetMode="External"/><Relationship Id="rId4677" Type="http://schemas.openxmlformats.org/officeDocument/2006/relationships/hyperlink" Target="https://www.facebook.com/watch/live/?ref=watch_permalink&amp;v=923735834984653" TargetMode="External"/><Relationship Id="rId2015" Type="http://schemas.openxmlformats.org/officeDocument/2006/relationships/hyperlink" Target="https://www.facebook.com/lorna.felipe.1694" TargetMode="External"/><Relationship Id="rId3345" Type="http://schemas.openxmlformats.org/officeDocument/2006/relationships/hyperlink" Target="https://www.facebook.com/junior.pontongan" TargetMode="External"/><Relationship Id="rId4676" Type="http://schemas.openxmlformats.org/officeDocument/2006/relationships/hyperlink" Target="https://www.facebook.com/lodi.malupet.79" TargetMode="External"/><Relationship Id="rId2049" Type="http://schemas.openxmlformats.org/officeDocument/2006/relationships/hyperlink" Target="https://www.facebook.com/profile.php?id=100078772872933" TargetMode="External"/><Relationship Id="rId129" Type="http://schemas.openxmlformats.org/officeDocument/2006/relationships/hyperlink" Target="https://www.facebook.com/orni.dman" TargetMode="External"/><Relationship Id="rId128" Type="http://schemas.openxmlformats.org/officeDocument/2006/relationships/hyperlink" Target="https://www.facebook.com/rapplerdotcom/posts/pfbid0DUh4iFcrxZuR1UbiGhcAHcMdzsaV29GSeHCY1HabtqcnUWkjStX9TDaVqzzt92GDl" TargetMode="External"/><Relationship Id="rId127" Type="http://schemas.openxmlformats.org/officeDocument/2006/relationships/hyperlink" Target="https://www.facebook.com/darwin.garcia.355" TargetMode="External"/><Relationship Id="rId126" Type="http://schemas.openxmlformats.org/officeDocument/2006/relationships/hyperlink" Target="https://www.facebook.com/rapplerdotcom/posts/pfbid0DUh4iFcrxZuR1UbiGhcAHcMdzsaV29GSeHCY1HabtqcnUWkjStX9TDaVqzzt92GDl" TargetMode="External"/><Relationship Id="rId3371" Type="http://schemas.openxmlformats.org/officeDocument/2006/relationships/hyperlink" Target="https://www.facebook.com/loreta.ardaban.3" TargetMode="External"/><Relationship Id="rId2040" Type="http://schemas.openxmlformats.org/officeDocument/2006/relationships/hyperlink" Target="https://www.facebook.com/rapplerdotcom/photos/a.317154781638645/5596022273751843/" TargetMode="External"/><Relationship Id="rId3370" Type="http://schemas.openxmlformats.org/officeDocument/2006/relationships/hyperlink" Target="https://www.facebook.com/rapplerdotcom/photos/a.317154781638645/5595372260483511/" TargetMode="External"/><Relationship Id="rId121" Type="http://schemas.openxmlformats.org/officeDocument/2006/relationships/hyperlink" Target="https://www.facebook.com/profile.php?id=100007060997576" TargetMode="External"/><Relationship Id="rId2041" Type="http://schemas.openxmlformats.org/officeDocument/2006/relationships/hyperlink" Target="https://www.facebook.com/henry.so09" TargetMode="External"/><Relationship Id="rId3373" Type="http://schemas.openxmlformats.org/officeDocument/2006/relationships/hyperlink" Target="https://www.facebook.com/profile.php?id=100076940169855" TargetMode="External"/><Relationship Id="rId120" Type="http://schemas.openxmlformats.org/officeDocument/2006/relationships/hyperlink" Target="https://www.facebook.com/rapplerdotcom/posts/pfbid0DUh4iFcrxZuR1UbiGhcAHcMdzsaV29GSeHCY1HabtqcnUWkjStX9TDaVqzzt92GDl" TargetMode="External"/><Relationship Id="rId2042" Type="http://schemas.openxmlformats.org/officeDocument/2006/relationships/hyperlink" Target="https://www.facebook.com/rapplerdotcom/photos/a.317154781638645/5596022273751843/" TargetMode="External"/><Relationship Id="rId3372" Type="http://schemas.openxmlformats.org/officeDocument/2006/relationships/hyperlink" Target="https://www.facebook.com/rapplerdotcom/photos/a.317154781638645/5595372260483511/" TargetMode="External"/><Relationship Id="rId2043" Type="http://schemas.openxmlformats.org/officeDocument/2006/relationships/hyperlink" Target="https://www.facebook.com/micdyguevarra" TargetMode="External"/><Relationship Id="rId3375" Type="http://schemas.openxmlformats.org/officeDocument/2006/relationships/hyperlink" Target="https://www.facebook.com/dez.delmundosamson" TargetMode="External"/><Relationship Id="rId2044" Type="http://schemas.openxmlformats.org/officeDocument/2006/relationships/hyperlink" Target="https://www.facebook.com/rapplerdotcom/photos/a.317154781638645/5596022273751843/" TargetMode="External"/><Relationship Id="rId3374" Type="http://schemas.openxmlformats.org/officeDocument/2006/relationships/hyperlink" Target="https://www.facebook.com/rapplerdotcom/photos/a.317154781638645/5595372260483511/" TargetMode="External"/><Relationship Id="rId125" Type="http://schemas.openxmlformats.org/officeDocument/2006/relationships/hyperlink" Target="https://www.facebook.com/emilmendezjr" TargetMode="External"/><Relationship Id="rId2045" Type="http://schemas.openxmlformats.org/officeDocument/2006/relationships/hyperlink" Target="https://www.facebook.com/arlene.buela.9" TargetMode="External"/><Relationship Id="rId3377" Type="http://schemas.openxmlformats.org/officeDocument/2006/relationships/hyperlink" Target="https://www.facebook.com/rapkarl04" TargetMode="External"/><Relationship Id="rId124" Type="http://schemas.openxmlformats.org/officeDocument/2006/relationships/hyperlink" Target="https://www.facebook.com/rapplerdotcom/posts/pfbid0DUh4iFcrxZuR1UbiGhcAHcMdzsaV29GSeHCY1HabtqcnUWkjStX9TDaVqzzt92GDl" TargetMode="External"/><Relationship Id="rId2046" Type="http://schemas.openxmlformats.org/officeDocument/2006/relationships/hyperlink" Target="https://www.facebook.com/rapplerdotcom/photos/a.317154781638645/5596022273751843/" TargetMode="External"/><Relationship Id="rId3376" Type="http://schemas.openxmlformats.org/officeDocument/2006/relationships/hyperlink" Target="https://www.facebook.com/rapplerdotcom/photos/a.317154781638645/5595372260483511/" TargetMode="External"/><Relationship Id="rId123" Type="http://schemas.openxmlformats.org/officeDocument/2006/relationships/hyperlink" Target="https://www.facebook.com/naning.palajorin" TargetMode="External"/><Relationship Id="rId2047" Type="http://schemas.openxmlformats.org/officeDocument/2006/relationships/hyperlink" Target="https://www.facebook.com/jamesruba777" TargetMode="External"/><Relationship Id="rId3379" Type="http://schemas.openxmlformats.org/officeDocument/2006/relationships/hyperlink" Target="https://www.facebook.com/eduardo.m.lombo" TargetMode="External"/><Relationship Id="rId122" Type="http://schemas.openxmlformats.org/officeDocument/2006/relationships/hyperlink" Target="https://www.facebook.com/rapplerdotcom/posts/pfbid0DUh4iFcrxZuR1UbiGhcAHcMdzsaV29GSeHCY1HabtqcnUWkjStX9TDaVqzzt92GDl" TargetMode="External"/><Relationship Id="rId2048" Type="http://schemas.openxmlformats.org/officeDocument/2006/relationships/hyperlink" Target="https://www.facebook.com/rapplerdotcom/photos/a.317154781638645/5596022273751843/" TargetMode="External"/><Relationship Id="rId3378" Type="http://schemas.openxmlformats.org/officeDocument/2006/relationships/hyperlink" Target="https://www.facebook.com/rapplerdotcom/photos/a.317154781638645/5595372260483511/" TargetMode="External"/><Relationship Id="rId2038" Type="http://schemas.openxmlformats.org/officeDocument/2006/relationships/hyperlink" Target="https://www.facebook.com/rapplerdotcom/photos/a.317154781638645/5596022273751843/" TargetMode="External"/><Relationship Id="rId2039" Type="http://schemas.openxmlformats.org/officeDocument/2006/relationships/hyperlink" Target="https://www.facebook.com/sam.banaan.7" TargetMode="External"/><Relationship Id="rId3369" Type="http://schemas.openxmlformats.org/officeDocument/2006/relationships/hyperlink" Target="https://www.facebook.com/ledecia.sendayen.3" TargetMode="External"/><Relationship Id="rId118" Type="http://schemas.openxmlformats.org/officeDocument/2006/relationships/hyperlink" Target="https://www.facebook.com/rapplerdotcom/posts/pfbid0DUh4iFcrxZuR1UbiGhcAHcMdzsaV29GSeHCY1HabtqcnUWkjStX9TDaVqzzt92GDl" TargetMode="External"/><Relationship Id="rId117" Type="http://schemas.openxmlformats.org/officeDocument/2006/relationships/hyperlink" Target="https://www.facebook.com/akcelrose.marinas" TargetMode="External"/><Relationship Id="rId116" Type="http://schemas.openxmlformats.org/officeDocument/2006/relationships/hyperlink" Target="https://www.facebook.com/rapplerdotcom/posts/pfbid0DUh4iFcrxZuR1UbiGhcAHcMdzsaV29GSeHCY1HabtqcnUWkjStX9TDaVqzzt92GDl" TargetMode="External"/><Relationship Id="rId115" Type="http://schemas.openxmlformats.org/officeDocument/2006/relationships/hyperlink" Target="https://www.facebook.com/profile.php?id=100078745816266" TargetMode="External"/><Relationship Id="rId3360" Type="http://schemas.openxmlformats.org/officeDocument/2006/relationships/hyperlink" Target="https://www.facebook.com/rapplerdotcom/photos/a.317154781638645/5595372260483511/" TargetMode="External"/><Relationship Id="rId4691" Type="http://schemas.openxmlformats.org/officeDocument/2006/relationships/hyperlink" Target="https://www.facebook.com/watch/live/?ref=watch_permalink&amp;v=923735834984653" TargetMode="External"/><Relationship Id="rId119" Type="http://schemas.openxmlformats.org/officeDocument/2006/relationships/hyperlink" Target="https://www.facebook.com/don.salabay" TargetMode="External"/><Relationship Id="rId4690" Type="http://schemas.openxmlformats.org/officeDocument/2006/relationships/hyperlink" Target="https://www.facebook.com/barry.ciloy.1" TargetMode="External"/><Relationship Id="rId110" Type="http://schemas.openxmlformats.org/officeDocument/2006/relationships/hyperlink" Target="https://www.facebook.com/rapplerdotcom/posts/pfbid0DUh4iFcrxZuR1UbiGhcAHcMdzsaV29GSeHCY1HabtqcnUWkjStX9TDaVqzzt92GDl" TargetMode="External"/><Relationship Id="rId2030" Type="http://schemas.openxmlformats.org/officeDocument/2006/relationships/hyperlink" Target="https://www.facebook.com/rapplerdotcom/photos/a.317154781638645/5596022273751843/" TargetMode="External"/><Relationship Id="rId3362" Type="http://schemas.openxmlformats.org/officeDocument/2006/relationships/hyperlink" Target="https://www.facebook.com/rapplerdotcom/photos/a.317154781638645/5595372260483511/" TargetMode="External"/><Relationship Id="rId4693" Type="http://schemas.openxmlformats.org/officeDocument/2006/relationships/hyperlink" Target="https://www.facebook.com/watch/live/?ref=watch_permalink&amp;v=923735834984653" TargetMode="External"/><Relationship Id="rId2031" Type="http://schemas.openxmlformats.org/officeDocument/2006/relationships/hyperlink" Target="https://www.facebook.com/brixaaron.monton.18" TargetMode="External"/><Relationship Id="rId3361" Type="http://schemas.openxmlformats.org/officeDocument/2006/relationships/hyperlink" Target="https://www.facebook.com/nilo.asas" TargetMode="External"/><Relationship Id="rId4692" Type="http://schemas.openxmlformats.org/officeDocument/2006/relationships/hyperlink" Target="https://www.facebook.com/salvie.maris.5" TargetMode="External"/><Relationship Id="rId2032" Type="http://schemas.openxmlformats.org/officeDocument/2006/relationships/hyperlink" Target="https://www.facebook.com/rapplerdotcom/photos/a.317154781638645/5596022273751843/" TargetMode="External"/><Relationship Id="rId3364" Type="http://schemas.openxmlformats.org/officeDocument/2006/relationships/hyperlink" Target="https://www.facebook.com/rapplerdotcom/photos/a.317154781638645/5595372260483511/" TargetMode="External"/><Relationship Id="rId4695" Type="http://schemas.openxmlformats.org/officeDocument/2006/relationships/hyperlink" Target="https://www.facebook.com/watch/live/?ref=watch_permalink&amp;v=923735834984653" TargetMode="External"/><Relationship Id="rId2033" Type="http://schemas.openxmlformats.org/officeDocument/2006/relationships/hyperlink" Target="https://www.facebook.com/brixaaron.monton.18" TargetMode="External"/><Relationship Id="rId3363" Type="http://schemas.openxmlformats.org/officeDocument/2006/relationships/hyperlink" Target="https://www.facebook.com/cyluh" TargetMode="External"/><Relationship Id="rId4694" Type="http://schemas.openxmlformats.org/officeDocument/2006/relationships/hyperlink" Target="https://www.facebook.com/ben.balois.1" TargetMode="External"/><Relationship Id="rId114" Type="http://schemas.openxmlformats.org/officeDocument/2006/relationships/hyperlink" Target="https://www.facebook.com/rapplerdotcom/posts/pfbid0DUh4iFcrxZuR1UbiGhcAHcMdzsaV29GSeHCY1HabtqcnUWkjStX9TDaVqzzt92GDl" TargetMode="External"/><Relationship Id="rId2034" Type="http://schemas.openxmlformats.org/officeDocument/2006/relationships/hyperlink" Target="https://www.facebook.com/rapplerdotcom/photos/a.317154781638645/5596022273751843/" TargetMode="External"/><Relationship Id="rId3366" Type="http://schemas.openxmlformats.org/officeDocument/2006/relationships/hyperlink" Target="https://www.facebook.com/rapplerdotcom/photos/a.317154781638645/5595372260483511/" TargetMode="External"/><Relationship Id="rId4697" Type="http://schemas.openxmlformats.org/officeDocument/2006/relationships/hyperlink" Target="https://www.facebook.com/watch/live/?ref=watch_permalink&amp;v=923735834984653" TargetMode="External"/><Relationship Id="rId113" Type="http://schemas.openxmlformats.org/officeDocument/2006/relationships/hyperlink" Target="https://www.facebook.com/charisse.martinezcomoda" TargetMode="External"/><Relationship Id="rId2035" Type="http://schemas.openxmlformats.org/officeDocument/2006/relationships/hyperlink" Target="https://www.facebook.com/profile.php?id=100064286552498" TargetMode="External"/><Relationship Id="rId3365" Type="http://schemas.openxmlformats.org/officeDocument/2006/relationships/hyperlink" Target="https://www.facebook.com/VictoriaLPoblete" TargetMode="External"/><Relationship Id="rId4696" Type="http://schemas.openxmlformats.org/officeDocument/2006/relationships/hyperlink" Target="https://www.facebook.com/annabelle.ventus" TargetMode="External"/><Relationship Id="rId112" Type="http://schemas.openxmlformats.org/officeDocument/2006/relationships/hyperlink" Target="https://www.facebook.com/rapplerdotcom/posts/pfbid0DUh4iFcrxZuR1UbiGhcAHcMdzsaV29GSeHCY1HabtqcnUWkjStX9TDaVqzzt92GDl" TargetMode="External"/><Relationship Id="rId2036" Type="http://schemas.openxmlformats.org/officeDocument/2006/relationships/hyperlink" Target="https://www.facebook.com/rapplerdotcom/photos/a.317154781638645/5596022273751843/" TargetMode="External"/><Relationship Id="rId3368" Type="http://schemas.openxmlformats.org/officeDocument/2006/relationships/hyperlink" Target="https://www.facebook.com/rapplerdotcom/photos/a.317154781638645/5595372260483511/" TargetMode="External"/><Relationship Id="rId4699" Type="http://schemas.openxmlformats.org/officeDocument/2006/relationships/hyperlink" Target="https://www.facebook.com/watch/live/?ref=watch_permalink&amp;v=923735834984653" TargetMode="External"/><Relationship Id="rId111" Type="http://schemas.openxmlformats.org/officeDocument/2006/relationships/hyperlink" Target="https://www.facebook.com/juanito.espiritu.16" TargetMode="External"/><Relationship Id="rId2037" Type="http://schemas.openxmlformats.org/officeDocument/2006/relationships/hyperlink" Target="https://www.facebook.com/susan.vitug.9480" TargetMode="External"/><Relationship Id="rId3367" Type="http://schemas.openxmlformats.org/officeDocument/2006/relationships/hyperlink" Target="https://www.facebook.com/julio.quian" TargetMode="External"/><Relationship Id="rId4698" Type="http://schemas.openxmlformats.org/officeDocument/2006/relationships/hyperlink" Target="https://www.facebook.com/lhord.symphatico" TargetMode="External"/><Relationship Id="rId3315" Type="http://schemas.openxmlformats.org/officeDocument/2006/relationships/hyperlink" Target="https://www.facebook.com/profile.php?id=100009126387339" TargetMode="External"/><Relationship Id="rId4646" Type="http://schemas.openxmlformats.org/officeDocument/2006/relationships/hyperlink" Target="https://www.facebook.com/alhen.zafe" TargetMode="External"/><Relationship Id="rId5978" Type="http://schemas.openxmlformats.org/officeDocument/2006/relationships/hyperlink" Target="https://www.facebook.com/neil.torreon.7" TargetMode="External"/><Relationship Id="rId3314" Type="http://schemas.openxmlformats.org/officeDocument/2006/relationships/hyperlink" Target="https://www.facebook.com/rapplerdotcom/photos/a.317154781638645/5595372260483511/" TargetMode="External"/><Relationship Id="rId4645" Type="http://schemas.openxmlformats.org/officeDocument/2006/relationships/hyperlink" Target="https://www.facebook.com/watch/live/?ref=watch_permalink&amp;v=923735834984653" TargetMode="External"/><Relationship Id="rId5979" Type="http://schemas.openxmlformats.org/officeDocument/2006/relationships/hyperlink" Target="https://www.facebook.com/rapplerdotcom/photos/a.317154781638645/5594359700584767/" TargetMode="External"/><Relationship Id="rId3317" Type="http://schemas.openxmlformats.org/officeDocument/2006/relationships/hyperlink" Target="https://www.facebook.com/fides.ayuste" TargetMode="External"/><Relationship Id="rId4648" Type="http://schemas.openxmlformats.org/officeDocument/2006/relationships/hyperlink" Target="https://www.facebook.com/ricardo.cadiang" TargetMode="External"/><Relationship Id="rId5976" Type="http://schemas.openxmlformats.org/officeDocument/2006/relationships/hyperlink" Target="https://www.facebook.com/profile.php?id=1321814894" TargetMode="External"/><Relationship Id="rId3316" Type="http://schemas.openxmlformats.org/officeDocument/2006/relationships/hyperlink" Target="https://www.facebook.com/rapplerdotcom/photos/a.317154781638645/5595372260483511/" TargetMode="External"/><Relationship Id="rId4647" Type="http://schemas.openxmlformats.org/officeDocument/2006/relationships/hyperlink" Target="https://www.facebook.com/watch/live/?ref=watch_permalink&amp;v=923735834984653" TargetMode="External"/><Relationship Id="rId5977" Type="http://schemas.openxmlformats.org/officeDocument/2006/relationships/hyperlink" Target="https://www.facebook.com/rapplerdotcom/photos/a.317154781638645/5594359700584767/" TargetMode="External"/><Relationship Id="rId3319" Type="http://schemas.openxmlformats.org/officeDocument/2006/relationships/hyperlink" Target="https://www.facebook.com/lina.adlao.cayong" TargetMode="External"/><Relationship Id="rId3318" Type="http://schemas.openxmlformats.org/officeDocument/2006/relationships/hyperlink" Target="https://www.facebook.com/rapplerdotcom/photos/a.317154781638645/5595372260483511/" TargetMode="External"/><Relationship Id="rId4649" Type="http://schemas.openxmlformats.org/officeDocument/2006/relationships/hyperlink" Target="https://www.facebook.com/watch/live/?ref=watch_permalink&amp;v=923735834984653" TargetMode="External"/><Relationship Id="rId5970" Type="http://schemas.openxmlformats.org/officeDocument/2006/relationships/hyperlink" Target="https://www.facebook.com/mackoy.palang.7" TargetMode="External"/><Relationship Id="rId5971" Type="http://schemas.openxmlformats.org/officeDocument/2006/relationships/hyperlink" Target="https://www.facebook.com/rapplerdotcom/photos/a.317154781638645/5594359700584767/" TargetMode="External"/><Relationship Id="rId4640" Type="http://schemas.openxmlformats.org/officeDocument/2006/relationships/hyperlink" Target="https://www.facebook.com/menchie.delrosario" TargetMode="External"/><Relationship Id="rId3311" Type="http://schemas.openxmlformats.org/officeDocument/2006/relationships/hyperlink" Target="https://www.facebook.com/marvin.dequina.773" TargetMode="External"/><Relationship Id="rId4642" Type="http://schemas.openxmlformats.org/officeDocument/2006/relationships/hyperlink" Target="https://www.facebook.com/menchie.delrosario" TargetMode="External"/><Relationship Id="rId5974" Type="http://schemas.openxmlformats.org/officeDocument/2006/relationships/hyperlink" Target="https://www.facebook.com/efren.moral.10" TargetMode="External"/><Relationship Id="rId3310" Type="http://schemas.openxmlformats.org/officeDocument/2006/relationships/hyperlink" Target="https://www.facebook.com/rapplerdotcom/photos/a.317154781638645/5595372260483511/" TargetMode="External"/><Relationship Id="rId4641" Type="http://schemas.openxmlformats.org/officeDocument/2006/relationships/hyperlink" Target="https://www.facebook.com/watch/live/?ref=watch_permalink&amp;v=923735834984653" TargetMode="External"/><Relationship Id="rId5975" Type="http://schemas.openxmlformats.org/officeDocument/2006/relationships/hyperlink" Target="https://www.facebook.com/rapplerdotcom/photos/a.317154781638645/5594359700584767/" TargetMode="External"/><Relationship Id="rId3313" Type="http://schemas.openxmlformats.org/officeDocument/2006/relationships/hyperlink" Target="https://www.facebook.com/loreta.ardaban.3" TargetMode="External"/><Relationship Id="rId4644" Type="http://schemas.openxmlformats.org/officeDocument/2006/relationships/hyperlink" Target="https://www.facebook.com/michaeljhon.dulay.5" TargetMode="External"/><Relationship Id="rId5972" Type="http://schemas.openxmlformats.org/officeDocument/2006/relationships/hyperlink" Target="https://www.facebook.com/kobejacky.leoning.90" TargetMode="External"/><Relationship Id="rId3312" Type="http://schemas.openxmlformats.org/officeDocument/2006/relationships/hyperlink" Target="https://www.facebook.com/rapplerdotcom/photos/a.317154781638645/5595372260483511/" TargetMode="External"/><Relationship Id="rId4643" Type="http://schemas.openxmlformats.org/officeDocument/2006/relationships/hyperlink" Target="https://www.facebook.com/watch/live/?ref=watch_permalink&amp;v=923735834984653" TargetMode="External"/><Relationship Id="rId5973" Type="http://schemas.openxmlformats.org/officeDocument/2006/relationships/hyperlink" Target="https://www.facebook.com/rapplerdotcom/photos/a.317154781638645/5594359700584767/" TargetMode="External"/><Relationship Id="rId3304" Type="http://schemas.openxmlformats.org/officeDocument/2006/relationships/hyperlink" Target="https://www.facebook.com/rapplerdotcom/photos/a.317154781638645/5595372260483511/" TargetMode="External"/><Relationship Id="rId4635" Type="http://schemas.openxmlformats.org/officeDocument/2006/relationships/hyperlink" Target="https://www.facebook.com/watch/live/?ref=watch_permalink&amp;v=923735834984653" TargetMode="External"/><Relationship Id="rId5967" Type="http://schemas.openxmlformats.org/officeDocument/2006/relationships/hyperlink" Target="https://www.facebook.com/rapplerdotcom/photos/a.317154781638645/5594359700584767/" TargetMode="External"/><Relationship Id="rId3303" Type="http://schemas.openxmlformats.org/officeDocument/2006/relationships/hyperlink" Target="https://www.facebook.com/evette.ramos.79" TargetMode="External"/><Relationship Id="rId4634" Type="http://schemas.openxmlformats.org/officeDocument/2006/relationships/hyperlink" Target="https://www.facebook.com/profile.php?id=100012611887000" TargetMode="External"/><Relationship Id="rId5968" Type="http://schemas.openxmlformats.org/officeDocument/2006/relationships/hyperlink" Target="https://www.facebook.com/regie.basa.39" TargetMode="External"/><Relationship Id="rId3306" Type="http://schemas.openxmlformats.org/officeDocument/2006/relationships/hyperlink" Target="https://www.facebook.com/rapplerdotcom/photos/a.317154781638645/5595372260483511/" TargetMode="External"/><Relationship Id="rId4637" Type="http://schemas.openxmlformats.org/officeDocument/2006/relationships/hyperlink" Target="https://www.facebook.com/watch/live/?ref=watch_permalink&amp;v=923735834984653" TargetMode="External"/><Relationship Id="rId5965" Type="http://schemas.openxmlformats.org/officeDocument/2006/relationships/hyperlink" Target="https://www.facebook.com/rapplerdotcom/photos/a.317154781638645/5594359700584767/" TargetMode="External"/><Relationship Id="rId3305" Type="http://schemas.openxmlformats.org/officeDocument/2006/relationships/hyperlink" Target="https://www.facebook.com/adrian.nepomuceno.58" TargetMode="External"/><Relationship Id="rId4636" Type="http://schemas.openxmlformats.org/officeDocument/2006/relationships/hyperlink" Target="https://www.facebook.com/ricardo.cadiang" TargetMode="External"/><Relationship Id="rId5966" Type="http://schemas.openxmlformats.org/officeDocument/2006/relationships/hyperlink" Target="https://www.facebook.com/udtohansamuel" TargetMode="External"/><Relationship Id="rId3308" Type="http://schemas.openxmlformats.org/officeDocument/2006/relationships/hyperlink" Target="https://www.facebook.com/rapplerdotcom/photos/a.317154781638645/5595372260483511/" TargetMode="External"/><Relationship Id="rId4639" Type="http://schemas.openxmlformats.org/officeDocument/2006/relationships/hyperlink" Target="https://www.facebook.com/watch/live/?ref=watch_permalink&amp;v=923735834984653" TargetMode="External"/><Relationship Id="rId3307" Type="http://schemas.openxmlformats.org/officeDocument/2006/relationships/hyperlink" Target="https://www.facebook.com/adrian.nepomuceno.58" TargetMode="External"/><Relationship Id="rId4638" Type="http://schemas.openxmlformats.org/officeDocument/2006/relationships/hyperlink" Target="https://www.facebook.com/briggite.pineda.9" TargetMode="External"/><Relationship Id="rId5969" Type="http://schemas.openxmlformats.org/officeDocument/2006/relationships/hyperlink" Target="https://www.facebook.com/rapplerdotcom/photos/a.317154781638645/5594359700584767/" TargetMode="External"/><Relationship Id="rId3309" Type="http://schemas.openxmlformats.org/officeDocument/2006/relationships/hyperlink" Target="https://www.facebook.com/edwin.sapnu.7" TargetMode="External"/><Relationship Id="rId5960" Type="http://schemas.openxmlformats.org/officeDocument/2006/relationships/hyperlink" Target="https://www.facebook.com/profile.php?id=100008274437577" TargetMode="External"/><Relationship Id="rId3300" Type="http://schemas.openxmlformats.org/officeDocument/2006/relationships/hyperlink" Target="https://www.facebook.com/rapplerdotcom/photos/a.317154781638645/5595372260483511/" TargetMode="External"/><Relationship Id="rId4631" Type="http://schemas.openxmlformats.org/officeDocument/2006/relationships/hyperlink" Target="https://www.facebook.com/watch/live/?ref=watch_permalink&amp;v=923735834984653" TargetMode="External"/><Relationship Id="rId5963" Type="http://schemas.openxmlformats.org/officeDocument/2006/relationships/hyperlink" Target="https://www.facebook.com/rapplerdotcom/photos/a.317154781638645/5594359700584767/" TargetMode="External"/><Relationship Id="rId4630" Type="http://schemas.openxmlformats.org/officeDocument/2006/relationships/hyperlink" Target="https://www.facebook.com/ester.rodrigo.75" TargetMode="External"/><Relationship Id="rId5964" Type="http://schemas.openxmlformats.org/officeDocument/2006/relationships/hyperlink" Target="https://www.facebook.com/profile.php?id=100075205566420" TargetMode="External"/><Relationship Id="rId3302" Type="http://schemas.openxmlformats.org/officeDocument/2006/relationships/hyperlink" Target="https://www.facebook.com/rapplerdotcom/photos/a.317154781638645/5595372260483511/" TargetMode="External"/><Relationship Id="rId4633" Type="http://schemas.openxmlformats.org/officeDocument/2006/relationships/hyperlink" Target="https://www.facebook.com/watch/live/?ref=watch_permalink&amp;v=923735834984653" TargetMode="External"/><Relationship Id="rId5961" Type="http://schemas.openxmlformats.org/officeDocument/2006/relationships/hyperlink" Target="https://www.facebook.com/rapplerdotcom/photos/a.317154781638645/5594359700584767/" TargetMode="External"/><Relationship Id="rId3301" Type="http://schemas.openxmlformats.org/officeDocument/2006/relationships/hyperlink" Target="https://www.facebook.com/nel.almira.1" TargetMode="External"/><Relationship Id="rId4632" Type="http://schemas.openxmlformats.org/officeDocument/2006/relationships/hyperlink" Target="https://www.facebook.com/marcelyn.arcellano" TargetMode="External"/><Relationship Id="rId5962" Type="http://schemas.openxmlformats.org/officeDocument/2006/relationships/hyperlink" Target="https://www.facebook.com/manuel.cero.750" TargetMode="External"/><Relationship Id="rId2005" Type="http://schemas.openxmlformats.org/officeDocument/2006/relationships/hyperlink" Target="https://www.facebook.com/ronfrias" TargetMode="External"/><Relationship Id="rId3337" Type="http://schemas.openxmlformats.org/officeDocument/2006/relationships/hyperlink" Target="https://www.facebook.com/mariajesusa.menor" TargetMode="External"/><Relationship Id="rId4668" Type="http://schemas.openxmlformats.org/officeDocument/2006/relationships/hyperlink" Target="https://www.facebook.com/josephine.delavin.16" TargetMode="External"/><Relationship Id="rId2006" Type="http://schemas.openxmlformats.org/officeDocument/2006/relationships/hyperlink" Target="https://www.facebook.com/rapplerdotcom/photos/a.317154781638645/5596022273751843/" TargetMode="External"/><Relationship Id="rId3336" Type="http://schemas.openxmlformats.org/officeDocument/2006/relationships/hyperlink" Target="https://www.facebook.com/rapplerdotcom/photos/a.317154781638645/5595372260483511/" TargetMode="External"/><Relationship Id="rId4667" Type="http://schemas.openxmlformats.org/officeDocument/2006/relationships/hyperlink" Target="https://www.facebook.com/watch/live/?ref=watch_permalink&amp;v=923735834984653" TargetMode="External"/><Relationship Id="rId2007" Type="http://schemas.openxmlformats.org/officeDocument/2006/relationships/hyperlink" Target="https://www.facebook.com/sam.banaan.7" TargetMode="External"/><Relationship Id="rId3339" Type="http://schemas.openxmlformats.org/officeDocument/2006/relationships/hyperlink" Target="https://www.facebook.com/profile.php?id=100078458811413" TargetMode="External"/><Relationship Id="rId5998" Type="http://schemas.openxmlformats.org/officeDocument/2006/relationships/hyperlink" Target="https://www.facebook.com/mcdolawcarla" TargetMode="External"/><Relationship Id="rId2008" Type="http://schemas.openxmlformats.org/officeDocument/2006/relationships/hyperlink" Target="https://www.facebook.com/rapplerdotcom/photos/a.317154781638645/5596022273751843/" TargetMode="External"/><Relationship Id="rId3338" Type="http://schemas.openxmlformats.org/officeDocument/2006/relationships/hyperlink" Target="https://www.facebook.com/rapplerdotcom/photos/a.317154781638645/5595372260483511/" TargetMode="External"/><Relationship Id="rId4669" Type="http://schemas.openxmlformats.org/officeDocument/2006/relationships/hyperlink" Target="https://www.facebook.com/watch/live/?ref=watch_permalink&amp;v=923735834984653" TargetMode="External"/><Relationship Id="rId5999" Type="http://schemas.openxmlformats.org/officeDocument/2006/relationships/hyperlink" Target="https://www.facebook.com/rapplerdotcom/photos/a.317154781638645/5594359700584767/" TargetMode="External"/><Relationship Id="rId2009" Type="http://schemas.openxmlformats.org/officeDocument/2006/relationships/hyperlink" Target="https://www.facebook.com/gina.arjona" TargetMode="External"/><Relationship Id="rId4660" Type="http://schemas.openxmlformats.org/officeDocument/2006/relationships/hyperlink" Target="https://www.facebook.com/bhoyeth.domag.3" TargetMode="External"/><Relationship Id="rId5992" Type="http://schemas.openxmlformats.org/officeDocument/2006/relationships/hyperlink" Target="https://www.facebook.com/profile.php?id=100004150696757" TargetMode="External"/><Relationship Id="rId5993" Type="http://schemas.openxmlformats.org/officeDocument/2006/relationships/hyperlink" Target="https://www.facebook.com/rapplerdotcom/photos/a.317154781638645/5594359700584767/" TargetMode="External"/><Relationship Id="rId3331" Type="http://schemas.openxmlformats.org/officeDocument/2006/relationships/hyperlink" Target="https://www.facebook.com/junior.pontongan" TargetMode="External"/><Relationship Id="rId4662" Type="http://schemas.openxmlformats.org/officeDocument/2006/relationships/hyperlink" Target="https://www.facebook.com/jeric.irangan" TargetMode="External"/><Relationship Id="rId5990" Type="http://schemas.openxmlformats.org/officeDocument/2006/relationships/hyperlink" Target="https://www.facebook.com/profile.php?id=100070491889329" TargetMode="External"/><Relationship Id="rId2000" Type="http://schemas.openxmlformats.org/officeDocument/2006/relationships/hyperlink" Target="https://www.facebook.com/rapplerdotcom/photos/a.317154781638645/5596022273751843/" TargetMode="External"/><Relationship Id="rId3330" Type="http://schemas.openxmlformats.org/officeDocument/2006/relationships/hyperlink" Target="https://www.facebook.com/rapplerdotcom/photos/a.317154781638645/5595372260483511/" TargetMode="External"/><Relationship Id="rId4661" Type="http://schemas.openxmlformats.org/officeDocument/2006/relationships/hyperlink" Target="https://www.facebook.com/watch/live/?ref=watch_permalink&amp;v=923735834984653" TargetMode="External"/><Relationship Id="rId5991" Type="http://schemas.openxmlformats.org/officeDocument/2006/relationships/hyperlink" Target="https://www.facebook.com/rapplerdotcom/photos/a.317154781638645/5594359700584767/" TargetMode="External"/><Relationship Id="rId2001" Type="http://schemas.openxmlformats.org/officeDocument/2006/relationships/hyperlink" Target="https://www.facebook.com/maryjonesoledad.gonzaga" TargetMode="External"/><Relationship Id="rId3333" Type="http://schemas.openxmlformats.org/officeDocument/2006/relationships/hyperlink" Target="https://www.facebook.com/mariajesusa.menor" TargetMode="External"/><Relationship Id="rId4664" Type="http://schemas.openxmlformats.org/officeDocument/2006/relationships/hyperlink" Target="https://www.facebook.com/panny.valles" TargetMode="External"/><Relationship Id="rId5996" Type="http://schemas.openxmlformats.org/officeDocument/2006/relationships/hyperlink" Target="https://www.facebook.com/emman.bantad" TargetMode="External"/><Relationship Id="rId2002" Type="http://schemas.openxmlformats.org/officeDocument/2006/relationships/hyperlink" Target="https://www.facebook.com/rapplerdotcom/photos/a.317154781638645/5596022273751843/" TargetMode="External"/><Relationship Id="rId3332" Type="http://schemas.openxmlformats.org/officeDocument/2006/relationships/hyperlink" Target="https://www.facebook.com/rapplerdotcom/photos/a.317154781638645/5595372260483511/" TargetMode="External"/><Relationship Id="rId4663" Type="http://schemas.openxmlformats.org/officeDocument/2006/relationships/hyperlink" Target="https://www.facebook.com/watch/live/?ref=watch_permalink&amp;v=923735834984653" TargetMode="External"/><Relationship Id="rId5997" Type="http://schemas.openxmlformats.org/officeDocument/2006/relationships/hyperlink" Target="https://www.facebook.com/rapplerdotcom/photos/a.317154781638645/5594359700584767/" TargetMode="External"/><Relationship Id="rId2003" Type="http://schemas.openxmlformats.org/officeDocument/2006/relationships/hyperlink" Target="https://www.facebook.com/profile.php?id=100077324863738" TargetMode="External"/><Relationship Id="rId3335" Type="http://schemas.openxmlformats.org/officeDocument/2006/relationships/hyperlink" Target="https://www.facebook.com/profile.php?id=100009061696259" TargetMode="External"/><Relationship Id="rId4666" Type="http://schemas.openxmlformats.org/officeDocument/2006/relationships/hyperlink" Target="https://www.facebook.com/sally.ladatenalaunan" TargetMode="External"/><Relationship Id="rId5994" Type="http://schemas.openxmlformats.org/officeDocument/2006/relationships/hyperlink" Target="https://www.facebook.com/rboy.escaran" TargetMode="External"/><Relationship Id="rId2004" Type="http://schemas.openxmlformats.org/officeDocument/2006/relationships/hyperlink" Target="https://www.facebook.com/rapplerdotcom/photos/a.317154781638645/5596022273751843/" TargetMode="External"/><Relationship Id="rId3334" Type="http://schemas.openxmlformats.org/officeDocument/2006/relationships/hyperlink" Target="https://www.facebook.com/rapplerdotcom/photos/a.317154781638645/5595372260483511/" TargetMode="External"/><Relationship Id="rId4665" Type="http://schemas.openxmlformats.org/officeDocument/2006/relationships/hyperlink" Target="https://www.facebook.com/watch/live/?ref=watch_permalink&amp;v=923735834984653" TargetMode="External"/><Relationship Id="rId5995" Type="http://schemas.openxmlformats.org/officeDocument/2006/relationships/hyperlink" Target="https://www.facebook.com/rapplerdotcom/photos/a.317154781638645/5594359700584767/" TargetMode="External"/><Relationship Id="rId3326" Type="http://schemas.openxmlformats.org/officeDocument/2006/relationships/hyperlink" Target="https://www.facebook.com/rapplerdotcom/photos/a.317154781638645/5595372260483511/" TargetMode="External"/><Relationship Id="rId4657" Type="http://schemas.openxmlformats.org/officeDocument/2006/relationships/hyperlink" Target="https://www.facebook.com/watch/live/?ref=watch_permalink&amp;v=923735834984653" TargetMode="External"/><Relationship Id="rId5989" Type="http://schemas.openxmlformats.org/officeDocument/2006/relationships/hyperlink" Target="https://www.facebook.com/rapplerdotcom/photos/a.317154781638645/5594359700584767/" TargetMode="External"/><Relationship Id="rId3325" Type="http://schemas.openxmlformats.org/officeDocument/2006/relationships/hyperlink" Target="https://www.facebook.com/gerard.yap.7" TargetMode="External"/><Relationship Id="rId4656" Type="http://schemas.openxmlformats.org/officeDocument/2006/relationships/hyperlink" Target="https://www.facebook.com/profile.php?id=100055630160451" TargetMode="External"/><Relationship Id="rId3328" Type="http://schemas.openxmlformats.org/officeDocument/2006/relationships/hyperlink" Target="https://www.facebook.com/rapplerdotcom/photos/a.317154781638645/5595372260483511/" TargetMode="External"/><Relationship Id="rId4659" Type="http://schemas.openxmlformats.org/officeDocument/2006/relationships/hyperlink" Target="https://www.facebook.com/watch/live/?ref=watch_permalink&amp;v=923735834984653" TargetMode="External"/><Relationship Id="rId5987" Type="http://schemas.openxmlformats.org/officeDocument/2006/relationships/hyperlink" Target="https://www.facebook.com/rapplerdotcom/photos/a.317154781638645/5594359700584767/" TargetMode="External"/><Relationship Id="rId3327" Type="http://schemas.openxmlformats.org/officeDocument/2006/relationships/hyperlink" Target="https://www.facebook.com/junior.pontongan" TargetMode="External"/><Relationship Id="rId4658" Type="http://schemas.openxmlformats.org/officeDocument/2006/relationships/hyperlink" Target="https://www.facebook.com/profile.php?id=100008821067610" TargetMode="External"/><Relationship Id="rId5988" Type="http://schemas.openxmlformats.org/officeDocument/2006/relationships/hyperlink" Target="https://www.facebook.com/mary.lasquety" TargetMode="External"/><Relationship Id="rId3329" Type="http://schemas.openxmlformats.org/officeDocument/2006/relationships/hyperlink" Target="https://www.facebook.com/profile.php?id=100009061696259" TargetMode="External"/><Relationship Id="rId5981" Type="http://schemas.openxmlformats.org/officeDocument/2006/relationships/hyperlink" Target="https://www.facebook.com/rapplerdotcom/photos/a.317154781638645/5594359700584767/" TargetMode="External"/><Relationship Id="rId5982" Type="http://schemas.openxmlformats.org/officeDocument/2006/relationships/hyperlink" Target="https://www.facebook.com/tess.fuertez" TargetMode="External"/><Relationship Id="rId3320" Type="http://schemas.openxmlformats.org/officeDocument/2006/relationships/hyperlink" Target="https://www.facebook.com/rapplerdotcom/photos/a.317154781638645/5595372260483511/" TargetMode="External"/><Relationship Id="rId4651" Type="http://schemas.openxmlformats.org/officeDocument/2006/relationships/hyperlink" Target="https://www.facebook.com/watch/live/?ref=watch_permalink&amp;v=923735834984653" TargetMode="External"/><Relationship Id="rId4650" Type="http://schemas.openxmlformats.org/officeDocument/2006/relationships/hyperlink" Target="https://www.facebook.com/purita.johnsen.14" TargetMode="External"/><Relationship Id="rId5980" Type="http://schemas.openxmlformats.org/officeDocument/2006/relationships/hyperlink" Target="https://www.facebook.com/gerardocandano" TargetMode="External"/><Relationship Id="rId3322" Type="http://schemas.openxmlformats.org/officeDocument/2006/relationships/hyperlink" Target="https://www.facebook.com/rapplerdotcom/photos/a.317154781638645/5595372260483511/" TargetMode="External"/><Relationship Id="rId4653" Type="http://schemas.openxmlformats.org/officeDocument/2006/relationships/hyperlink" Target="https://www.facebook.com/watch/live/?ref=watch_permalink&amp;v=923735834984653" TargetMode="External"/><Relationship Id="rId5985" Type="http://schemas.openxmlformats.org/officeDocument/2006/relationships/hyperlink" Target="https://www.facebook.com/rapplerdotcom/photos/a.317154781638645/5594359700584767/" TargetMode="External"/><Relationship Id="rId3321" Type="http://schemas.openxmlformats.org/officeDocument/2006/relationships/hyperlink" Target="https://www.facebook.com/edwin.sapnu.7" TargetMode="External"/><Relationship Id="rId4652" Type="http://schemas.openxmlformats.org/officeDocument/2006/relationships/hyperlink" Target="https://www.facebook.com/maryjean.solison.5" TargetMode="External"/><Relationship Id="rId5986" Type="http://schemas.openxmlformats.org/officeDocument/2006/relationships/hyperlink" Target="https://www.facebook.com/edwin.nabong.790" TargetMode="External"/><Relationship Id="rId3324" Type="http://schemas.openxmlformats.org/officeDocument/2006/relationships/hyperlink" Target="https://www.facebook.com/rapplerdotcom/photos/a.317154781638645/5595372260483511/" TargetMode="External"/><Relationship Id="rId4655" Type="http://schemas.openxmlformats.org/officeDocument/2006/relationships/hyperlink" Target="https://www.facebook.com/watch/live/?ref=watch_permalink&amp;v=923735834984653" TargetMode="External"/><Relationship Id="rId5983" Type="http://schemas.openxmlformats.org/officeDocument/2006/relationships/hyperlink" Target="https://www.facebook.com/rapplerdotcom/photos/a.317154781638645/5594359700584767/" TargetMode="External"/><Relationship Id="rId3323" Type="http://schemas.openxmlformats.org/officeDocument/2006/relationships/hyperlink" Target="https://www.facebook.com/myla.malbasbelleza" TargetMode="External"/><Relationship Id="rId4654" Type="http://schemas.openxmlformats.org/officeDocument/2006/relationships/hyperlink" Target="https://www.facebook.com/oreng.lam.92" TargetMode="External"/><Relationship Id="rId5984" Type="http://schemas.openxmlformats.org/officeDocument/2006/relationships/hyperlink" Target="https://www.facebook.com/jeac2016" TargetMode="External"/><Relationship Id="rId2090" Type="http://schemas.openxmlformats.org/officeDocument/2006/relationships/hyperlink" Target="https://www.facebook.com/rapplerdotcom/photos/a.317154781638645/5596022273751843/" TargetMode="External"/><Relationship Id="rId2091" Type="http://schemas.openxmlformats.org/officeDocument/2006/relationships/hyperlink" Target="https://www.facebook.com/profile.php?id=100069091358264" TargetMode="External"/><Relationship Id="rId2092" Type="http://schemas.openxmlformats.org/officeDocument/2006/relationships/hyperlink" Target="https://www.facebook.com/rapplerdotcom/photos/a.317154781638645/5596022273751843/" TargetMode="External"/><Relationship Id="rId2093" Type="http://schemas.openxmlformats.org/officeDocument/2006/relationships/hyperlink" Target="https://www.facebook.com/davefrancis.ybalig" TargetMode="External"/><Relationship Id="rId2094" Type="http://schemas.openxmlformats.org/officeDocument/2006/relationships/hyperlink" Target="https://www.facebook.com/rapplerdotcom/photos/a.317154781638645/5596022273751843/" TargetMode="External"/><Relationship Id="rId2095" Type="http://schemas.openxmlformats.org/officeDocument/2006/relationships/hyperlink" Target="https://www.facebook.com/gorife.selas" TargetMode="External"/><Relationship Id="rId2096" Type="http://schemas.openxmlformats.org/officeDocument/2006/relationships/hyperlink" Target="https://www.facebook.com/rapplerdotcom/photos/a.317154781638645/5596022273751843/" TargetMode="External"/><Relationship Id="rId2097" Type="http://schemas.openxmlformats.org/officeDocument/2006/relationships/hyperlink" Target="https://www.facebook.com/sophia.durmiendo" TargetMode="External"/><Relationship Id="rId2098" Type="http://schemas.openxmlformats.org/officeDocument/2006/relationships/hyperlink" Target="https://www.facebook.com/rapplerdotcom/photos/a.317154781638645/5596022273751843/" TargetMode="External"/><Relationship Id="rId2099" Type="http://schemas.openxmlformats.org/officeDocument/2006/relationships/hyperlink" Target="https://www.facebook.com/allan.ticatic" TargetMode="External"/><Relationship Id="rId3391" Type="http://schemas.openxmlformats.org/officeDocument/2006/relationships/hyperlink" Target="https://www.facebook.com/ate.rose.73" TargetMode="External"/><Relationship Id="rId2060" Type="http://schemas.openxmlformats.org/officeDocument/2006/relationships/hyperlink" Target="https://www.facebook.com/rapplerdotcom/photos/a.317154781638645/5596022273751843/" TargetMode="External"/><Relationship Id="rId3390" Type="http://schemas.openxmlformats.org/officeDocument/2006/relationships/hyperlink" Target="https://www.facebook.com/rapplerdotcom/photos/a.317154781638645/5595372260483511/" TargetMode="External"/><Relationship Id="rId2061" Type="http://schemas.openxmlformats.org/officeDocument/2006/relationships/hyperlink" Target="https://www.facebook.com/yvad.onauo" TargetMode="External"/><Relationship Id="rId3393" Type="http://schemas.openxmlformats.org/officeDocument/2006/relationships/hyperlink" Target="https://www.facebook.com/deanny.magana" TargetMode="External"/><Relationship Id="rId2062" Type="http://schemas.openxmlformats.org/officeDocument/2006/relationships/hyperlink" Target="https://www.facebook.com/rapplerdotcom/photos/a.317154781638645/5596022273751843/" TargetMode="External"/><Relationship Id="rId3392" Type="http://schemas.openxmlformats.org/officeDocument/2006/relationships/hyperlink" Target="https://www.facebook.com/rapplerdotcom/photos/a.317154781638645/5595372260483511/" TargetMode="External"/><Relationship Id="rId2063" Type="http://schemas.openxmlformats.org/officeDocument/2006/relationships/hyperlink" Target="https://www.facebook.com/maria.dizon1" TargetMode="External"/><Relationship Id="rId3395" Type="http://schemas.openxmlformats.org/officeDocument/2006/relationships/hyperlink" Target="https://www.facebook.com/deanny.magana" TargetMode="External"/><Relationship Id="rId2064" Type="http://schemas.openxmlformats.org/officeDocument/2006/relationships/hyperlink" Target="https://www.facebook.com/rapplerdotcom/photos/a.317154781638645/5596022273751843/" TargetMode="External"/><Relationship Id="rId3394" Type="http://schemas.openxmlformats.org/officeDocument/2006/relationships/hyperlink" Target="https://www.facebook.com/rapplerdotcom/photos/a.317154781638645/5595372260483511/" TargetMode="External"/><Relationship Id="rId2065" Type="http://schemas.openxmlformats.org/officeDocument/2006/relationships/hyperlink" Target="https://www.facebook.com/yvad.onauo" TargetMode="External"/><Relationship Id="rId3397" Type="http://schemas.openxmlformats.org/officeDocument/2006/relationships/hyperlink" Target="https://www.facebook.com/eduardo.m.lombo" TargetMode="External"/><Relationship Id="rId2066" Type="http://schemas.openxmlformats.org/officeDocument/2006/relationships/hyperlink" Target="https://www.facebook.com/rapplerdotcom/photos/a.317154781638645/5596022273751843/" TargetMode="External"/><Relationship Id="rId3396" Type="http://schemas.openxmlformats.org/officeDocument/2006/relationships/hyperlink" Target="https://www.facebook.com/rapplerdotcom/photos/a.317154781638645/5595372260483511/" TargetMode="External"/><Relationship Id="rId2067" Type="http://schemas.openxmlformats.org/officeDocument/2006/relationships/hyperlink" Target="https://www.facebook.com/myla.malbasbelleza" TargetMode="External"/><Relationship Id="rId3399" Type="http://schemas.openxmlformats.org/officeDocument/2006/relationships/hyperlink" Target="https://www.facebook.com/eduardo.m.lombo" TargetMode="External"/><Relationship Id="rId2068" Type="http://schemas.openxmlformats.org/officeDocument/2006/relationships/hyperlink" Target="https://www.facebook.com/rapplerdotcom/photos/a.317154781638645/5596022273751843/" TargetMode="External"/><Relationship Id="rId3398" Type="http://schemas.openxmlformats.org/officeDocument/2006/relationships/hyperlink" Target="https://www.facebook.com/rapplerdotcom/photos/a.317154781638645/5595372260483511/" TargetMode="External"/><Relationship Id="rId2069" Type="http://schemas.openxmlformats.org/officeDocument/2006/relationships/hyperlink" Target="https://www.facebook.com/cookie.car0307" TargetMode="External"/><Relationship Id="rId3380" Type="http://schemas.openxmlformats.org/officeDocument/2006/relationships/hyperlink" Target="https://www.facebook.com/rapplerdotcom/photos/a.317154781638645/5595372260483511/" TargetMode="External"/><Relationship Id="rId2050" Type="http://schemas.openxmlformats.org/officeDocument/2006/relationships/hyperlink" Target="https://www.facebook.com/rapplerdotcom/photos/a.317154781638645/5596022273751843/" TargetMode="External"/><Relationship Id="rId3382" Type="http://schemas.openxmlformats.org/officeDocument/2006/relationships/hyperlink" Target="https://www.facebook.com/rapplerdotcom/photos/a.317154781638645/5595372260483511/" TargetMode="External"/><Relationship Id="rId2051" Type="http://schemas.openxmlformats.org/officeDocument/2006/relationships/hyperlink" Target="https://www.facebook.com/ramil.a.mendoza.3" TargetMode="External"/><Relationship Id="rId3381" Type="http://schemas.openxmlformats.org/officeDocument/2006/relationships/hyperlink" Target="https://www.facebook.com/eduardo.m.lombo" TargetMode="External"/><Relationship Id="rId2052" Type="http://schemas.openxmlformats.org/officeDocument/2006/relationships/hyperlink" Target="https://www.facebook.com/rapplerdotcom/photos/a.317154781638645/5596022273751843/" TargetMode="External"/><Relationship Id="rId3384" Type="http://schemas.openxmlformats.org/officeDocument/2006/relationships/hyperlink" Target="https://www.facebook.com/rapplerdotcom/photos/a.317154781638645/5595372260483511/" TargetMode="External"/><Relationship Id="rId2053" Type="http://schemas.openxmlformats.org/officeDocument/2006/relationships/hyperlink" Target="https://www.facebook.com/ventura.mariejane" TargetMode="External"/><Relationship Id="rId3383" Type="http://schemas.openxmlformats.org/officeDocument/2006/relationships/hyperlink" Target="https://www.facebook.com/profile.php?id=100008200051155" TargetMode="External"/><Relationship Id="rId2054" Type="http://schemas.openxmlformats.org/officeDocument/2006/relationships/hyperlink" Target="https://www.facebook.com/rapplerdotcom/photos/a.317154781638645/5596022273751843/" TargetMode="External"/><Relationship Id="rId3386" Type="http://schemas.openxmlformats.org/officeDocument/2006/relationships/hyperlink" Target="https://www.facebook.com/rapplerdotcom/photos/a.317154781638645/5595372260483511/" TargetMode="External"/><Relationship Id="rId2055" Type="http://schemas.openxmlformats.org/officeDocument/2006/relationships/hyperlink" Target="https://www.facebook.com/winet.bautista" TargetMode="External"/><Relationship Id="rId3385" Type="http://schemas.openxmlformats.org/officeDocument/2006/relationships/hyperlink" Target="https://www.facebook.com/nonoyofalae" TargetMode="External"/><Relationship Id="rId2056" Type="http://schemas.openxmlformats.org/officeDocument/2006/relationships/hyperlink" Target="https://www.facebook.com/rapplerdotcom/photos/a.317154781638645/5596022273751843/" TargetMode="External"/><Relationship Id="rId3388" Type="http://schemas.openxmlformats.org/officeDocument/2006/relationships/hyperlink" Target="https://www.facebook.com/rapplerdotcom/photos/a.317154781638645/5595372260483511/" TargetMode="External"/><Relationship Id="rId2057" Type="http://schemas.openxmlformats.org/officeDocument/2006/relationships/hyperlink" Target="https://www.facebook.com/ditas.ravanilla" TargetMode="External"/><Relationship Id="rId3387" Type="http://schemas.openxmlformats.org/officeDocument/2006/relationships/hyperlink" Target="https://www.facebook.com/kenneth.cauntay" TargetMode="External"/><Relationship Id="rId2058" Type="http://schemas.openxmlformats.org/officeDocument/2006/relationships/hyperlink" Target="https://www.facebook.com/rapplerdotcom/photos/a.317154781638645/5596022273751843/" TargetMode="External"/><Relationship Id="rId2059" Type="http://schemas.openxmlformats.org/officeDocument/2006/relationships/hyperlink" Target="https://www.facebook.com/maria.dizon1" TargetMode="External"/><Relationship Id="rId3389" Type="http://schemas.openxmlformats.org/officeDocument/2006/relationships/hyperlink" Target="https://www.facebook.com/eduardo.m.lombo" TargetMode="External"/><Relationship Id="rId2080" Type="http://schemas.openxmlformats.org/officeDocument/2006/relationships/hyperlink" Target="https://www.facebook.com/rapplerdotcom/photos/a.317154781638645/5596022273751843/" TargetMode="External"/><Relationship Id="rId2081" Type="http://schemas.openxmlformats.org/officeDocument/2006/relationships/hyperlink" Target="https://www.facebook.com/melita.deleonsantos" TargetMode="External"/><Relationship Id="rId2082" Type="http://schemas.openxmlformats.org/officeDocument/2006/relationships/hyperlink" Target="https://www.facebook.com/rapplerdotcom/photos/a.317154781638645/5596022273751843/" TargetMode="External"/><Relationship Id="rId2083" Type="http://schemas.openxmlformats.org/officeDocument/2006/relationships/hyperlink" Target="https://www.facebook.com/arlene.buela.9" TargetMode="External"/><Relationship Id="rId2084" Type="http://schemas.openxmlformats.org/officeDocument/2006/relationships/hyperlink" Target="https://www.facebook.com/rapplerdotcom/photos/a.317154781638645/5596022273751843/" TargetMode="External"/><Relationship Id="rId2085" Type="http://schemas.openxmlformats.org/officeDocument/2006/relationships/hyperlink" Target="https://www.facebook.com/rhob.mercado" TargetMode="External"/><Relationship Id="rId2086" Type="http://schemas.openxmlformats.org/officeDocument/2006/relationships/hyperlink" Target="https://www.facebook.com/rapplerdotcom/photos/a.317154781638645/5596022273751843/" TargetMode="External"/><Relationship Id="rId2087" Type="http://schemas.openxmlformats.org/officeDocument/2006/relationships/hyperlink" Target="https://www.facebook.com/Theresa074" TargetMode="External"/><Relationship Id="rId2088" Type="http://schemas.openxmlformats.org/officeDocument/2006/relationships/hyperlink" Target="https://www.facebook.com/rapplerdotcom/photos/a.317154781638645/5596022273751843/" TargetMode="External"/><Relationship Id="rId2089" Type="http://schemas.openxmlformats.org/officeDocument/2006/relationships/hyperlink" Target="https://www.facebook.com/profile.php?id=100076057558004" TargetMode="External"/><Relationship Id="rId2070" Type="http://schemas.openxmlformats.org/officeDocument/2006/relationships/hyperlink" Target="https://www.facebook.com/rapplerdotcom/photos/a.317154781638645/5596022273751843/" TargetMode="External"/><Relationship Id="rId2071" Type="http://schemas.openxmlformats.org/officeDocument/2006/relationships/hyperlink" Target="https://www.facebook.com/juliette.faith" TargetMode="External"/><Relationship Id="rId2072" Type="http://schemas.openxmlformats.org/officeDocument/2006/relationships/hyperlink" Target="https://www.facebook.com/rapplerdotcom/photos/a.317154781638645/5596022273751843/" TargetMode="External"/><Relationship Id="rId2073" Type="http://schemas.openxmlformats.org/officeDocument/2006/relationships/hyperlink" Target="https://www.facebook.com/Jeff5289" TargetMode="External"/><Relationship Id="rId2074" Type="http://schemas.openxmlformats.org/officeDocument/2006/relationships/hyperlink" Target="https://www.facebook.com/rapplerdotcom/photos/a.317154781638645/5596022273751843/" TargetMode="External"/><Relationship Id="rId2075" Type="http://schemas.openxmlformats.org/officeDocument/2006/relationships/hyperlink" Target="https://www.facebook.com/annetardeo" TargetMode="External"/><Relationship Id="rId2076" Type="http://schemas.openxmlformats.org/officeDocument/2006/relationships/hyperlink" Target="https://www.facebook.com/rapplerdotcom/photos/a.317154781638645/5596022273751843/" TargetMode="External"/><Relationship Id="rId2077" Type="http://schemas.openxmlformats.org/officeDocument/2006/relationships/hyperlink" Target="https://www.facebook.com/edgar.millena" TargetMode="External"/><Relationship Id="rId2078" Type="http://schemas.openxmlformats.org/officeDocument/2006/relationships/hyperlink" Target="https://www.facebook.com/rapplerdotcom/photos/a.317154781638645/5596022273751843/" TargetMode="External"/><Relationship Id="rId2079" Type="http://schemas.openxmlformats.org/officeDocument/2006/relationships/hyperlink" Target="https://www.facebook.com/marite513" TargetMode="External"/><Relationship Id="rId4723" Type="http://schemas.openxmlformats.org/officeDocument/2006/relationships/hyperlink" Target="https://www.facebook.com/watch/live/?ref=watch_permalink&amp;v=923735834984653" TargetMode="External"/><Relationship Id="rId4722" Type="http://schemas.openxmlformats.org/officeDocument/2006/relationships/hyperlink" Target="https://www.facebook.com/jaime.gacusan.12" TargetMode="External"/><Relationship Id="rId4725" Type="http://schemas.openxmlformats.org/officeDocument/2006/relationships/hyperlink" Target="https://www.facebook.com/watch/live/?ref=watch_permalink&amp;v=923735834984653" TargetMode="External"/><Relationship Id="rId4724" Type="http://schemas.openxmlformats.org/officeDocument/2006/relationships/hyperlink" Target="https://www.facebook.com/zenaida.pineda.75054" TargetMode="External"/><Relationship Id="rId4727" Type="http://schemas.openxmlformats.org/officeDocument/2006/relationships/hyperlink" Target="https://www.facebook.com/watch/live/?ref=watch_permalink&amp;v=923735834984653" TargetMode="External"/><Relationship Id="rId4726" Type="http://schemas.openxmlformats.org/officeDocument/2006/relationships/hyperlink" Target="https://www.facebook.com/jaime.gacusan.12" TargetMode="External"/><Relationship Id="rId4729" Type="http://schemas.openxmlformats.org/officeDocument/2006/relationships/hyperlink" Target="https://www.facebook.com/watch/live/?ref=watch_permalink&amp;v=923735834984653" TargetMode="External"/><Relationship Id="rId4728" Type="http://schemas.openxmlformats.org/officeDocument/2006/relationships/hyperlink" Target="https://www.facebook.com/noemi.macabasco" TargetMode="External"/><Relationship Id="rId4721" Type="http://schemas.openxmlformats.org/officeDocument/2006/relationships/hyperlink" Target="https://www.facebook.com/watch/live/?ref=watch_permalink&amp;v=923735834984653" TargetMode="External"/><Relationship Id="rId4720" Type="http://schemas.openxmlformats.org/officeDocument/2006/relationships/hyperlink" Target="https://www.facebook.com/ester.lualhati19" TargetMode="External"/><Relationship Id="rId4712" Type="http://schemas.openxmlformats.org/officeDocument/2006/relationships/hyperlink" Target="https://www.facebook.com/marie.diot1" TargetMode="External"/><Relationship Id="rId4711" Type="http://schemas.openxmlformats.org/officeDocument/2006/relationships/hyperlink" Target="https://www.facebook.com/watch/live/?ref=watch_permalink&amp;v=923735834984653" TargetMode="External"/><Relationship Id="rId4714" Type="http://schemas.openxmlformats.org/officeDocument/2006/relationships/hyperlink" Target="https://www.facebook.com/vergie.bustamante.7" TargetMode="External"/><Relationship Id="rId4713" Type="http://schemas.openxmlformats.org/officeDocument/2006/relationships/hyperlink" Target="https://www.facebook.com/watch/live/?ref=watch_permalink&amp;v=923735834984653" TargetMode="External"/><Relationship Id="rId4716" Type="http://schemas.openxmlformats.org/officeDocument/2006/relationships/hyperlink" Target="https://www.facebook.com/profile.php?id=100068675928336" TargetMode="External"/><Relationship Id="rId4715" Type="http://schemas.openxmlformats.org/officeDocument/2006/relationships/hyperlink" Target="https://www.facebook.com/watch/live/?ref=watch_permalink&amp;v=923735834984653" TargetMode="External"/><Relationship Id="rId4718" Type="http://schemas.openxmlformats.org/officeDocument/2006/relationships/hyperlink" Target="https://www.facebook.com/julia.evangelista.18488" TargetMode="External"/><Relationship Id="rId4717" Type="http://schemas.openxmlformats.org/officeDocument/2006/relationships/hyperlink" Target="https://www.facebook.com/watch/live/?ref=watch_permalink&amp;v=923735834984653" TargetMode="External"/><Relationship Id="rId4719" Type="http://schemas.openxmlformats.org/officeDocument/2006/relationships/hyperlink" Target="https://www.facebook.com/watch/live/?ref=watch_permalink&amp;v=923735834984653" TargetMode="External"/><Relationship Id="rId4710" Type="http://schemas.openxmlformats.org/officeDocument/2006/relationships/hyperlink" Target="https://www.facebook.com/maryjean.solison.5" TargetMode="External"/><Relationship Id="rId3414" Type="http://schemas.openxmlformats.org/officeDocument/2006/relationships/hyperlink" Target="https://www.facebook.com/rapplerdotcom/photos/a.317154781638645/5595372260483511/" TargetMode="External"/><Relationship Id="rId4745" Type="http://schemas.openxmlformats.org/officeDocument/2006/relationships/hyperlink" Target="https://www.facebook.com/watch/live/?ref=watch_permalink&amp;v=923735834984653" TargetMode="External"/><Relationship Id="rId3413" Type="http://schemas.openxmlformats.org/officeDocument/2006/relationships/hyperlink" Target="https://www.facebook.com/deanny.magana" TargetMode="External"/><Relationship Id="rId4744" Type="http://schemas.openxmlformats.org/officeDocument/2006/relationships/hyperlink" Target="https://www.facebook.com/panny.valles" TargetMode="External"/><Relationship Id="rId3416" Type="http://schemas.openxmlformats.org/officeDocument/2006/relationships/hyperlink" Target="https://www.facebook.com/rapplerdotcom/photos/a.317154781638645/5595372260483511/" TargetMode="External"/><Relationship Id="rId4747" Type="http://schemas.openxmlformats.org/officeDocument/2006/relationships/hyperlink" Target="https://www.facebook.com/watch/live/?ref=watch_permalink&amp;v=923735834984653" TargetMode="External"/><Relationship Id="rId3415" Type="http://schemas.openxmlformats.org/officeDocument/2006/relationships/hyperlink" Target="https://www.facebook.com/eduardo.m.lombo" TargetMode="External"/><Relationship Id="rId4746" Type="http://schemas.openxmlformats.org/officeDocument/2006/relationships/hyperlink" Target="https://www.facebook.com/profile.php?id=100077999847593" TargetMode="External"/><Relationship Id="rId3418" Type="http://schemas.openxmlformats.org/officeDocument/2006/relationships/hyperlink" Target="https://www.facebook.com/rapplerdotcom/photos/a.317154781638645/5595372260483511/" TargetMode="External"/><Relationship Id="rId4749" Type="http://schemas.openxmlformats.org/officeDocument/2006/relationships/hyperlink" Target="https://www.facebook.com/watch/live/?ref=watch_permalink&amp;v=923735834984653" TargetMode="External"/><Relationship Id="rId3417" Type="http://schemas.openxmlformats.org/officeDocument/2006/relationships/hyperlink" Target="https://www.facebook.com/eduardo.m.lombo" TargetMode="External"/><Relationship Id="rId4748" Type="http://schemas.openxmlformats.org/officeDocument/2006/relationships/hyperlink" Target="https://www.facebook.com/arnel.benitez.370" TargetMode="External"/><Relationship Id="rId3419" Type="http://schemas.openxmlformats.org/officeDocument/2006/relationships/hyperlink" Target="https://www.facebook.com/eduardo.m.lombo" TargetMode="External"/><Relationship Id="rId3410" Type="http://schemas.openxmlformats.org/officeDocument/2006/relationships/hyperlink" Target="https://www.facebook.com/rapplerdotcom/photos/a.317154781638645/5595372260483511/" TargetMode="External"/><Relationship Id="rId4741" Type="http://schemas.openxmlformats.org/officeDocument/2006/relationships/hyperlink" Target="https://www.facebook.com/watch/live/?ref=watch_permalink&amp;v=923735834984653" TargetMode="External"/><Relationship Id="rId4740" Type="http://schemas.openxmlformats.org/officeDocument/2006/relationships/hyperlink" Target="https://www.facebook.com/sally.ladatenalaunan" TargetMode="External"/><Relationship Id="rId3412" Type="http://schemas.openxmlformats.org/officeDocument/2006/relationships/hyperlink" Target="https://www.facebook.com/rapplerdotcom/photos/a.317154781638645/5595372260483511/" TargetMode="External"/><Relationship Id="rId4743" Type="http://schemas.openxmlformats.org/officeDocument/2006/relationships/hyperlink" Target="https://www.facebook.com/watch/live/?ref=watch_permalink&amp;v=923735834984653" TargetMode="External"/><Relationship Id="rId3411" Type="http://schemas.openxmlformats.org/officeDocument/2006/relationships/hyperlink" Target="https://www.facebook.com/eduardo.m.lombo" TargetMode="External"/><Relationship Id="rId4742" Type="http://schemas.openxmlformats.org/officeDocument/2006/relationships/hyperlink" Target="https://www.facebook.com/profile.php?id=100009431943421" TargetMode="External"/><Relationship Id="rId3403" Type="http://schemas.openxmlformats.org/officeDocument/2006/relationships/hyperlink" Target="https://www.facebook.com/eduardo.m.lombo" TargetMode="External"/><Relationship Id="rId4734" Type="http://schemas.openxmlformats.org/officeDocument/2006/relationships/hyperlink" Target="https://www.facebook.com/victoria.pimentel.507027" TargetMode="External"/><Relationship Id="rId3402" Type="http://schemas.openxmlformats.org/officeDocument/2006/relationships/hyperlink" Target="https://www.facebook.com/rapplerdotcom/photos/a.317154781638645/5595372260483511/" TargetMode="External"/><Relationship Id="rId4733" Type="http://schemas.openxmlformats.org/officeDocument/2006/relationships/hyperlink" Target="https://www.facebook.com/watch/live/?ref=watch_permalink&amp;v=923735834984653" TargetMode="External"/><Relationship Id="rId3405" Type="http://schemas.openxmlformats.org/officeDocument/2006/relationships/hyperlink" Target="https://www.facebook.com/profile.php?id=100011569547804" TargetMode="External"/><Relationship Id="rId4736" Type="http://schemas.openxmlformats.org/officeDocument/2006/relationships/hyperlink" Target="https://www.facebook.com/janarvy.parr" TargetMode="External"/><Relationship Id="rId3404" Type="http://schemas.openxmlformats.org/officeDocument/2006/relationships/hyperlink" Target="https://www.facebook.com/rapplerdotcom/photos/a.317154781638645/5595372260483511/" TargetMode="External"/><Relationship Id="rId4735" Type="http://schemas.openxmlformats.org/officeDocument/2006/relationships/hyperlink" Target="https://www.facebook.com/watch/live/?ref=watch_permalink&amp;v=923735834984653" TargetMode="External"/><Relationship Id="rId3407" Type="http://schemas.openxmlformats.org/officeDocument/2006/relationships/hyperlink" Target="https://www.facebook.com/eduardo.m.lombo" TargetMode="External"/><Relationship Id="rId4738" Type="http://schemas.openxmlformats.org/officeDocument/2006/relationships/hyperlink" Target="https://www.facebook.com/normita.beato" TargetMode="External"/><Relationship Id="rId3406" Type="http://schemas.openxmlformats.org/officeDocument/2006/relationships/hyperlink" Target="https://www.facebook.com/rapplerdotcom/photos/a.317154781638645/5595372260483511/" TargetMode="External"/><Relationship Id="rId4737" Type="http://schemas.openxmlformats.org/officeDocument/2006/relationships/hyperlink" Target="https://www.facebook.com/watch/live/?ref=watch_permalink&amp;v=923735834984653" TargetMode="External"/><Relationship Id="rId3409" Type="http://schemas.openxmlformats.org/officeDocument/2006/relationships/hyperlink" Target="https://www.facebook.com/profile.php?id=100011569547804" TargetMode="External"/><Relationship Id="rId3408" Type="http://schemas.openxmlformats.org/officeDocument/2006/relationships/hyperlink" Target="https://www.facebook.com/rapplerdotcom/photos/a.317154781638645/5595372260483511/" TargetMode="External"/><Relationship Id="rId4739" Type="http://schemas.openxmlformats.org/officeDocument/2006/relationships/hyperlink" Target="https://www.facebook.com/watch/live/?ref=watch_permalink&amp;v=923735834984653" TargetMode="External"/><Relationship Id="rId4730" Type="http://schemas.openxmlformats.org/officeDocument/2006/relationships/hyperlink" Target="https://www.facebook.com/profile.php?id=100074773967745" TargetMode="External"/><Relationship Id="rId3401" Type="http://schemas.openxmlformats.org/officeDocument/2006/relationships/hyperlink" Target="https://www.facebook.com/profile.php?id=100011569547804" TargetMode="External"/><Relationship Id="rId4732" Type="http://schemas.openxmlformats.org/officeDocument/2006/relationships/hyperlink" Target="https://www.facebook.com/lucita.apellido" TargetMode="External"/><Relationship Id="rId3400" Type="http://schemas.openxmlformats.org/officeDocument/2006/relationships/hyperlink" Target="https://www.facebook.com/rapplerdotcom/photos/a.317154781638645/5595372260483511/" TargetMode="External"/><Relationship Id="rId4731" Type="http://schemas.openxmlformats.org/officeDocument/2006/relationships/hyperlink" Target="https://www.facebook.com/watch/live/?ref=watch_permalink&amp;v=923735834984653" TargetMode="External"/><Relationship Id="rId4701" Type="http://schemas.openxmlformats.org/officeDocument/2006/relationships/hyperlink" Target="https://www.facebook.com/watch/live/?ref=watch_permalink&amp;v=923735834984653" TargetMode="External"/><Relationship Id="rId4700" Type="http://schemas.openxmlformats.org/officeDocument/2006/relationships/hyperlink" Target="https://www.facebook.com/soliviocheryl" TargetMode="External"/><Relationship Id="rId4703" Type="http://schemas.openxmlformats.org/officeDocument/2006/relationships/hyperlink" Target="https://www.facebook.com/watch/live/?ref=watch_permalink&amp;v=923735834984653" TargetMode="External"/><Relationship Id="rId4702" Type="http://schemas.openxmlformats.org/officeDocument/2006/relationships/hyperlink" Target="https://www.facebook.com/ceruma.rich" TargetMode="External"/><Relationship Id="rId4705" Type="http://schemas.openxmlformats.org/officeDocument/2006/relationships/hyperlink" Target="https://www.facebook.com/watch/live/?ref=watch_permalink&amp;v=923735834984653" TargetMode="External"/><Relationship Id="rId4704" Type="http://schemas.openxmlformats.org/officeDocument/2006/relationships/hyperlink" Target="https://www.facebook.com/lhord.symphatico" TargetMode="External"/><Relationship Id="rId4707" Type="http://schemas.openxmlformats.org/officeDocument/2006/relationships/hyperlink" Target="https://www.facebook.com/watch/live/?ref=watch_permalink&amp;v=923735834984653" TargetMode="External"/><Relationship Id="rId4706" Type="http://schemas.openxmlformats.org/officeDocument/2006/relationships/hyperlink" Target="https://www.facebook.com/raymund.pasman.754" TargetMode="External"/><Relationship Id="rId4709" Type="http://schemas.openxmlformats.org/officeDocument/2006/relationships/hyperlink" Target="https://www.facebook.com/watch/live/?ref=watch_permalink&amp;v=923735834984653" TargetMode="External"/><Relationship Id="rId4708" Type="http://schemas.openxmlformats.org/officeDocument/2006/relationships/hyperlink" Target="https://www.facebook.com/lhord.symphatico" TargetMode="External"/><Relationship Id="rId2148" Type="http://schemas.openxmlformats.org/officeDocument/2006/relationships/hyperlink" Target="https://www.facebook.com/rapplerdotcom/photos/a.317154781638645/5596022273751843/" TargetMode="External"/><Relationship Id="rId2149" Type="http://schemas.openxmlformats.org/officeDocument/2006/relationships/hyperlink" Target="https://www.facebook.com/mynameis.leagirl" TargetMode="External"/><Relationship Id="rId3479" Type="http://schemas.openxmlformats.org/officeDocument/2006/relationships/hyperlink" Target="https://www.facebook.com/profile.php?id=100012286893622" TargetMode="External"/><Relationship Id="rId3470" Type="http://schemas.openxmlformats.org/officeDocument/2006/relationships/hyperlink" Target="https://www.facebook.com/rapplerdotcom/photos/a.317154781638645/5595372260483511/" TargetMode="External"/><Relationship Id="rId2140" Type="http://schemas.openxmlformats.org/officeDocument/2006/relationships/hyperlink" Target="https://www.facebook.com/rapplerdotcom/photos/a.317154781638645/5596022273751843/" TargetMode="External"/><Relationship Id="rId3472" Type="http://schemas.openxmlformats.org/officeDocument/2006/relationships/hyperlink" Target="https://www.facebook.com/rapplerdotcom/photos/a.317154781638645/5595372260483511/" TargetMode="External"/><Relationship Id="rId2141" Type="http://schemas.openxmlformats.org/officeDocument/2006/relationships/hyperlink" Target="https://www.facebook.com/ruby.galura" TargetMode="External"/><Relationship Id="rId3471" Type="http://schemas.openxmlformats.org/officeDocument/2006/relationships/hyperlink" Target="https://www.facebook.com/icarro1821" TargetMode="External"/><Relationship Id="rId2142" Type="http://schemas.openxmlformats.org/officeDocument/2006/relationships/hyperlink" Target="https://www.facebook.com/rapplerdotcom/photos/a.317154781638645/5596022273751843/" TargetMode="External"/><Relationship Id="rId3474" Type="http://schemas.openxmlformats.org/officeDocument/2006/relationships/hyperlink" Target="https://www.facebook.com/rapplerdotcom/photos/a.317154781638645/5595372260483511/" TargetMode="External"/><Relationship Id="rId2143" Type="http://schemas.openxmlformats.org/officeDocument/2006/relationships/hyperlink" Target="https://www.facebook.com/restituto.mangalindan" TargetMode="External"/><Relationship Id="rId3473" Type="http://schemas.openxmlformats.org/officeDocument/2006/relationships/hyperlink" Target="https://www.facebook.com/profile.php?id=100012286893622" TargetMode="External"/><Relationship Id="rId2144" Type="http://schemas.openxmlformats.org/officeDocument/2006/relationships/hyperlink" Target="https://www.facebook.com/rapplerdotcom/photos/a.317154781638645/5596022273751843/" TargetMode="External"/><Relationship Id="rId3476" Type="http://schemas.openxmlformats.org/officeDocument/2006/relationships/hyperlink" Target="https://www.facebook.com/rapplerdotcom/photos/a.317154781638645/5595372260483511/" TargetMode="External"/><Relationship Id="rId2145" Type="http://schemas.openxmlformats.org/officeDocument/2006/relationships/hyperlink" Target="https://www.facebook.com/kap.riegodedios" TargetMode="External"/><Relationship Id="rId3475" Type="http://schemas.openxmlformats.org/officeDocument/2006/relationships/hyperlink" Target="https://www.facebook.com/icarro1821" TargetMode="External"/><Relationship Id="rId2146" Type="http://schemas.openxmlformats.org/officeDocument/2006/relationships/hyperlink" Target="https://www.facebook.com/rapplerdotcom/photos/a.317154781638645/5596022273751843/" TargetMode="External"/><Relationship Id="rId3478" Type="http://schemas.openxmlformats.org/officeDocument/2006/relationships/hyperlink" Target="https://www.facebook.com/rapplerdotcom/photos/a.317154781638645/5595372260483511/" TargetMode="External"/><Relationship Id="rId2147" Type="http://schemas.openxmlformats.org/officeDocument/2006/relationships/hyperlink" Target="https://www.facebook.com/uycheskaanne" TargetMode="External"/><Relationship Id="rId3477" Type="http://schemas.openxmlformats.org/officeDocument/2006/relationships/hyperlink" Target="https://www.facebook.com/ttanchanco" TargetMode="External"/><Relationship Id="rId2137" Type="http://schemas.openxmlformats.org/officeDocument/2006/relationships/hyperlink" Target="https://www.facebook.com/cherylmae.cy.73" TargetMode="External"/><Relationship Id="rId3469" Type="http://schemas.openxmlformats.org/officeDocument/2006/relationships/hyperlink" Target="https://www.facebook.com/icarro1821" TargetMode="External"/><Relationship Id="rId2138" Type="http://schemas.openxmlformats.org/officeDocument/2006/relationships/hyperlink" Target="https://www.facebook.com/rapplerdotcom/photos/a.317154781638645/5596022273751843/" TargetMode="External"/><Relationship Id="rId3468" Type="http://schemas.openxmlformats.org/officeDocument/2006/relationships/hyperlink" Target="https://www.facebook.com/rapplerdotcom/photos/a.317154781638645/5595372260483511/" TargetMode="External"/><Relationship Id="rId4799" Type="http://schemas.openxmlformats.org/officeDocument/2006/relationships/hyperlink" Target="https://www.facebook.com/watch/live/?ref=watch_permalink&amp;v=923735834984653" TargetMode="External"/><Relationship Id="rId2139" Type="http://schemas.openxmlformats.org/officeDocument/2006/relationships/hyperlink" Target="https://www.facebook.com/regina.r.bastida" TargetMode="External"/><Relationship Id="rId4790" Type="http://schemas.openxmlformats.org/officeDocument/2006/relationships/hyperlink" Target="https://www.facebook.com/alectv07" TargetMode="External"/><Relationship Id="rId3461" Type="http://schemas.openxmlformats.org/officeDocument/2006/relationships/hyperlink" Target="https://www.facebook.com/victoriano.pimentel.980" TargetMode="External"/><Relationship Id="rId4792" Type="http://schemas.openxmlformats.org/officeDocument/2006/relationships/hyperlink" Target="https://www.facebook.com/alectv07" TargetMode="External"/><Relationship Id="rId2130" Type="http://schemas.openxmlformats.org/officeDocument/2006/relationships/hyperlink" Target="https://www.facebook.com/rapplerdotcom/photos/a.317154781638645/5596022273751843/" TargetMode="External"/><Relationship Id="rId3460" Type="http://schemas.openxmlformats.org/officeDocument/2006/relationships/hyperlink" Target="https://www.facebook.com/rapplerdotcom/photos/a.317154781638645/5595372260483511/" TargetMode="External"/><Relationship Id="rId4791" Type="http://schemas.openxmlformats.org/officeDocument/2006/relationships/hyperlink" Target="https://www.facebook.com/watch/live/?ref=watch_permalink&amp;v=923735834984653" TargetMode="External"/><Relationship Id="rId2131" Type="http://schemas.openxmlformats.org/officeDocument/2006/relationships/hyperlink" Target="https://www.facebook.com/guenkisses" TargetMode="External"/><Relationship Id="rId3463" Type="http://schemas.openxmlformats.org/officeDocument/2006/relationships/hyperlink" Target="https://www.facebook.com/icarro1821" TargetMode="External"/><Relationship Id="rId4794" Type="http://schemas.openxmlformats.org/officeDocument/2006/relationships/hyperlink" Target="https://www.facebook.com/alectv07" TargetMode="External"/><Relationship Id="rId2132" Type="http://schemas.openxmlformats.org/officeDocument/2006/relationships/hyperlink" Target="https://www.facebook.com/rapplerdotcom/photos/a.317154781638645/5596022273751843/" TargetMode="External"/><Relationship Id="rId3462" Type="http://schemas.openxmlformats.org/officeDocument/2006/relationships/hyperlink" Target="https://www.facebook.com/rapplerdotcom/photos/a.317154781638645/5595372260483511/" TargetMode="External"/><Relationship Id="rId4793" Type="http://schemas.openxmlformats.org/officeDocument/2006/relationships/hyperlink" Target="https://www.facebook.com/watch/live/?ref=watch_permalink&amp;v=923735834984653" TargetMode="External"/><Relationship Id="rId2133" Type="http://schemas.openxmlformats.org/officeDocument/2006/relationships/hyperlink" Target="https://www.facebook.com/gem.lazaro" TargetMode="External"/><Relationship Id="rId3465" Type="http://schemas.openxmlformats.org/officeDocument/2006/relationships/hyperlink" Target="https://www.facebook.com/profile.php?id=100012286893622" TargetMode="External"/><Relationship Id="rId4796" Type="http://schemas.openxmlformats.org/officeDocument/2006/relationships/hyperlink" Target="https://www.facebook.com/alectv07" TargetMode="External"/><Relationship Id="rId2134" Type="http://schemas.openxmlformats.org/officeDocument/2006/relationships/hyperlink" Target="https://www.facebook.com/rapplerdotcom/photos/a.317154781638645/5596022273751843/" TargetMode="External"/><Relationship Id="rId3464" Type="http://schemas.openxmlformats.org/officeDocument/2006/relationships/hyperlink" Target="https://www.facebook.com/rapplerdotcom/photos/a.317154781638645/5595372260483511/" TargetMode="External"/><Relationship Id="rId4795" Type="http://schemas.openxmlformats.org/officeDocument/2006/relationships/hyperlink" Target="https://www.facebook.com/watch/live/?ref=watch_permalink&amp;v=923735834984653" TargetMode="External"/><Relationship Id="rId2135" Type="http://schemas.openxmlformats.org/officeDocument/2006/relationships/hyperlink" Target="https://www.facebook.com/asset.serrano" TargetMode="External"/><Relationship Id="rId3467" Type="http://schemas.openxmlformats.org/officeDocument/2006/relationships/hyperlink" Target="https://www.facebook.com/ttanchanco" TargetMode="External"/><Relationship Id="rId4798" Type="http://schemas.openxmlformats.org/officeDocument/2006/relationships/hyperlink" Target="https://www.facebook.com/jolly.p.miranda" TargetMode="External"/><Relationship Id="rId2136" Type="http://schemas.openxmlformats.org/officeDocument/2006/relationships/hyperlink" Target="https://www.facebook.com/rapplerdotcom/photos/a.317154781638645/5596022273751843/" TargetMode="External"/><Relationship Id="rId3466" Type="http://schemas.openxmlformats.org/officeDocument/2006/relationships/hyperlink" Target="https://www.facebook.com/rapplerdotcom/photos/a.317154781638645/5595372260483511/" TargetMode="External"/><Relationship Id="rId4797" Type="http://schemas.openxmlformats.org/officeDocument/2006/relationships/hyperlink" Target="https://www.facebook.com/watch/live/?ref=watch_permalink&amp;v=923735834984653" TargetMode="External"/><Relationship Id="rId3490" Type="http://schemas.openxmlformats.org/officeDocument/2006/relationships/hyperlink" Target="https://www.facebook.com/rapplerdotcom/photos/a.317154781638645/5595372260483511/" TargetMode="External"/><Relationship Id="rId2160" Type="http://schemas.openxmlformats.org/officeDocument/2006/relationships/hyperlink" Target="https://www.facebook.com/rapplerdotcom/photos/a.317154781638645/5596022273751843/" TargetMode="External"/><Relationship Id="rId3492" Type="http://schemas.openxmlformats.org/officeDocument/2006/relationships/hyperlink" Target="https://www.facebook.com/rapplerdotcom/photos/a.317154781638645/5595372260483511/" TargetMode="External"/><Relationship Id="rId2161" Type="http://schemas.openxmlformats.org/officeDocument/2006/relationships/hyperlink" Target="https://www.facebook.com/egaythessa.resurreccion" TargetMode="External"/><Relationship Id="rId3491" Type="http://schemas.openxmlformats.org/officeDocument/2006/relationships/hyperlink" Target="https://www.facebook.com/icarro1821" TargetMode="External"/><Relationship Id="rId2162" Type="http://schemas.openxmlformats.org/officeDocument/2006/relationships/hyperlink" Target="https://www.facebook.com/rapplerdotcom/photos/a.317154781638645/5596022273751843/" TargetMode="External"/><Relationship Id="rId3494" Type="http://schemas.openxmlformats.org/officeDocument/2006/relationships/hyperlink" Target="https://www.facebook.com/rapplerdotcom/photos/a.317154781638645/5595372260483511/" TargetMode="External"/><Relationship Id="rId2163" Type="http://schemas.openxmlformats.org/officeDocument/2006/relationships/hyperlink" Target="https://www.facebook.com/joyjoy.montenegro.71" TargetMode="External"/><Relationship Id="rId3493" Type="http://schemas.openxmlformats.org/officeDocument/2006/relationships/hyperlink" Target="https://www.facebook.com/phoebe.delara.1" TargetMode="External"/><Relationship Id="rId2164" Type="http://schemas.openxmlformats.org/officeDocument/2006/relationships/hyperlink" Target="https://www.facebook.com/rapplerdotcom/photos/a.317154781638645/5596022273751843/" TargetMode="External"/><Relationship Id="rId3496" Type="http://schemas.openxmlformats.org/officeDocument/2006/relationships/hyperlink" Target="https://www.facebook.com/rapplerdotcom/photos/a.317154781638645/5595372260483511/" TargetMode="External"/><Relationship Id="rId2165" Type="http://schemas.openxmlformats.org/officeDocument/2006/relationships/hyperlink" Target="https://www.facebook.com/moana.minerva.39" TargetMode="External"/><Relationship Id="rId3495" Type="http://schemas.openxmlformats.org/officeDocument/2006/relationships/hyperlink" Target="https://www.facebook.com/BimBirimBimBim" TargetMode="External"/><Relationship Id="rId2166" Type="http://schemas.openxmlformats.org/officeDocument/2006/relationships/hyperlink" Target="https://www.facebook.com/rapplerdotcom/photos/a.317154781638645/5596022273751843/" TargetMode="External"/><Relationship Id="rId3498" Type="http://schemas.openxmlformats.org/officeDocument/2006/relationships/hyperlink" Target="https://www.facebook.com/rapplerdotcom/photos/a.317154781638645/5595372260483511/" TargetMode="External"/><Relationship Id="rId2167" Type="http://schemas.openxmlformats.org/officeDocument/2006/relationships/hyperlink" Target="https://www.facebook.com/aye.rentoy.73" TargetMode="External"/><Relationship Id="rId3497" Type="http://schemas.openxmlformats.org/officeDocument/2006/relationships/hyperlink" Target="https://www.facebook.com/HaruldStories" TargetMode="External"/><Relationship Id="rId2168" Type="http://schemas.openxmlformats.org/officeDocument/2006/relationships/hyperlink" Target="https://www.facebook.com/rapplerdotcom/photos/a.317154781638645/5596022273751843/" TargetMode="External"/><Relationship Id="rId2169" Type="http://schemas.openxmlformats.org/officeDocument/2006/relationships/hyperlink" Target="https://www.facebook.com/haidi.lim" TargetMode="External"/><Relationship Id="rId3499" Type="http://schemas.openxmlformats.org/officeDocument/2006/relationships/hyperlink" Target="https://www.facebook.com/profile.php?id=100000429193684" TargetMode="External"/><Relationship Id="rId2159" Type="http://schemas.openxmlformats.org/officeDocument/2006/relationships/hyperlink" Target="https://www.facebook.com/yonehl.inasor" TargetMode="External"/><Relationship Id="rId3481" Type="http://schemas.openxmlformats.org/officeDocument/2006/relationships/hyperlink" Target="https://www.facebook.com/profile.php?id=100012286893622" TargetMode="External"/><Relationship Id="rId2150" Type="http://schemas.openxmlformats.org/officeDocument/2006/relationships/hyperlink" Target="https://www.facebook.com/rapplerdotcom/photos/a.317154781638645/5596022273751843/" TargetMode="External"/><Relationship Id="rId3480" Type="http://schemas.openxmlformats.org/officeDocument/2006/relationships/hyperlink" Target="https://www.facebook.com/rapplerdotcom/photos/a.317154781638645/5595372260483511/" TargetMode="External"/><Relationship Id="rId2151" Type="http://schemas.openxmlformats.org/officeDocument/2006/relationships/hyperlink" Target="https://www.facebook.com/joseph.aniversario.9" TargetMode="External"/><Relationship Id="rId3483" Type="http://schemas.openxmlformats.org/officeDocument/2006/relationships/hyperlink" Target="https://www.facebook.com/ann070694" TargetMode="External"/><Relationship Id="rId2152" Type="http://schemas.openxmlformats.org/officeDocument/2006/relationships/hyperlink" Target="https://www.facebook.com/rapplerdotcom/photos/a.317154781638645/5596022273751843/" TargetMode="External"/><Relationship Id="rId3482" Type="http://schemas.openxmlformats.org/officeDocument/2006/relationships/hyperlink" Target="https://www.facebook.com/rapplerdotcom/photos/a.317154781638645/5595372260483511/" TargetMode="External"/><Relationship Id="rId2153" Type="http://schemas.openxmlformats.org/officeDocument/2006/relationships/hyperlink" Target="https://www.facebook.com/gorife.selas" TargetMode="External"/><Relationship Id="rId3485" Type="http://schemas.openxmlformats.org/officeDocument/2006/relationships/hyperlink" Target="https://www.facebook.com/cyrilljoy.baldera.3" TargetMode="External"/><Relationship Id="rId2154" Type="http://schemas.openxmlformats.org/officeDocument/2006/relationships/hyperlink" Target="https://www.facebook.com/rapplerdotcom/photos/a.317154781638645/5596022273751843/" TargetMode="External"/><Relationship Id="rId3484" Type="http://schemas.openxmlformats.org/officeDocument/2006/relationships/hyperlink" Target="https://www.facebook.com/rapplerdotcom/photos/a.317154781638645/5595372260483511/" TargetMode="External"/><Relationship Id="rId2155" Type="http://schemas.openxmlformats.org/officeDocument/2006/relationships/hyperlink" Target="https://www.facebook.com/joviegee" TargetMode="External"/><Relationship Id="rId3487" Type="http://schemas.openxmlformats.org/officeDocument/2006/relationships/hyperlink" Target="https://www.facebook.com/icarro1821" TargetMode="External"/><Relationship Id="rId2156" Type="http://schemas.openxmlformats.org/officeDocument/2006/relationships/hyperlink" Target="https://www.facebook.com/rapplerdotcom/photos/a.317154781638645/5596022273751843/" TargetMode="External"/><Relationship Id="rId3486" Type="http://schemas.openxmlformats.org/officeDocument/2006/relationships/hyperlink" Target="https://www.facebook.com/rapplerdotcom/photos/a.317154781638645/5595372260483511/" TargetMode="External"/><Relationship Id="rId2157" Type="http://schemas.openxmlformats.org/officeDocument/2006/relationships/hyperlink" Target="https://www.facebook.com/everayo" TargetMode="External"/><Relationship Id="rId3489" Type="http://schemas.openxmlformats.org/officeDocument/2006/relationships/hyperlink" Target="https://www.facebook.com/phoebe.delara.1" TargetMode="External"/><Relationship Id="rId2158" Type="http://schemas.openxmlformats.org/officeDocument/2006/relationships/hyperlink" Target="https://www.facebook.com/rapplerdotcom/photos/a.317154781638645/5596022273751843/" TargetMode="External"/><Relationship Id="rId3488" Type="http://schemas.openxmlformats.org/officeDocument/2006/relationships/hyperlink" Target="https://www.facebook.com/rapplerdotcom/photos/a.317154781638645/5595372260483511/" TargetMode="External"/><Relationship Id="rId2104" Type="http://schemas.openxmlformats.org/officeDocument/2006/relationships/hyperlink" Target="https://www.facebook.com/rapplerdotcom/photos/a.317154781638645/5596022273751843/" TargetMode="External"/><Relationship Id="rId3436" Type="http://schemas.openxmlformats.org/officeDocument/2006/relationships/hyperlink" Target="https://www.facebook.com/rapplerdotcom/photos/a.317154781638645/5595372260483511/" TargetMode="External"/><Relationship Id="rId4767" Type="http://schemas.openxmlformats.org/officeDocument/2006/relationships/hyperlink" Target="https://www.facebook.com/watch/live/?ref=watch_permalink&amp;v=923735834984653" TargetMode="External"/><Relationship Id="rId2105" Type="http://schemas.openxmlformats.org/officeDocument/2006/relationships/hyperlink" Target="https://www.facebook.com/ditas.roxas" TargetMode="External"/><Relationship Id="rId3435" Type="http://schemas.openxmlformats.org/officeDocument/2006/relationships/hyperlink" Target="https://www.facebook.com/rodelmadrid" TargetMode="External"/><Relationship Id="rId4766" Type="http://schemas.openxmlformats.org/officeDocument/2006/relationships/hyperlink" Target="https://www.facebook.com/bert.naynes" TargetMode="External"/><Relationship Id="rId2106" Type="http://schemas.openxmlformats.org/officeDocument/2006/relationships/hyperlink" Target="https://www.facebook.com/rapplerdotcom/photos/a.317154781638645/5596022273751843/" TargetMode="External"/><Relationship Id="rId3438" Type="http://schemas.openxmlformats.org/officeDocument/2006/relationships/hyperlink" Target="https://www.facebook.com/rapplerdotcom/photos/a.317154781638645/5595372260483511/" TargetMode="External"/><Relationship Id="rId4769" Type="http://schemas.openxmlformats.org/officeDocument/2006/relationships/hyperlink" Target="https://www.facebook.com/watch/live/?ref=watch_permalink&amp;v=923735834984653" TargetMode="External"/><Relationship Id="rId2107" Type="http://schemas.openxmlformats.org/officeDocument/2006/relationships/hyperlink" Target="https://www.facebook.com/nino.samuel.14" TargetMode="External"/><Relationship Id="rId3437" Type="http://schemas.openxmlformats.org/officeDocument/2006/relationships/hyperlink" Target="https://www.facebook.com/herdie.092020" TargetMode="External"/><Relationship Id="rId4768" Type="http://schemas.openxmlformats.org/officeDocument/2006/relationships/hyperlink" Target="https://www.facebook.com/glenda.calvario.129" TargetMode="External"/><Relationship Id="rId2108" Type="http://schemas.openxmlformats.org/officeDocument/2006/relationships/hyperlink" Target="https://www.facebook.com/rapplerdotcom/photos/a.317154781638645/5596022273751843/" TargetMode="External"/><Relationship Id="rId2109" Type="http://schemas.openxmlformats.org/officeDocument/2006/relationships/hyperlink" Target="https://www.facebook.com/tess.marcelo.7" TargetMode="External"/><Relationship Id="rId3439" Type="http://schemas.openxmlformats.org/officeDocument/2006/relationships/hyperlink" Target="https://www.facebook.com/melo.napiza.7" TargetMode="External"/><Relationship Id="rId3430" Type="http://schemas.openxmlformats.org/officeDocument/2006/relationships/hyperlink" Target="https://www.facebook.com/rapplerdotcom/photos/a.317154781638645/5595372260483511/" TargetMode="External"/><Relationship Id="rId4761" Type="http://schemas.openxmlformats.org/officeDocument/2006/relationships/hyperlink" Target="https://www.facebook.com/watch/live/?ref=watch_permalink&amp;v=923735834984653" TargetMode="External"/><Relationship Id="rId4760" Type="http://schemas.openxmlformats.org/officeDocument/2006/relationships/hyperlink" Target="https://www.facebook.com/bimbo.quiambao" TargetMode="External"/><Relationship Id="rId2100" Type="http://schemas.openxmlformats.org/officeDocument/2006/relationships/hyperlink" Target="https://www.facebook.com/rapplerdotcom/photos/a.317154781638645/5596022273751843/" TargetMode="External"/><Relationship Id="rId3432" Type="http://schemas.openxmlformats.org/officeDocument/2006/relationships/hyperlink" Target="https://www.facebook.com/rapplerdotcom/photos/a.317154781638645/5595372260483511/" TargetMode="External"/><Relationship Id="rId4763" Type="http://schemas.openxmlformats.org/officeDocument/2006/relationships/hyperlink" Target="https://www.facebook.com/watch/live/?ref=watch_permalink&amp;v=923735834984653" TargetMode="External"/><Relationship Id="rId2101" Type="http://schemas.openxmlformats.org/officeDocument/2006/relationships/hyperlink" Target="https://www.facebook.com/maryrose.t.zamora" TargetMode="External"/><Relationship Id="rId3431" Type="http://schemas.openxmlformats.org/officeDocument/2006/relationships/hyperlink" Target="https://www.facebook.com/profile.php?id=100049380352017" TargetMode="External"/><Relationship Id="rId4762" Type="http://schemas.openxmlformats.org/officeDocument/2006/relationships/hyperlink" Target="https://www.facebook.com/profile.php?id=100014953603014" TargetMode="External"/><Relationship Id="rId2102" Type="http://schemas.openxmlformats.org/officeDocument/2006/relationships/hyperlink" Target="https://www.facebook.com/rapplerdotcom/photos/a.317154781638645/5596022273751843/" TargetMode="External"/><Relationship Id="rId3434" Type="http://schemas.openxmlformats.org/officeDocument/2006/relationships/hyperlink" Target="https://www.facebook.com/rapplerdotcom/photos/a.317154781638645/5595372260483511/" TargetMode="External"/><Relationship Id="rId4765" Type="http://schemas.openxmlformats.org/officeDocument/2006/relationships/hyperlink" Target="https://www.facebook.com/watch/live/?ref=watch_permalink&amp;v=923735834984653" TargetMode="External"/><Relationship Id="rId2103" Type="http://schemas.openxmlformats.org/officeDocument/2006/relationships/hyperlink" Target="https://www.facebook.com/jethro.ramirez.3914" TargetMode="External"/><Relationship Id="rId3433" Type="http://schemas.openxmlformats.org/officeDocument/2006/relationships/hyperlink" Target="https://www.facebook.com/jonathan.biwit" TargetMode="External"/><Relationship Id="rId4764" Type="http://schemas.openxmlformats.org/officeDocument/2006/relationships/hyperlink" Target="https://www.facebook.com/profile.php?id=100070807127692" TargetMode="External"/><Relationship Id="rId3425" Type="http://schemas.openxmlformats.org/officeDocument/2006/relationships/hyperlink" Target="https://www.facebook.com/blackwidow0910" TargetMode="External"/><Relationship Id="rId4756" Type="http://schemas.openxmlformats.org/officeDocument/2006/relationships/hyperlink" Target="https://www.facebook.com/josefina.rubi" TargetMode="External"/><Relationship Id="rId3424" Type="http://schemas.openxmlformats.org/officeDocument/2006/relationships/hyperlink" Target="https://www.facebook.com/rapplerdotcom/photos/a.317154781638645/5595372260483511/" TargetMode="External"/><Relationship Id="rId4755" Type="http://schemas.openxmlformats.org/officeDocument/2006/relationships/hyperlink" Target="https://www.facebook.com/watch/live/?ref=watch_permalink&amp;v=923735834984653" TargetMode="External"/><Relationship Id="rId3427" Type="http://schemas.openxmlformats.org/officeDocument/2006/relationships/hyperlink" Target="https://www.facebook.com/jaye.jackson.5" TargetMode="External"/><Relationship Id="rId4758" Type="http://schemas.openxmlformats.org/officeDocument/2006/relationships/hyperlink" Target="https://www.facebook.com/shirley.n.patriarca" TargetMode="External"/><Relationship Id="rId3426" Type="http://schemas.openxmlformats.org/officeDocument/2006/relationships/hyperlink" Target="https://www.facebook.com/rapplerdotcom/photos/a.317154781638645/5595372260483511/" TargetMode="External"/><Relationship Id="rId4757" Type="http://schemas.openxmlformats.org/officeDocument/2006/relationships/hyperlink" Target="https://www.facebook.com/watch/live/?ref=watch_permalink&amp;v=923735834984653" TargetMode="External"/><Relationship Id="rId3429" Type="http://schemas.openxmlformats.org/officeDocument/2006/relationships/hyperlink" Target="https://www.facebook.com/olracyer.nadneba.3" TargetMode="External"/><Relationship Id="rId3428" Type="http://schemas.openxmlformats.org/officeDocument/2006/relationships/hyperlink" Target="https://www.facebook.com/rapplerdotcom/photos/a.317154781638645/5595372260483511/" TargetMode="External"/><Relationship Id="rId4759" Type="http://schemas.openxmlformats.org/officeDocument/2006/relationships/hyperlink" Target="https://www.facebook.com/watch/live/?ref=watch_permalink&amp;v=923735834984653" TargetMode="External"/><Relationship Id="rId4750" Type="http://schemas.openxmlformats.org/officeDocument/2006/relationships/hyperlink" Target="https://www.facebook.com/ester.lualhati19" TargetMode="External"/><Relationship Id="rId3421" Type="http://schemas.openxmlformats.org/officeDocument/2006/relationships/hyperlink" Target="https://www.facebook.com/eduardo.m.lombo" TargetMode="External"/><Relationship Id="rId4752" Type="http://schemas.openxmlformats.org/officeDocument/2006/relationships/hyperlink" Target="https://www.facebook.com/kyline.reyes.7" TargetMode="External"/><Relationship Id="rId3420" Type="http://schemas.openxmlformats.org/officeDocument/2006/relationships/hyperlink" Target="https://www.facebook.com/rapplerdotcom/photos/a.317154781638645/5595372260483511/" TargetMode="External"/><Relationship Id="rId4751" Type="http://schemas.openxmlformats.org/officeDocument/2006/relationships/hyperlink" Target="https://www.facebook.com/watch/live/?ref=watch_permalink&amp;v=923735834984653" TargetMode="External"/><Relationship Id="rId3423" Type="http://schemas.openxmlformats.org/officeDocument/2006/relationships/hyperlink" Target="https://www.facebook.com/eduardo.m.lombo" TargetMode="External"/><Relationship Id="rId4754" Type="http://schemas.openxmlformats.org/officeDocument/2006/relationships/hyperlink" Target="https://www.facebook.com/profile.php?id=100008170805196" TargetMode="External"/><Relationship Id="rId3422" Type="http://schemas.openxmlformats.org/officeDocument/2006/relationships/hyperlink" Target="https://www.facebook.com/rapplerdotcom/photos/a.317154781638645/5595372260483511/" TargetMode="External"/><Relationship Id="rId4753" Type="http://schemas.openxmlformats.org/officeDocument/2006/relationships/hyperlink" Target="https://www.facebook.com/watch/live/?ref=watch_permalink&amp;v=923735834984653" TargetMode="External"/><Relationship Id="rId2126" Type="http://schemas.openxmlformats.org/officeDocument/2006/relationships/hyperlink" Target="https://www.facebook.com/rapplerdotcom/photos/a.317154781638645/5596022273751843/" TargetMode="External"/><Relationship Id="rId3458" Type="http://schemas.openxmlformats.org/officeDocument/2006/relationships/hyperlink" Target="https://www.facebook.com/rapplerdotcom/photos/a.317154781638645/5595372260483511/" TargetMode="External"/><Relationship Id="rId4789" Type="http://schemas.openxmlformats.org/officeDocument/2006/relationships/hyperlink" Target="https://www.facebook.com/watch/live/?ref=watch_permalink&amp;v=923735834984653" TargetMode="External"/><Relationship Id="rId2127" Type="http://schemas.openxmlformats.org/officeDocument/2006/relationships/hyperlink" Target="https://www.facebook.com/analyn.bravo" TargetMode="External"/><Relationship Id="rId3457" Type="http://schemas.openxmlformats.org/officeDocument/2006/relationships/hyperlink" Target="https://www.facebook.com/patricio.patriciosemilla" TargetMode="External"/><Relationship Id="rId4788" Type="http://schemas.openxmlformats.org/officeDocument/2006/relationships/hyperlink" Target="https://www.facebook.com/alectv07" TargetMode="External"/><Relationship Id="rId2128" Type="http://schemas.openxmlformats.org/officeDocument/2006/relationships/hyperlink" Target="https://www.facebook.com/rapplerdotcom/photos/a.317154781638645/5596022273751843/" TargetMode="External"/><Relationship Id="rId2129" Type="http://schemas.openxmlformats.org/officeDocument/2006/relationships/hyperlink" Target="https://www.facebook.com/leilani.mallorca.543" TargetMode="External"/><Relationship Id="rId3459" Type="http://schemas.openxmlformats.org/officeDocument/2006/relationships/hyperlink" Target="https://www.facebook.com/leilani.roxas" TargetMode="External"/><Relationship Id="rId3450" Type="http://schemas.openxmlformats.org/officeDocument/2006/relationships/hyperlink" Target="https://www.facebook.com/rapplerdotcom/photos/a.317154781638645/5595372260483511/" TargetMode="External"/><Relationship Id="rId4781" Type="http://schemas.openxmlformats.org/officeDocument/2006/relationships/hyperlink" Target="https://www.facebook.com/watch/live/?ref=watch_permalink&amp;v=923735834984653" TargetMode="External"/><Relationship Id="rId4780" Type="http://schemas.openxmlformats.org/officeDocument/2006/relationships/hyperlink" Target="https://www.facebook.com/alectv07" TargetMode="External"/><Relationship Id="rId2120" Type="http://schemas.openxmlformats.org/officeDocument/2006/relationships/hyperlink" Target="https://www.facebook.com/rapplerdotcom/photos/a.317154781638645/5596022273751843/" TargetMode="External"/><Relationship Id="rId3452" Type="http://schemas.openxmlformats.org/officeDocument/2006/relationships/hyperlink" Target="https://www.facebook.com/rapplerdotcom/photos/a.317154781638645/5595372260483511/" TargetMode="External"/><Relationship Id="rId4783" Type="http://schemas.openxmlformats.org/officeDocument/2006/relationships/hyperlink" Target="https://www.facebook.com/watch/live/?ref=watch_permalink&amp;v=923735834984653" TargetMode="External"/><Relationship Id="rId2121" Type="http://schemas.openxmlformats.org/officeDocument/2006/relationships/hyperlink" Target="https://www.facebook.com/remy.dtamayo" TargetMode="External"/><Relationship Id="rId3451" Type="http://schemas.openxmlformats.org/officeDocument/2006/relationships/hyperlink" Target="https://www.facebook.com/patricio.patriciosemilla" TargetMode="External"/><Relationship Id="rId4782" Type="http://schemas.openxmlformats.org/officeDocument/2006/relationships/hyperlink" Target="https://www.facebook.com/emelisa.bautista" TargetMode="External"/><Relationship Id="rId2122" Type="http://schemas.openxmlformats.org/officeDocument/2006/relationships/hyperlink" Target="https://www.facebook.com/rapplerdotcom/photos/a.317154781638645/5596022273751843/" TargetMode="External"/><Relationship Id="rId3454" Type="http://schemas.openxmlformats.org/officeDocument/2006/relationships/hyperlink" Target="https://www.facebook.com/rapplerdotcom/photos/a.317154781638645/5595372260483511/" TargetMode="External"/><Relationship Id="rId4785" Type="http://schemas.openxmlformats.org/officeDocument/2006/relationships/hyperlink" Target="https://www.facebook.com/watch/live/?ref=watch_permalink&amp;v=923735834984653" TargetMode="External"/><Relationship Id="rId2123" Type="http://schemas.openxmlformats.org/officeDocument/2006/relationships/hyperlink" Target="https://www.facebook.com/gilbert.barbacena.7" TargetMode="External"/><Relationship Id="rId3453" Type="http://schemas.openxmlformats.org/officeDocument/2006/relationships/hyperlink" Target="https://www.facebook.com/profile.php?id=100008200051155" TargetMode="External"/><Relationship Id="rId4784" Type="http://schemas.openxmlformats.org/officeDocument/2006/relationships/hyperlink" Target="https://www.facebook.com/emelisa.bautista" TargetMode="External"/><Relationship Id="rId2124" Type="http://schemas.openxmlformats.org/officeDocument/2006/relationships/hyperlink" Target="https://www.facebook.com/rapplerdotcom/photos/a.317154781638645/5596022273751843/" TargetMode="External"/><Relationship Id="rId3456" Type="http://schemas.openxmlformats.org/officeDocument/2006/relationships/hyperlink" Target="https://www.facebook.com/rapplerdotcom/photos/a.317154781638645/5595372260483511/" TargetMode="External"/><Relationship Id="rId4787" Type="http://schemas.openxmlformats.org/officeDocument/2006/relationships/hyperlink" Target="https://www.facebook.com/watch/live/?ref=watch_permalink&amp;v=923735834984653" TargetMode="External"/><Relationship Id="rId2125" Type="http://schemas.openxmlformats.org/officeDocument/2006/relationships/hyperlink" Target="https://www.facebook.com/nonoy.tan.7" TargetMode="External"/><Relationship Id="rId3455" Type="http://schemas.openxmlformats.org/officeDocument/2006/relationships/hyperlink" Target="https://www.facebook.com/chug.mercado" TargetMode="External"/><Relationship Id="rId4786" Type="http://schemas.openxmlformats.org/officeDocument/2006/relationships/hyperlink" Target="https://www.facebook.com/alectv07" TargetMode="External"/><Relationship Id="rId2115" Type="http://schemas.openxmlformats.org/officeDocument/2006/relationships/hyperlink" Target="https://www.facebook.com/maribel.young" TargetMode="External"/><Relationship Id="rId3447" Type="http://schemas.openxmlformats.org/officeDocument/2006/relationships/hyperlink" Target="https://www.facebook.com/patricio.patriciosemilla" TargetMode="External"/><Relationship Id="rId4778" Type="http://schemas.openxmlformats.org/officeDocument/2006/relationships/hyperlink" Target="https://www.facebook.com/german.balderama.311" TargetMode="External"/><Relationship Id="rId2116" Type="http://schemas.openxmlformats.org/officeDocument/2006/relationships/hyperlink" Target="https://www.facebook.com/rapplerdotcom/photos/a.317154781638645/5596022273751843/" TargetMode="External"/><Relationship Id="rId3446" Type="http://schemas.openxmlformats.org/officeDocument/2006/relationships/hyperlink" Target="https://www.facebook.com/rapplerdotcom/photos/a.317154781638645/5595372260483511/" TargetMode="External"/><Relationship Id="rId4777" Type="http://schemas.openxmlformats.org/officeDocument/2006/relationships/hyperlink" Target="https://www.facebook.com/watch/live/?ref=watch_permalink&amp;v=923735834984653" TargetMode="External"/><Relationship Id="rId2117" Type="http://schemas.openxmlformats.org/officeDocument/2006/relationships/hyperlink" Target="https://www.facebook.com/jenniebee.hempisao" TargetMode="External"/><Relationship Id="rId3449" Type="http://schemas.openxmlformats.org/officeDocument/2006/relationships/hyperlink" Target="https://www.facebook.com/profile.php?id=100008200051155" TargetMode="External"/><Relationship Id="rId2118" Type="http://schemas.openxmlformats.org/officeDocument/2006/relationships/hyperlink" Target="https://www.facebook.com/rapplerdotcom/photos/a.317154781638645/5596022273751843/" TargetMode="External"/><Relationship Id="rId3448" Type="http://schemas.openxmlformats.org/officeDocument/2006/relationships/hyperlink" Target="https://www.facebook.com/rapplerdotcom/photos/a.317154781638645/5595372260483511/" TargetMode="External"/><Relationship Id="rId4779" Type="http://schemas.openxmlformats.org/officeDocument/2006/relationships/hyperlink" Target="https://www.facebook.com/watch/live/?ref=watch_permalink&amp;v=923735834984653" TargetMode="External"/><Relationship Id="rId2119" Type="http://schemas.openxmlformats.org/officeDocument/2006/relationships/hyperlink" Target="https://www.facebook.com/maceciliamf" TargetMode="External"/><Relationship Id="rId4770" Type="http://schemas.openxmlformats.org/officeDocument/2006/relationships/hyperlink" Target="https://www.facebook.com/alfredojun.castro" TargetMode="External"/><Relationship Id="rId3441" Type="http://schemas.openxmlformats.org/officeDocument/2006/relationships/hyperlink" Target="https://www.facebook.com/lily.maglalang" TargetMode="External"/><Relationship Id="rId4772" Type="http://schemas.openxmlformats.org/officeDocument/2006/relationships/hyperlink" Target="https://www.facebook.com/micoleizon" TargetMode="External"/><Relationship Id="rId2110" Type="http://schemas.openxmlformats.org/officeDocument/2006/relationships/hyperlink" Target="https://www.facebook.com/rapplerdotcom/photos/a.317154781638645/5596022273751843/" TargetMode="External"/><Relationship Id="rId3440" Type="http://schemas.openxmlformats.org/officeDocument/2006/relationships/hyperlink" Target="https://www.facebook.com/rapplerdotcom/photos/a.317154781638645/5595372260483511/" TargetMode="External"/><Relationship Id="rId4771" Type="http://schemas.openxmlformats.org/officeDocument/2006/relationships/hyperlink" Target="https://www.facebook.com/watch/live/?ref=watch_permalink&amp;v=923735834984653" TargetMode="External"/><Relationship Id="rId2111" Type="http://schemas.openxmlformats.org/officeDocument/2006/relationships/hyperlink" Target="https://www.facebook.com/monette.meris" TargetMode="External"/><Relationship Id="rId3443" Type="http://schemas.openxmlformats.org/officeDocument/2006/relationships/hyperlink" Target="https://www.facebook.com/samuel.cajipe.9" TargetMode="External"/><Relationship Id="rId4774" Type="http://schemas.openxmlformats.org/officeDocument/2006/relationships/hyperlink" Target="https://www.facebook.com/gen.eslao" TargetMode="External"/><Relationship Id="rId2112" Type="http://schemas.openxmlformats.org/officeDocument/2006/relationships/hyperlink" Target="https://www.facebook.com/rapplerdotcom/photos/a.317154781638645/5596022273751843/" TargetMode="External"/><Relationship Id="rId3442" Type="http://schemas.openxmlformats.org/officeDocument/2006/relationships/hyperlink" Target="https://www.facebook.com/rapplerdotcom/photos/a.317154781638645/5595372260483511/" TargetMode="External"/><Relationship Id="rId4773" Type="http://schemas.openxmlformats.org/officeDocument/2006/relationships/hyperlink" Target="https://www.facebook.com/watch/live/?ref=watch_permalink&amp;v=923735834984653" TargetMode="External"/><Relationship Id="rId2113" Type="http://schemas.openxmlformats.org/officeDocument/2006/relationships/hyperlink" Target="https://www.facebook.com/liz.lim.50115" TargetMode="External"/><Relationship Id="rId3445" Type="http://schemas.openxmlformats.org/officeDocument/2006/relationships/hyperlink" Target="https://www.facebook.com/bautista.jimmy.98" TargetMode="External"/><Relationship Id="rId4776" Type="http://schemas.openxmlformats.org/officeDocument/2006/relationships/hyperlink" Target="https://www.facebook.com/micoleizon" TargetMode="External"/><Relationship Id="rId2114" Type="http://schemas.openxmlformats.org/officeDocument/2006/relationships/hyperlink" Target="https://www.facebook.com/rapplerdotcom/photos/a.317154781638645/5596022273751843/" TargetMode="External"/><Relationship Id="rId3444" Type="http://schemas.openxmlformats.org/officeDocument/2006/relationships/hyperlink" Target="https://www.facebook.com/rapplerdotcom/photos/a.317154781638645/5595372260483511/" TargetMode="External"/><Relationship Id="rId4775" Type="http://schemas.openxmlformats.org/officeDocument/2006/relationships/hyperlink" Target="https://www.facebook.com/watch/live/?ref=watch_permalink&amp;v=923735834984653" TargetMode="External"/><Relationship Id="rId5251" Type="http://schemas.openxmlformats.org/officeDocument/2006/relationships/hyperlink" Target="https://www.facebook.com/rapplerdotcom/photos/a.317154781638645/5594264657260938/" TargetMode="External"/><Relationship Id="rId5252" Type="http://schemas.openxmlformats.org/officeDocument/2006/relationships/hyperlink" Target="https://www.facebook.com/fred.deleon.9" TargetMode="External"/><Relationship Id="rId5250" Type="http://schemas.openxmlformats.org/officeDocument/2006/relationships/hyperlink" Target="https://www.facebook.com/topher.asp.3" TargetMode="External"/><Relationship Id="rId5255" Type="http://schemas.openxmlformats.org/officeDocument/2006/relationships/hyperlink" Target="https://www.facebook.com/rapplerdotcom/photos/a.317154781638645/5594264657260938/" TargetMode="External"/><Relationship Id="rId5256" Type="http://schemas.openxmlformats.org/officeDocument/2006/relationships/hyperlink" Target="https://www.facebook.com/cjal.valhol" TargetMode="External"/><Relationship Id="rId5253" Type="http://schemas.openxmlformats.org/officeDocument/2006/relationships/hyperlink" Target="https://www.facebook.com/rapplerdotcom/photos/a.317154781638645/5594264657260938/" TargetMode="External"/><Relationship Id="rId5254" Type="http://schemas.openxmlformats.org/officeDocument/2006/relationships/hyperlink" Target="https://www.facebook.com/nivelyn.abella.1" TargetMode="External"/><Relationship Id="rId5259" Type="http://schemas.openxmlformats.org/officeDocument/2006/relationships/hyperlink" Target="https://www.facebook.com/rapplerdotcom/photos/a.317154781638645/5594264657260938/" TargetMode="External"/><Relationship Id="rId5257" Type="http://schemas.openxmlformats.org/officeDocument/2006/relationships/hyperlink" Target="https://www.facebook.com/rapplerdotcom/photos/a.317154781638645/5594264657260938/" TargetMode="External"/><Relationship Id="rId5258" Type="http://schemas.openxmlformats.org/officeDocument/2006/relationships/hyperlink" Target="https://www.facebook.com/ryanjay.gil" TargetMode="External"/><Relationship Id="rId5240" Type="http://schemas.openxmlformats.org/officeDocument/2006/relationships/hyperlink" Target="https://www.facebook.com/gectojennieca" TargetMode="External"/><Relationship Id="rId5241" Type="http://schemas.openxmlformats.org/officeDocument/2006/relationships/hyperlink" Target="https://www.facebook.com/rapplerdotcom/photos/a.317154781638645/5594264657260938/" TargetMode="External"/><Relationship Id="rId5244" Type="http://schemas.openxmlformats.org/officeDocument/2006/relationships/hyperlink" Target="https://www.facebook.com/nichi.egg" TargetMode="External"/><Relationship Id="rId5245" Type="http://schemas.openxmlformats.org/officeDocument/2006/relationships/hyperlink" Target="https://www.facebook.com/rapplerdotcom/photos/a.317154781638645/5594264657260938/" TargetMode="External"/><Relationship Id="rId5242" Type="http://schemas.openxmlformats.org/officeDocument/2006/relationships/hyperlink" Target="https://www.facebook.com/mrbentaph/" TargetMode="External"/><Relationship Id="rId5243" Type="http://schemas.openxmlformats.org/officeDocument/2006/relationships/hyperlink" Target="https://www.facebook.com/rapplerdotcom/photos/a.317154781638645/5594264657260938/" TargetMode="External"/><Relationship Id="rId5248" Type="http://schemas.openxmlformats.org/officeDocument/2006/relationships/hyperlink" Target="https://www.facebook.com/maldita.santita" TargetMode="External"/><Relationship Id="rId5249" Type="http://schemas.openxmlformats.org/officeDocument/2006/relationships/hyperlink" Target="https://www.facebook.com/rapplerdotcom/photos/a.317154781638645/5594264657260938/" TargetMode="External"/><Relationship Id="rId5246" Type="http://schemas.openxmlformats.org/officeDocument/2006/relationships/hyperlink" Target="https://www.facebook.com/john.berango" TargetMode="External"/><Relationship Id="rId5247" Type="http://schemas.openxmlformats.org/officeDocument/2006/relationships/hyperlink" Target="https://www.facebook.com/rapplerdotcom/photos/a.317154781638645/5594264657260938/" TargetMode="External"/><Relationship Id="rId5270" Type="http://schemas.openxmlformats.org/officeDocument/2006/relationships/hyperlink" Target="https://www.facebook.com/chazper21" TargetMode="External"/><Relationship Id="rId5273" Type="http://schemas.openxmlformats.org/officeDocument/2006/relationships/hyperlink" Target="https://www.facebook.com/rapplerdotcom/photos/a.317154781638645/5594264657260938/" TargetMode="External"/><Relationship Id="rId5274" Type="http://schemas.openxmlformats.org/officeDocument/2006/relationships/hyperlink" Target="https://www.facebook.com/alex.calague" TargetMode="External"/><Relationship Id="rId5271" Type="http://schemas.openxmlformats.org/officeDocument/2006/relationships/hyperlink" Target="https://www.facebook.com/rapplerdotcom/photos/a.317154781638645/5594264657260938/" TargetMode="External"/><Relationship Id="rId5272" Type="http://schemas.openxmlformats.org/officeDocument/2006/relationships/hyperlink" Target="https://www.facebook.com/alectv07" TargetMode="External"/><Relationship Id="rId5277" Type="http://schemas.openxmlformats.org/officeDocument/2006/relationships/hyperlink" Target="https://www.facebook.com/rapplerdotcom/photos/a.317154781638645/5594264657260938/" TargetMode="External"/><Relationship Id="rId5278" Type="http://schemas.openxmlformats.org/officeDocument/2006/relationships/hyperlink" Target="https://www.facebook.com/profile.php?id=100065857924899" TargetMode="External"/><Relationship Id="rId5275" Type="http://schemas.openxmlformats.org/officeDocument/2006/relationships/hyperlink" Target="https://www.facebook.com/rapplerdotcom/photos/a.317154781638645/5594264657260938/" TargetMode="External"/><Relationship Id="rId5276" Type="http://schemas.openxmlformats.org/officeDocument/2006/relationships/hyperlink" Target="https://www.facebook.com/vcatamisanjr" TargetMode="External"/><Relationship Id="rId5279" Type="http://schemas.openxmlformats.org/officeDocument/2006/relationships/hyperlink" Target="https://www.facebook.com/rapplerdotcom/photos/a.317154781638645/5594264657260938/" TargetMode="External"/><Relationship Id="rId5262" Type="http://schemas.openxmlformats.org/officeDocument/2006/relationships/hyperlink" Target="https://www.facebook.com/profile.php?id=100076414760032" TargetMode="External"/><Relationship Id="rId5263" Type="http://schemas.openxmlformats.org/officeDocument/2006/relationships/hyperlink" Target="https://www.facebook.com/rapplerdotcom/photos/a.317154781638645/5594264657260938/" TargetMode="External"/><Relationship Id="rId5260" Type="http://schemas.openxmlformats.org/officeDocument/2006/relationships/hyperlink" Target="https://www.facebook.com/rhodora.entera" TargetMode="External"/><Relationship Id="rId5261" Type="http://schemas.openxmlformats.org/officeDocument/2006/relationships/hyperlink" Target="https://www.facebook.com/rapplerdotcom/photos/a.317154781638645/5594264657260938/" TargetMode="External"/><Relationship Id="rId5266" Type="http://schemas.openxmlformats.org/officeDocument/2006/relationships/hyperlink" Target="https://www.facebook.com/melchor.serawom" TargetMode="External"/><Relationship Id="rId5267" Type="http://schemas.openxmlformats.org/officeDocument/2006/relationships/hyperlink" Target="https://www.facebook.com/rapplerdotcom/photos/a.317154781638645/5594264657260938/" TargetMode="External"/><Relationship Id="rId5264" Type="http://schemas.openxmlformats.org/officeDocument/2006/relationships/hyperlink" Target="https://www.facebook.com/eavonnemurielle.baltazar" TargetMode="External"/><Relationship Id="rId5265" Type="http://schemas.openxmlformats.org/officeDocument/2006/relationships/hyperlink" Target="https://www.facebook.com/rapplerdotcom/photos/a.317154781638645/5594264657260938/" TargetMode="External"/><Relationship Id="rId5268" Type="http://schemas.openxmlformats.org/officeDocument/2006/relationships/hyperlink" Target="https://www.facebook.com/ETHANAJMARK" TargetMode="External"/><Relationship Id="rId5269" Type="http://schemas.openxmlformats.org/officeDocument/2006/relationships/hyperlink" Target="https://www.facebook.com/rapplerdotcom/photos/a.317154781638645/5594264657260938/" TargetMode="External"/><Relationship Id="rId5219" Type="http://schemas.openxmlformats.org/officeDocument/2006/relationships/hyperlink" Target="https://www.facebook.com/rapplerdotcom/photos/a.317154781638645/5594264657260938/" TargetMode="External"/><Relationship Id="rId5217" Type="http://schemas.openxmlformats.org/officeDocument/2006/relationships/hyperlink" Target="https://www.facebook.com/rapplerdotcom/photos/a.317154781638645/5594264657260938/" TargetMode="External"/><Relationship Id="rId5218" Type="http://schemas.openxmlformats.org/officeDocument/2006/relationships/hyperlink" Target="https://www.facebook.com/ramondexter.tuason" TargetMode="External"/><Relationship Id="rId392" Type="http://schemas.openxmlformats.org/officeDocument/2006/relationships/hyperlink" Target="https://www.facebook.com/Jadiz50" TargetMode="External"/><Relationship Id="rId391" Type="http://schemas.openxmlformats.org/officeDocument/2006/relationships/hyperlink" Target="https://www.facebook.com/rapplerdotcom/photos/a.317154781638645/5598220220198715/" TargetMode="External"/><Relationship Id="rId390" Type="http://schemas.openxmlformats.org/officeDocument/2006/relationships/hyperlink" Target="https://www.facebook.com/Jadiz50" TargetMode="External"/><Relationship Id="rId385" Type="http://schemas.openxmlformats.org/officeDocument/2006/relationships/hyperlink" Target="https://www.facebook.com/rapplerdotcom/photos/a.317154781638645/5598220220198715/" TargetMode="External"/><Relationship Id="rId5211" Type="http://schemas.openxmlformats.org/officeDocument/2006/relationships/hyperlink" Target="https://www.facebook.com/rapplerdotcom/photos/a.317154781638645/5594264657260938/" TargetMode="External"/><Relationship Id="rId384" Type="http://schemas.openxmlformats.org/officeDocument/2006/relationships/hyperlink" Target="https://www.facebook.com/nssilvela" TargetMode="External"/><Relationship Id="rId5212" Type="http://schemas.openxmlformats.org/officeDocument/2006/relationships/hyperlink" Target="https://www.facebook.com/profile.php?id=100078311490623" TargetMode="External"/><Relationship Id="rId383" Type="http://schemas.openxmlformats.org/officeDocument/2006/relationships/hyperlink" Target="https://www.facebook.com/rapplerdotcom/photos/a.317154781638645/5598220220198715/" TargetMode="External"/><Relationship Id="rId382" Type="http://schemas.openxmlformats.org/officeDocument/2006/relationships/hyperlink" Target="https://www.facebook.com/joyce.orena" TargetMode="External"/><Relationship Id="rId5210" Type="http://schemas.openxmlformats.org/officeDocument/2006/relationships/hyperlink" Target="https://www.facebook.com/nick.codico.5" TargetMode="External"/><Relationship Id="rId389" Type="http://schemas.openxmlformats.org/officeDocument/2006/relationships/hyperlink" Target="https://www.facebook.com/rapplerdotcom/photos/a.317154781638645/5598220220198715/" TargetMode="External"/><Relationship Id="rId5215" Type="http://schemas.openxmlformats.org/officeDocument/2006/relationships/hyperlink" Target="https://www.facebook.com/rapplerdotcom/photos/a.317154781638645/5594264657260938/" TargetMode="External"/><Relationship Id="rId388" Type="http://schemas.openxmlformats.org/officeDocument/2006/relationships/hyperlink" Target="https://www.facebook.com/johnragadi" TargetMode="External"/><Relationship Id="rId5216" Type="http://schemas.openxmlformats.org/officeDocument/2006/relationships/hyperlink" Target="https://www.facebook.com/leysillote" TargetMode="External"/><Relationship Id="rId387" Type="http://schemas.openxmlformats.org/officeDocument/2006/relationships/hyperlink" Target="https://www.facebook.com/rapplerdotcom/photos/a.317154781638645/5598220220198715/" TargetMode="External"/><Relationship Id="rId5213" Type="http://schemas.openxmlformats.org/officeDocument/2006/relationships/hyperlink" Target="https://www.facebook.com/rapplerdotcom/photos/a.317154781638645/5594264657260938/" TargetMode="External"/><Relationship Id="rId386" Type="http://schemas.openxmlformats.org/officeDocument/2006/relationships/hyperlink" Target="https://www.facebook.com/ejllorente04" TargetMode="External"/><Relationship Id="rId5214" Type="http://schemas.openxmlformats.org/officeDocument/2006/relationships/hyperlink" Target="https://www.facebook.com/jenessa.dano.1" TargetMode="External"/><Relationship Id="rId5208" Type="http://schemas.openxmlformats.org/officeDocument/2006/relationships/hyperlink" Target="https://www.facebook.com/vivien.griego" TargetMode="External"/><Relationship Id="rId5209" Type="http://schemas.openxmlformats.org/officeDocument/2006/relationships/hyperlink" Target="https://www.facebook.com/rapplerdotcom/photos/a.317154781638645/5594264657260938/" TargetMode="External"/><Relationship Id="rId5206" Type="http://schemas.openxmlformats.org/officeDocument/2006/relationships/hyperlink" Target="https://www.facebook.com/lorenza.ito.33" TargetMode="External"/><Relationship Id="rId5207" Type="http://schemas.openxmlformats.org/officeDocument/2006/relationships/hyperlink" Target="https://www.facebook.com/rapplerdotcom/photos/a.317154781638645/5594264657260938/" TargetMode="External"/><Relationship Id="rId381" Type="http://schemas.openxmlformats.org/officeDocument/2006/relationships/hyperlink" Target="https://www.facebook.com/rapplerdotcom/photos/a.317154781638645/5598220220198715/" TargetMode="External"/><Relationship Id="rId380" Type="http://schemas.openxmlformats.org/officeDocument/2006/relationships/hyperlink" Target="https://www.facebook.com/aida.villauz" TargetMode="External"/><Relationship Id="rId379" Type="http://schemas.openxmlformats.org/officeDocument/2006/relationships/hyperlink" Target="https://www.facebook.com/rapplerdotcom/photos/a.317154781638645/5598220220198715/" TargetMode="External"/><Relationship Id="rId374" Type="http://schemas.openxmlformats.org/officeDocument/2006/relationships/hyperlink" Target="https://www.facebook.com/RomelManugidLorilla07" TargetMode="External"/><Relationship Id="rId5200" Type="http://schemas.openxmlformats.org/officeDocument/2006/relationships/hyperlink" Target="https://www.facebook.com/cydrex.bernabe.7" TargetMode="External"/><Relationship Id="rId373" Type="http://schemas.openxmlformats.org/officeDocument/2006/relationships/hyperlink" Target="https://www.facebook.com/rapplerdotcom/photos/a.317154781638645/5598220220198715/" TargetMode="External"/><Relationship Id="rId5201" Type="http://schemas.openxmlformats.org/officeDocument/2006/relationships/hyperlink" Target="https://www.facebook.com/rapplerdotcom/photos/a.317154781638645/5594264657260938/" TargetMode="External"/><Relationship Id="rId372" Type="http://schemas.openxmlformats.org/officeDocument/2006/relationships/hyperlink" Target="https://www.facebook.com/lolit.gaddi.1" TargetMode="External"/><Relationship Id="rId371" Type="http://schemas.openxmlformats.org/officeDocument/2006/relationships/hyperlink" Target="https://www.facebook.com/rapplerdotcom/photos/a.317154781638645/5598220220198715/" TargetMode="External"/><Relationship Id="rId378" Type="http://schemas.openxmlformats.org/officeDocument/2006/relationships/hyperlink" Target="https://www.facebook.com/frankanthony.pataueg.1" TargetMode="External"/><Relationship Id="rId5204" Type="http://schemas.openxmlformats.org/officeDocument/2006/relationships/hyperlink" Target="https://www.facebook.com/profile.php?id=100057086594248" TargetMode="External"/><Relationship Id="rId377" Type="http://schemas.openxmlformats.org/officeDocument/2006/relationships/hyperlink" Target="https://www.facebook.com/rapplerdotcom/photos/a.317154781638645/5598220220198715/" TargetMode="External"/><Relationship Id="rId5205" Type="http://schemas.openxmlformats.org/officeDocument/2006/relationships/hyperlink" Target="https://www.facebook.com/rapplerdotcom/photos/a.317154781638645/5594264657260938/" TargetMode="External"/><Relationship Id="rId376" Type="http://schemas.openxmlformats.org/officeDocument/2006/relationships/hyperlink" Target="https://www.facebook.com/romel.mesina.9" TargetMode="External"/><Relationship Id="rId5202" Type="http://schemas.openxmlformats.org/officeDocument/2006/relationships/hyperlink" Target="https://www.facebook.com/dhailyn.serrano" TargetMode="External"/><Relationship Id="rId375" Type="http://schemas.openxmlformats.org/officeDocument/2006/relationships/hyperlink" Target="https://www.facebook.com/rapplerdotcom/photos/a.317154781638645/5598220220198715/" TargetMode="External"/><Relationship Id="rId5203" Type="http://schemas.openxmlformats.org/officeDocument/2006/relationships/hyperlink" Target="https://www.facebook.com/rapplerdotcom/photos/a.317154781638645/5594264657260938/" TargetMode="External"/><Relationship Id="rId5239" Type="http://schemas.openxmlformats.org/officeDocument/2006/relationships/hyperlink" Target="https://www.facebook.com/rapplerdotcom/photos/a.317154781638645/5594264657260938/" TargetMode="External"/><Relationship Id="rId5230" Type="http://schemas.openxmlformats.org/officeDocument/2006/relationships/hyperlink" Target="https://www.facebook.com/jon.eleria" TargetMode="External"/><Relationship Id="rId5233" Type="http://schemas.openxmlformats.org/officeDocument/2006/relationships/hyperlink" Target="https://www.facebook.com/rapplerdotcom/photos/a.317154781638645/5594264657260938/" TargetMode="External"/><Relationship Id="rId5234" Type="http://schemas.openxmlformats.org/officeDocument/2006/relationships/hyperlink" Target="https://www.facebook.com/penn.adbiz" TargetMode="External"/><Relationship Id="rId5231" Type="http://schemas.openxmlformats.org/officeDocument/2006/relationships/hyperlink" Target="https://www.facebook.com/rapplerdotcom/photos/a.317154781638645/5594264657260938/" TargetMode="External"/><Relationship Id="rId5232" Type="http://schemas.openxmlformats.org/officeDocument/2006/relationships/hyperlink" Target="https://www.facebook.com/toto.sanpedro" TargetMode="External"/><Relationship Id="rId5237" Type="http://schemas.openxmlformats.org/officeDocument/2006/relationships/hyperlink" Target="https://www.facebook.com/rapplerdotcom/photos/a.317154781638645/5594264657260938/" TargetMode="External"/><Relationship Id="rId5238" Type="http://schemas.openxmlformats.org/officeDocument/2006/relationships/hyperlink" Target="https://www.facebook.com/claryssebea.sana" TargetMode="External"/><Relationship Id="rId5235" Type="http://schemas.openxmlformats.org/officeDocument/2006/relationships/hyperlink" Target="https://www.facebook.com/rapplerdotcom/photos/a.317154781638645/5594264657260938/" TargetMode="External"/><Relationship Id="rId5236" Type="http://schemas.openxmlformats.org/officeDocument/2006/relationships/hyperlink" Target="https://www.facebook.com/gectojennieca" TargetMode="External"/><Relationship Id="rId5228" Type="http://schemas.openxmlformats.org/officeDocument/2006/relationships/hyperlink" Target="https://www.facebook.com/layf.lacatango.3" TargetMode="External"/><Relationship Id="rId5229" Type="http://schemas.openxmlformats.org/officeDocument/2006/relationships/hyperlink" Target="https://www.facebook.com/rapplerdotcom/photos/a.317154781638645/5594264657260938/" TargetMode="External"/><Relationship Id="rId396" Type="http://schemas.openxmlformats.org/officeDocument/2006/relationships/hyperlink" Target="https://www.facebook.com/nap.cruz.3" TargetMode="External"/><Relationship Id="rId5222" Type="http://schemas.openxmlformats.org/officeDocument/2006/relationships/hyperlink" Target="https://www.facebook.com/DBTunacao" TargetMode="External"/><Relationship Id="rId395" Type="http://schemas.openxmlformats.org/officeDocument/2006/relationships/hyperlink" Target="https://www.facebook.com/rapplerdotcom/photos/a.317154781638645/5598220220198715/" TargetMode="External"/><Relationship Id="rId5223" Type="http://schemas.openxmlformats.org/officeDocument/2006/relationships/hyperlink" Target="https://www.facebook.com/rapplerdotcom/photos/a.317154781638645/5594264657260938/" TargetMode="External"/><Relationship Id="rId394" Type="http://schemas.openxmlformats.org/officeDocument/2006/relationships/hyperlink" Target="https://www.facebook.com/bill.worth.1422" TargetMode="External"/><Relationship Id="rId5220" Type="http://schemas.openxmlformats.org/officeDocument/2006/relationships/hyperlink" Target="https://www.facebook.com/emman.bantad" TargetMode="External"/><Relationship Id="rId393" Type="http://schemas.openxmlformats.org/officeDocument/2006/relationships/hyperlink" Target="https://www.facebook.com/rapplerdotcom/photos/a.317154781638645/5598220220198715/" TargetMode="External"/><Relationship Id="rId5221" Type="http://schemas.openxmlformats.org/officeDocument/2006/relationships/hyperlink" Target="https://www.facebook.com/rapplerdotcom/photos/a.317154781638645/5594264657260938/" TargetMode="External"/><Relationship Id="rId5226" Type="http://schemas.openxmlformats.org/officeDocument/2006/relationships/hyperlink" Target="https://www.facebook.com/markela.kamama" TargetMode="External"/><Relationship Id="rId399" Type="http://schemas.openxmlformats.org/officeDocument/2006/relationships/hyperlink" Target="https://www.facebook.com/rapplerdotcom/photos/a.317154781638645/5598220220198715/" TargetMode="External"/><Relationship Id="rId5227" Type="http://schemas.openxmlformats.org/officeDocument/2006/relationships/hyperlink" Target="https://www.facebook.com/rapplerdotcom/photos/a.317154781638645/5594264657260938/" TargetMode="External"/><Relationship Id="rId398" Type="http://schemas.openxmlformats.org/officeDocument/2006/relationships/hyperlink" Target="https://www.facebook.com/steve.tamayo.18" TargetMode="External"/><Relationship Id="rId5224" Type="http://schemas.openxmlformats.org/officeDocument/2006/relationships/hyperlink" Target="https://www.facebook.com/estherlyn1" TargetMode="External"/><Relationship Id="rId397" Type="http://schemas.openxmlformats.org/officeDocument/2006/relationships/hyperlink" Target="https://www.facebook.com/rapplerdotcom/photos/a.317154781638645/5598220220198715/" TargetMode="External"/><Relationship Id="rId5225" Type="http://schemas.openxmlformats.org/officeDocument/2006/relationships/hyperlink" Target="https://www.facebook.com/rapplerdotcom/photos/a.317154781638645/5594264657260938/" TargetMode="External"/><Relationship Id="rId1730" Type="http://schemas.openxmlformats.org/officeDocument/2006/relationships/hyperlink" Target="https://www.facebook.com/rapplerdotcom/photos/a.317154781638645/5596043783749692/" TargetMode="External"/><Relationship Id="rId1731" Type="http://schemas.openxmlformats.org/officeDocument/2006/relationships/hyperlink" Target="https://www.facebook.com/nedned.anobla" TargetMode="External"/><Relationship Id="rId1732" Type="http://schemas.openxmlformats.org/officeDocument/2006/relationships/hyperlink" Target="https://www.facebook.com/rapplerdotcom/photos/a.317154781638645/5596043783749692/" TargetMode="External"/><Relationship Id="rId1733" Type="http://schemas.openxmlformats.org/officeDocument/2006/relationships/hyperlink" Target="https://www.facebook.com/jean.salmorin.731" TargetMode="External"/><Relationship Id="rId1734" Type="http://schemas.openxmlformats.org/officeDocument/2006/relationships/hyperlink" Target="https://www.facebook.com/rapplerdotcom/photos/a.317154781638645/5596043783749692/" TargetMode="External"/><Relationship Id="rId1735" Type="http://schemas.openxmlformats.org/officeDocument/2006/relationships/hyperlink" Target="https://www.facebook.com/honeybee.apelado" TargetMode="External"/><Relationship Id="rId1736" Type="http://schemas.openxmlformats.org/officeDocument/2006/relationships/hyperlink" Target="https://www.facebook.com/rapplerdotcom/photos/a.317154781638645/5596043783749692/" TargetMode="External"/><Relationship Id="rId1737" Type="http://schemas.openxmlformats.org/officeDocument/2006/relationships/hyperlink" Target="https://www.facebook.com/profile.php?id=100023261888630" TargetMode="External"/><Relationship Id="rId1738" Type="http://schemas.openxmlformats.org/officeDocument/2006/relationships/hyperlink" Target="https://www.facebook.com/rapplerdotcom/photos/a.317154781638645/5596043783749692/" TargetMode="External"/><Relationship Id="rId1739" Type="http://schemas.openxmlformats.org/officeDocument/2006/relationships/hyperlink" Target="https://www.facebook.com/ellen.barrios" TargetMode="External"/><Relationship Id="rId1720" Type="http://schemas.openxmlformats.org/officeDocument/2006/relationships/hyperlink" Target="https://www.facebook.com/rapplerdotcom/photos/a.317154781638645/5596043783749692/" TargetMode="External"/><Relationship Id="rId1721" Type="http://schemas.openxmlformats.org/officeDocument/2006/relationships/hyperlink" Target="https://www.facebook.com/mhelay.ybanez" TargetMode="External"/><Relationship Id="rId1722" Type="http://schemas.openxmlformats.org/officeDocument/2006/relationships/hyperlink" Target="https://www.facebook.com/rapplerdotcom/photos/a.317154781638645/5596043783749692/" TargetMode="External"/><Relationship Id="rId1723" Type="http://schemas.openxmlformats.org/officeDocument/2006/relationships/hyperlink" Target="https://www.facebook.com/dhang.veritas" TargetMode="External"/><Relationship Id="rId1724" Type="http://schemas.openxmlformats.org/officeDocument/2006/relationships/hyperlink" Target="https://www.facebook.com/rapplerdotcom/photos/a.317154781638645/5596043783749692/" TargetMode="External"/><Relationship Id="rId1725" Type="http://schemas.openxmlformats.org/officeDocument/2006/relationships/hyperlink" Target="https://www.facebook.com/xernes.martinez" TargetMode="External"/><Relationship Id="rId1726" Type="http://schemas.openxmlformats.org/officeDocument/2006/relationships/hyperlink" Target="https://www.facebook.com/rapplerdotcom/photos/a.317154781638645/5596043783749692/" TargetMode="External"/><Relationship Id="rId1727" Type="http://schemas.openxmlformats.org/officeDocument/2006/relationships/hyperlink" Target="https://www.facebook.com/ellen.barrios" TargetMode="External"/><Relationship Id="rId1728" Type="http://schemas.openxmlformats.org/officeDocument/2006/relationships/hyperlink" Target="https://www.facebook.com/rapplerdotcom/photos/a.317154781638645/5596043783749692/" TargetMode="External"/><Relationship Id="rId1729" Type="http://schemas.openxmlformats.org/officeDocument/2006/relationships/hyperlink" Target="https://www.facebook.com/nedned.anobla" TargetMode="External"/><Relationship Id="rId1752" Type="http://schemas.openxmlformats.org/officeDocument/2006/relationships/hyperlink" Target="https://www.facebook.com/rapplerdotcom/photos/a.317154781638645/5596043783749692/" TargetMode="External"/><Relationship Id="rId1753" Type="http://schemas.openxmlformats.org/officeDocument/2006/relationships/hyperlink" Target="https://www.facebook.com/dyoeff.lmabasa" TargetMode="External"/><Relationship Id="rId1754" Type="http://schemas.openxmlformats.org/officeDocument/2006/relationships/hyperlink" Target="https://www.facebook.com/rapplerdotcom/photos/a.317154781638645/5596043783749692/" TargetMode="External"/><Relationship Id="rId1755" Type="http://schemas.openxmlformats.org/officeDocument/2006/relationships/hyperlink" Target="https://www.facebook.com/yongcoonang" TargetMode="External"/><Relationship Id="rId1756" Type="http://schemas.openxmlformats.org/officeDocument/2006/relationships/hyperlink" Target="https://www.facebook.com/rapplerdotcom/photos/a.317154781638645/5596043783749692/" TargetMode="External"/><Relationship Id="rId1757" Type="http://schemas.openxmlformats.org/officeDocument/2006/relationships/hyperlink" Target="https://www.facebook.com/arnie.puertollano" TargetMode="External"/><Relationship Id="rId1758" Type="http://schemas.openxmlformats.org/officeDocument/2006/relationships/hyperlink" Target="https://www.facebook.com/rapplerdotcom/photos/a.317154781638645/5596043783749692/" TargetMode="External"/><Relationship Id="rId1759" Type="http://schemas.openxmlformats.org/officeDocument/2006/relationships/hyperlink" Target="https://www.facebook.com/profile.php?id=100072698662337" TargetMode="External"/><Relationship Id="rId1750" Type="http://schemas.openxmlformats.org/officeDocument/2006/relationships/hyperlink" Target="https://www.facebook.com/rapplerdotcom/photos/a.317154781638645/5596043783749692/" TargetMode="External"/><Relationship Id="rId1751" Type="http://schemas.openxmlformats.org/officeDocument/2006/relationships/hyperlink" Target="https://www.facebook.com/tumaladjennie" TargetMode="External"/><Relationship Id="rId1741" Type="http://schemas.openxmlformats.org/officeDocument/2006/relationships/hyperlink" Target="https://www.facebook.com/ellen.barrios" TargetMode="External"/><Relationship Id="rId1742" Type="http://schemas.openxmlformats.org/officeDocument/2006/relationships/hyperlink" Target="https://www.facebook.com/rapplerdotcom/photos/a.317154781638645/5596043783749692/" TargetMode="External"/><Relationship Id="rId1743" Type="http://schemas.openxmlformats.org/officeDocument/2006/relationships/hyperlink" Target="https://www.facebook.com/profile.php?id=100023261888630" TargetMode="External"/><Relationship Id="rId1744" Type="http://schemas.openxmlformats.org/officeDocument/2006/relationships/hyperlink" Target="https://www.facebook.com/rapplerdotcom/photos/a.317154781638645/5596043783749692/" TargetMode="External"/><Relationship Id="rId1745" Type="http://schemas.openxmlformats.org/officeDocument/2006/relationships/hyperlink" Target="https://www.facebook.com/jsprjmr" TargetMode="External"/><Relationship Id="rId1746" Type="http://schemas.openxmlformats.org/officeDocument/2006/relationships/hyperlink" Target="https://www.facebook.com/rapplerdotcom/photos/a.317154781638645/5596043783749692/" TargetMode="External"/><Relationship Id="rId1747" Type="http://schemas.openxmlformats.org/officeDocument/2006/relationships/hyperlink" Target="https://www.facebook.com/ellen.barrios" TargetMode="External"/><Relationship Id="rId1748" Type="http://schemas.openxmlformats.org/officeDocument/2006/relationships/hyperlink" Target="https://www.facebook.com/rapplerdotcom/photos/a.317154781638645/5596043783749692/" TargetMode="External"/><Relationship Id="rId1749" Type="http://schemas.openxmlformats.org/officeDocument/2006/relationships/hyperlink" Target="https://www.facebook.com/nedned.anobla" TargetMode="External"/><Relationship Id="rId1740" Type="http://schemas.openxmlformats.org/officeDocument/2006/relationships/hyperlink" Target="https://www.facebook.com/rapplerdotcom/photos/a.317154781638645/5596043783749692/" TargetMode="External"/><Relationship Id="rId5291" Type="http://schemas.openxmlformats.org/officeDocument/2006/relationships/hyperlink" Target="https://www.facebook.com/rapplerdotcom/photos/a.317154781638645/5594264657260938/" TargetMode="External"/><Relationship Id="rId5292" Type="http://schemas.openxmlformats.org/officeDocument/2006/relationships/hyperlink" Target="https://www.facebook.com/rensoriframos" TargetMode="External"/><Relationship Id="rId5290" Type="http://schemas.openxmlformats.org/officeDocument/2006/relationships/hyperlink" Target="https://www.facebook.com/jhayahr.santia" TargetMode="External"/><Relationship Id="rId5295" Type="http://schemas.openxmlformats.org/officeDocument/2006/relationships/hyperlink" Target="https://www.facebook.com/rapplerdotcom/photos/a.317154781638645/5594264657260938/" TargetMode="External"/><Relationship Id="rId5296" Type="http://schemas.openxmlformats.org/officeDocument/2006/relationships/hyperlink" Target="https://www.facebook.com/tony.abulencia.1" TargetMode="External"/><Relationship Id="rId5293" Type="http://schemas.openxmlformats.org/officeDocument/2006/relationships/hyperlink" Target="https://www.facebook.com/rapplerdotcom/photos/a.317154781638645/5594264657260938/" TargetMode="External"/><Relationship Id="rId5294" Type="http://schemas.openxmlformats.org/officeDocument/2006/relationships/hyperlink" Target="https://www.facebook.com/escudero28" TargetMode="External"/><Relationship Id="rId5299" Type="http://schemas.openxmlformats.org/officeDocument/2006/relationships/hyperlink" Target="https://www.facebook.com/rapplerdotcom/photos/a.317154781638645/5594264657260938/" TargetMode="External"/><Relationship Id="rId5297" Type="http://schemas.openxmlformats.org/officeDocument/2006/relationships/hyperlink" Target="https://www.facebook.com/rapplerdotcom/photos/a.317154781638645/5594264657260938/" TargetMode="External"/><Relationship Id="rId5298" Type="http://schemas.openxmlformats.org/officeDocument/2006/relationships/hyperlink" Target="https://www.facebook.com/ailen.oneva" TargetMode="External"/><Relationship Id="rId5280" Type="http://schemas.openxmlformats.org/officeDocument/2006/relationships/hyperlink" Target="https://www.facebook.com/TANSHAOILING" TargetMode="External"/><Relationship Id="rId5281" Type="http://schemas.openxmlformats.org/officeDocument/2006/relationships/hyperlink" Target="https://www.facebook.com/rapplerdotcom/photos/a.317154781638645/5594264657260938/" TargetMode="External"/><Relationship Id="rId5284" Type="http://schemas.openxmlformats.org/officeDocument/2006/relationships/hyperlink" Target="https://www.facebook.com/virgiliobeau.marvida" TargetMode="External"/><Relationship Id="rId5285" Type="http://schemas.openxmlformats.org/officeDocument/2006/relationships/hyperlink" Target="https://www.facebook.com/rapplerdotcom/photos/a.317154781638645/5594264657260938/" TargetMode="External"/><Relationship Id="rId5282" Type="http://schemas.openxmlformats.org/officeDocument/2006/relationships/hyperlink" Target="https://www.facebook.com/renato.visitacion" TargetMode="External"/><Relationship Id="rId5283" Type="http://schemas.openxmlformats.org/officeDocument/2006/relationships/hyperlink" Target="https://www.facebook.com/rapplerdotcom/photos/a.317154781638645/5594264657260938/" TargetMode="External"/><Relationship Id="rId5288" Type="http://schemas.openxmlformats.org/officeDocument/2006/relationships/hyperlink" Target="https://www.facebook.com/drebpalomata" TargetMode="External"/><Relationship Id="rId5289" Type="http://schemas.openxmlformats.org/officeDocument/2006/relationships/hyperlink" Target="https://www.facebook.com/rapplerdotcom/photos/a.317154781638645/5594264657260938/" TargetMode="External"/><Relationship Id="rId5286" Type="http://schemas.openxmlformats.org/officeDocument/2006/relationships/hyperlink" Target="https://www.facebook.com/danilo.bergonio.9" TargetMode="External"/><Relationship Id="rId5287" Type="http://schemas.openxmlformats.org/officeDocument/2006/relationships/hyperlink" Target="https://www.facebook.com/rapplerdotcom/photos/a.317154781638645/5594264657260938/" TargetMode="External"/><Relationship Id="rId1710" Type="http://schemas.openxmlformats.org/officeDocument/2006/relationships/hyperlink" Target="https://www.facebook.com/rapplerdotcom/photos/a.317154781638645/5596043783749692/" TargetMode="External"/><Relationship Id="rId1711" Type="http://schemas.openxmlformats.org/officeDocument/2006/relationships/hyperlink" Target="https://www.facebook.com/julio.quian" TargetMode="External"/><Relationship Id="rId1712" Type="http://schemas.openxmlformats.org/officeDocument/2006/relationships/hyperlink" Target="https://www.facebook.com/rapplerdotcom/photos/a.317154781638645/5596043783749692/" TargetMode="External"/><Relationship Id="rId1713" Type="http://schemas.openxmlformats.org/officeDocument/2006/relationships/hyperlink" Target="https://www.facebook.com/maripaz.mira" TargetMode="External"/><Relationship Id="rId1714" Type="http://schemas.openxmlformats.org/officeDocument/2006/relationships/hyperlink" Target="https://www.facebook.com/rapplerdotcom/photos/a.317154781638645/5596043783749692/" TargetMode="External"/><Relationship Id="rId1715" Type="http://schemas.openxmlformats.org/officeDocument/2006/relationships/hyperlink" Target="https://www.facebook.com/arizagabrielellaine" TargetMode="External"/><Relationship Id="rId1716" Type="http://schemas.openxmlformats.org/officeDocument/2006/relationships/hyperlink" Target="https://www.facebook.com/rapplerdotcom/photos/a.317154781638645/5596043783749692/" TargetMode="External"/><Relationship Id="rId1717" Type="http://schemas.openxmlformats.org/officeDocument/2006/relationships/hyperlink" Target="https://www.facebook.com/profile.php?id=100009486210065" TargetMode="External"/><Relationship Id="rId1718" Type="http://schemas.openxmlformats.org/officeDocument/2006/relationships/hyperlink" Target="https://www.facebook.com/rapplerdotcom/photos/a.317154781638645/5596043783749692/" TargetMode="External"/><Relationship Id="rId1719" Type="http://schemas.openxmlformats.org/officeDocument/2006/relationships/hyperlink" Target="https://www.facebook.com/EJCAmoroso" TargetMode="External"/><Relationship Id="rId1700" Type="http://schemas.openxmlformats.org/officeDocument/2006/relationships/hyperlink" Target="https://www.facebook.com/rapplerdotcom/photos/a.317154781638645/5596043783749692/" TargetMode="External"/><Relationship Id="rId1701" Type="http://schemas.openxmlformats.org/officeDocument/2006/relationships/hyperlink" Target="https://www.facebook.com/EnricElesisCruz" TargetMode="External"/><Relationship Id="rId1702" Type="http://schemas.openxmlformats.org/officeDocument/2006/relationships/hyperlink" Target="https://www.facebook.com/rapplerdotcom/photos/a.317154781638645/5596043783749692/" TargetMode="External"/><Relationship Id="rId1703" Type="http://schemas.openxmlformats.org/officeDocument/2006/relationships/hyperlink" Target="https://www.facebook.com/cory.ander.3" TargetMode="External"/><Relationship Id="rId1704" Type="http://schemas.openxmlformats.org/officeDocument/2006/relationships/hyperlink" Target="https://www.facebook.com/rapplerdotcom/photos/a.317154781638645/5596043783749692/" TargetMode="External"/><Relationship Id="rId1705" Type="http://schemas.openxmlformats.org/officeDocument/2006/relationships/hyperlink" Target="https://www.facebook.com/leon.leyoww" TargetMode="External"/><Relationship Id="rId1706" Type="http://schemas.openxmlformats.org/officeDocument/2006/relationships/hyperlink" Target="https://www.facebook.com/rapplerdotcom/photos/a.317154781638645/5596043783749692/" TargetMode="External"/><Relationship Id="rId1707" Type="http://schemas.openxmlformats.org/officeDocument/2006/relationships/hyperlink" Target="https://www.facebook.com/profile.php?id=100013008619170" TargetMode="External"/><Relationship Id="rId1708" Type="http://schemas.openxmlformats.org/officeDocument/2006/relationships/hyperlink" Target="https://www.facebook.com/rapplerdotcom/photos/a.317154781638645/5596043783749692/" TargetMode="External"/><Relationship Id="rId1709" Type="http://schemas.openxmlformats.org/officeDocument/2006/relationships/hyperlink" Target="https://www.facebook.com/geegee.lopez" TargetMode="External"/><Relationship Id="rId40" Type="http://schemas.openxmlformats.org/officeDocument/2006/relationships/hyperlink" Target="https://www.facebook.com/rapplerdotcom/posts/pfbid0DUh4iFcrxZuR1UbiGhcAHcMdzsaV29GSeHCY1HabtqcnUWkjStX9TDaVqzzt92GDl" TargetMode="External"/><Relationship Id="rId42" Type="http://schemas.openxmlformats.org/officeDocument/2006/relationships/hyperlink" Target="https://www.facebook.com/rapplerdotcom/posts/pfbid0DUh4iFcrxZuR1UbiGhcAHcMdzsaV29GSeHCY1HabtqcnUWkjStX9TDaVqzzt92GDl" TargetMode="External"/><Relationship Id="rId41" Type="http://schemas.openxmlformats.org/officeDocument/2006/relationships/hyperlink" Target="https://www.facebook.com/roselyn.pira.1" TargetMode="External"/><Relationship Id="rId44" Type="http://schemas.openxmlformats.org/officeDocument/2006/relationships/hyperlink" Target="https://www.facebook.com/rapplerdotcom/posts/pfbid0DUh4iFcrxZuR1UbiGhcAHcMdzsaV29GSeHCY1HabtqcnUWkjStX9TDaVqzzt92GDl" TargetMode="External"/><Relationship Id="rId43" Type="http://schemas.openxmlformats.org/officeDocument/2006/relationships/hyperlink" Target="https://www.facebook.com/roselyn.pira.1" TargetMode="External"/><Relationship Id="rId46" Type="http://schemas.openxmlformats.org/officeDocument/2006/relationships/hyperlink" Target="https://www.facebook.com/rapplerdotcom/posts/pfbid0DUh4iFcrxZuR1UbiGhcAHcMdzsaV29GSeHCY1HabtqcnUWkjStX9TDaVqzzt92GDl" TargetMode="External"/><Relationship Id="rId45" Type="http://schemas.openxmlformats.org/officeDocument/2006/relationships/hyperlink" Target="https://www.facebook.com/pauljeric.queipo.1" TargetMode="External"/><Relationship Id="rId48" Type="http://schemas.openxmlformats.org/officeDocument/2006/relationships/hyperlink" Target="https://www.facebook.com/rapplerdotcom/posts/pfbid0DUh4iFcrxZuR1UbiGhcAHcMdzsaV29GSeHCY1HabtqcnUWkjStX9TDaVqzzt92GDl" TargetMode="External"/><Relationship Id="rId47" Type="http://schemas.openxmlformats.org/officeDocument/2006/relationships/hyperlink" Target="https://www.facebook.com/pauljeric.queipo.1" TargetMode="External"/><Relationship Id="rId49" Type="http://schemas.openxmlformats.org/officeDocument/2006/relationships/hyperlink" Target="https://www.facebook.com/pauljeric.queipo.1" TargetMode="External"/><Relationship Id="rId31" Type="http://schemas.openxmlformats.org/officeDocument/2006/relationships/hyperlink" Target="https://www.facebook.com/ju.nelle.3701" TargetMode="External"/><Relationship Id="rId30" Type="http://schemas.openxmlformats.org/officeDocument/2006/relationships/hyperlink" Target="https://www.facebook.com/rapplerdotcom/posts/pfbid0DUh4iFcrxZuR1UbiGhcAHcMdzsaV29GSeHCY1HabtqcnUWkjStX9TDaVqzzt92GDl" TargetMode="External"/><Relationship Id="rId33" Type="http://schemas.openxmlformats.org/officeDocument/2006/relationships/hyperlink" Target="https://www.facebook.com/eon.flux.33" TargetMode="External"/><Relationship Id="rId32" Type="http://schemas.openxmlformats.org/officeDocument/2006/relationships/hyperlink" Target="https://www.facebook.com/rapplerdotcom/posts/pfbid0DUh4iFcrxZuR1UbiGhcAHcMdzsaV29GSeHCY1HabtqcnUWkjStX9TDaVqzzt92GDl" TargetMode="External"/><Relationship Id="rId35" Type="http://schemas.openxmlformats.org/officeDocument/2006/relationships/hyperlink" Target="https://www.facebook.com/rogercasidsid.villanueva" TargetMode="External"/><Relationship Id="rId34" Type="http://schemas.openxmlformats.org/officeDocument/2006/relationships/hyperlink" Target="https://www.facebook.com/rapplerdotcom/posts/pfbid0DUh4iFcrxZuR1UbiGhcAHcMdzsaV29GSeHCY1HabtqcnUWkjStX9TDaVqzzt92GDl" TargetMode="External"/><Relationship Id="rId37" Type="http://schemas.openxmlformats.org/officeDocument/2006/relationships/hyperlink" Target="https://www.facebook.com/alfredofabro.boking" TargetMode="External"/><Relationship Id="rId36" Type="http://schemas.openxmlformats.org/officeDocument/2006/relationships/hyperlink" Target="https://www.facebook.com/rapplerdotcom/posts/pfbid0DUh4iFcrxZuR1UbiGhcAHcMdzsaV29GSeHCY1HabtqcnUWkjStX9TDaVqzzt92GDl" TargetMode="External"/><Relationship Id="rId39" Type="http://schemas.openxmlformats.org/officeDocument/2006/relationships/hyperlink" Target="https://www.facebook.com/alfredofabro.boking" TargetMode="External"/><Relationship Id="rId38" Type="http://schemas.openxmlformats.org/officeDocument/2006/relationships/hyperlink" Target="https://www.facebook.com/rapplerdotcom/posts/pfbid0DUh4iFcrxZuR1UbiGhcAHcMdzsaV29GSeHCY1HabtqcnUWkjStX9TDaVqzzt92GDl" TargetMode="External"/><Relationship Id="rId20" Type="http://schemas.openxmlformats.org/officeDocument/2006/relationships/hyperlink" Target="https://www.facebook.com/rapplerdotcom/posts/pfbid0DUh4iFcrxZuR1UbiGhcAHcMdzsaV29GSeHCY1HabtqcnUWkjStX9TDaVqzzt92GDl" TargetMode="External"/><Relationship Id="rId22" Type="http://schemas.openxmlformats.org/officeDocument/2006/relationships/hyperlink" Target="https://www.facebook.com/rapplerdotcom/posts/pfbid0DUh4iFcrxZuR1UbiGhcAHcMdzsaV29GSeHCY1HabtqcnUWkjStX9TDaVqzzt92GDl" TargetMode="External"/><Relationship Id="rId21" Type="http://schemas.openxmlformats.org/officeDocument/2006/relationships/hyperlink" Target="https://www.facebook.com/ronmsalvador" TargetMode="External"/><Relationship Id="rId24" Type="http://schemas.openxmlformats.org/officeDocument/2006/relationships/hyperlink" Target="https://www.facebook.com/rapplerdotcom/posts/pfbid0DUh4iFcrxZuR1UbiGhcAHcMdzsaV29GSeHCY1HabtqcnUWkjStX9TDaVqzzt92GDl" TargetMode="External"/><Relationship Id="rId23" Type="http://schemas.openxmlformats.org/officeDocument/2006/relationships/hyperlink" Target="https://www.facebook.com/oliver.susano" TargetMode="External"/><Relationship Id="rId26" Type="http://schemas.openxmlformats.org/officeDocument/2006/relationships/hyperlink" Target="https://www.facebook.com/rapplerdotcom/posts/pfbid0DUh4iFcrxZuR1UbiGhcAHcMdzsaV29GSeHCY1HabtqcnUWkjStX9TDaVqzzt92GDl" TargetMode="External"/><Relationship Id="rId25" Type="http://schemas.openxmlformats.org/officeDocument/2006/relationships/hyperlink" Target="https://www.facebook.com/rdsarmiento1" TargetMode="External"/><Relationship Id="rId28" Type="http://schemas.openxmlformats.org/officeDocument/2006/relationships/hyperlink" Target="https://www.facebook.com/rapplerdotcom/posts/pfbid0DUh4iFcrxZuR1UbiGhcAHcMdzsaV29GSeHCY1HabtqcnUWkjStX9TDaVqzzt92GDl" TargetMode="External"/><Relationship Id="rId27" Type="http://schemas.openxmlformats.org/officeDocument/2006/relationships/hyperlink" Target="https://www.facebook.com/julietamananquil" TargetMode="External"/><Relationship Id="rId29" Type="http://schemas.openxmlformats.org/officeDocument/2006/relationships/hyperlink" Target="https://www.facebook.com/jorelyn.salvador.7" TargetMode="External"/><Relationship Id="rId11" Type="http://schemas.openxmlformats.org/officeDocument/2006/relationships/hyperlink" Target="https://www.facebook.com/profile.php?id=100073334618156" TargetMode="External"/><Relationship Id="rId10" Type="http://schemas.openxmlformats.org/officeDocument/2006/relationships/hyperlink" Target="https://www.facebook.com/rapplerdotcom/posts/pfbid0DUh4iFcrxZuR1UbiGhcAHcMdzsaV29GSeHCY1HabtqcnUWkjStX9TDaVqzzt92GDl" TargetMode="External"/><Relationship Id="rId13" Type="http://schemas.openxmlformats.org/officeDocument/2006/relationships/hyperlink" Target="https://www.facebook.com/jellyanzerauj" TargetMode="External"/><Relationship Id="rId12" Type="http://schemas.openxmlformats.org/officeDocument/2006/relationships/hyperlink" Target="https://www.facebook.com/rapplerdotcom/posts/pfbid0DUh4iFcrxZuR1UbiGhcAHcMdzsaV29GSeHCY1HabtqcnUWkjStX9TDaVqzzt92GDl" TargetMode="External"/><Relationship Id="rId15" Type="http://schemas.openxmlformats.org/officeDocument/2006/relationships/hyperlink" Target="https://www.facebook.com/berlanie18" TargetMode="External"/><Relationship Id="rId14" Type="http://schemas.openxmlformats.org/officeDocument/2006/relationships/hyperlink" Target="https://www.facebook.com/rapplerdotcom/posts/pfbid0DUh4iFcrxZuR1UbiGhcAHcMdzsaV29GSeHCY1HabtqcnUWkjStX9TDaVqzzt92GDl" TargetMode="External"/><Relationship Id="rId17" Type="http://schemas.openxmlformats.org/officeDocument/2006/relationships/hyperlink" Target="https://www.facebook.com/carrie.carisma" TargetMode="External"/><Relationship Id="rId16" Type="http://schemas.openxmlformats.org/officeDocument/2006/relationships/hyperlink" Target="https://www.facebook.com/rapplerdotcom/posts/pfbid0DUh4iFcrxZuR1UbiGhcAHcMdzsaV29GSeHCY1HabtqcnUWkjStX9TDaVqzzt92GDl" TargetMode="External"/><Relationship Id="rId19" Type="http://schemas.openxmlformats.org/officeDocument/2006/relationships/hyperlink" Target="https://www.facebook.com/emerita.sacluti" TargetMode="External"/><Relationship Id="rId18" Type="http://schemas.openxmlformats.org/officeDocument/2006/relationships/hyperlink" Target="https://www.facebook.com/rapplerdotcom/posts/pfbid0DUh4iFcrxZuR1UbiGhcAHcMdzsaV29GSeHCY1HabtqcnUWkjStX9TDaVqzzt92GDl" TargetMode="External"/><Relationship Id="rId84" Type="http://schemas.openxmlformats.org/officeDocument/2006/relationships/hyperlink" Target="https://www.facebook.com/rapplerdotcom/posts/pfbid0DUh4iFcrxZuR1UbiGhcAHcMdzsaV29GSeHCY1HabtqcnUWkjStX9TDaVqzzt92GDl" TargetMode="External"/><Relationship Id="rId1774" Type="http://schemas.openxmlformats.org/officeDocument/2006/relationships/hyperlink" Target="https://www.facebook.com/rapplerdotcom/photos/a.317154781638645/5596043783749692/" TargetMode="External"/><Relationship Id="rId83" Type="http://schemas.openxmlformats.org/officeDocument/2006/relationships/hyperlink" Target="https://www.facebook.com/rey.pilapil.940" TargetMode="External"/><Relationship Id="rId1775" Type="http://schemas.openxmlformats.org/officeDocument/2006/relationships/hyperlink" Target="https://www.facebook.com/wengnyssa.wengnyssa" TargetMode="External"/><Relationship Id="rId86" Type="http://schemas.openxmlformats.org/officeDocument/2006/relationships/hyperlink" Target="https://www.facebook.com/rapplerdotcom/posts/pfbid0DUh4iFcrxZuR1UbiGhcAHcMdzsaV29GSeHCY1HabtqcnUWkjStX9TDaVqzzt92GDl" TargetMode="External"/><Relationship Id="rId1776" Type="http://schemas.openxmlformats.org/officeDocument/2006/relationships/hyperlink" Target="https://www.facebook.com/rapplerdotcom/photos/a.317154781638645/5596043783749692/" TargetMode="External"/><Relationship Id="rId85" Type="http://schemas.openxmlformats.org/officeDocument/2006/relationships/hyperlink" Target="https://www.facebook.com/profile.php?id=100078059580817" TargetMode="External"/><Relationship Id="rId1777" Type="http://schemas.openxmlformats.org/officeDocument/2006/relationships/hyperlink" Target="https://www.facebook.com/lair.gonzales" TargetMode="External"/><Relationship Id="rId88" Type="http://schemas.openxmlformats.org/officeDocument/2006/relationships/hyperlink" Target="https://www.facebook.com/rapplerdotcom/posts/pfbid0DUh4iFcrxZuR1UbiGhcAHcMdzsaV29GSeHCY1HabtqcnUWkjStX9TDaVqzzt92GDl" TargetMode="External"/><Relationship Id="rId1778" Type="http://schemas.openxmlformats.org/officeDocument/2006/relationships/hyperlink" Target="https://www.facebook.com/rapplerdotcom/photos/a.317154781638645/5596043783749692/" TargetMode="External"/><Relationship Id="rId87" Type="http://schemas.openxmlformats.org/officeDocument/2006/relationships/hyperlink" Target="https://www.facebook.com/jim.nograles" TargetMode="External"/><Relationship Id="rId1779" Type="http://schemas.openxmlformats.org/officeDocument/2006/relationships/hyperlink" Target="https://www.facebook.com/arnel.sagorsor" TargetMode="External"/><Relationship Id="rId89" Type="http://schemas.openxmlformats.org/officeDocument/2006/relationships/hyperlink" Target="https://www.facebook.com/spiderbeef23" TargetMode="External"/><Relationship Id="rId80" Type="http://schemas.openxmlformats.org/officeDocument/2006/relationships/hyperlink" Target="https://www.facebook.com/rapplerdotcom/posts/pfbid0DUh4iFcrxZuR1UbiGhcAHcMdzsaV29GSeHCY1HabtqcnUWkjStX9TDaVqzzt92GDl" TargetMode="External"/><Relationship Id="rId82" Type="http://schemas.openxmlformats.org/officeDocument/2006/relationships/hyperlink" Target="https://www.facebook.com/rapplerdotcom/posts/pfbid0DUh4iFcrxZuR1UbiGhcAHcMdzsaV29GSeHCY1HabtqcnUWkjStX9TDaVqzzt92GDl" TargetMode="External"/><Relationship Id="rId81" Type="http://schemas.openxmlformats.org/officeDocument/2006/relationships/hyperlink" Target="https://www.facebook.com/rey.pilapil.940" TargetMode="External"/><Relationship Id="rId1770" Type="http://schemas.openxmlformats.org/officeDocument/2006/relationships/hyperlink" Target="https://www.facebook.com/rapplerdotcom/photos/a.317154781638645/5596043783749692/" TargetMode="External"/><Relationship Id="rId1771" Type="http://schemas.openxmlformats.org/officeDocument/2006/relationships/hyperlink" Target="https://www.facebook.com/profile.php?id=100009486210065" TargetMode="External"/><Relationship Id="rId1772" Type="http://schemas.openxmlformats.org/officeDocument/2006/relationships/hyperlink" Target="https://www.facebook.com/rapplerdotcom/photos/a.317154781638645/5596043783749692/" TargetMode="External"/><Relationship Id="rId1773" Type="http://schemas.openxmlformats.org/officeDocument/2006/relationships/hyperlink" Target="https://www.facebook.com/rainesantos123" TargetMode="External"/><Relationship Id="rId73" Type="http://schemas.openxmlformats.org/officeDocument/2006/relationships/hyperlink" Target="https://www.facebook.com/profile.php?id=100078059580817" TargetMode="External"/><Relationship Id="rId1763" Type="http://schemas.openxmlformats.org/officeDocument/2006/relationships/hyperlink" Target="https://www.facebook.com/nigeltan.ph" TargetMode="External"/><Relationship Id="rId72" Type="http://schemas.openxmlformats.org/officeDocument/2006/relationships/hyperlink" Target="https://www.facebook.com/rapplerdotcom/posts/pfbid0DUh4iFcrxZuR1UbiGhcAHcMdzsaV29GSeHCY1HabtqcnUWkjStX9TDaVqzzt92GDl" TargetMode="External"/><Relationship Id="rId1764" Type="http://schemas.openxmlformats.org/officeDocument/2006/relationships/hyperlink" Target="https://www.facebook.com/rapplerdotcom/photos/a.317154781638645/5596043783749692/" TargetMode="External"/><Relationship Id="rId75" Type="http://schemas.openxmlformats.org/officeDocument/2006/relationships/hyperlink" Target="https://www.facebook.com/rey.pilapil.940" TargetMode="External"/><Relationship Id="rId1765" Type="http://schemas.openxmlformats.org/officeDocument/2006/relationships/hyperlink" Target="https://www.facebook.com/yongcoonang" TargetMode="External"/><Relationship Id="rId74" Type="http://schemas.openxmlformats.org/officeDocument/2006/relationships/hyperlink" Target="https://www.facebook.com/rapplerdotcom/posts/pfbid0DUh4iFcrxZuR1UbiGhcAHcMdzsaV29GSeHCY1HabtqcnUWkjStX9TDaVqzzt92GDl" TargetMode="External"/><Relationship Id="rId1766" Type="http://schemas.openxmlformats.org/officeDocument/2006/relationships/hyperlink" Target="https://www.facebook.com/rapplerdotcom/photos/a.317154781638645/5596043783749692/" TargetMode="External"/><Relationship Id="rId77" Type="http://schemas.openxmlformats.org/officeDocument/2006/relationships/hyperlink" Target="https://www.facebook.com/profile.php?id=100078059580817" TargetMode="External"/><Relationship Id="rId1767" Type="http://schemas.openxmlformats.org/officeDocument/2006/relationships/hyperlink" Target="https://www.facebook.com/marietta.tanglao" TargetMode="External"/><Relationship Id="rId76" Type="http://schemas.openxmlformats.org/officeDocument/2006/relationships/hyperlink" Target="https://www.facebook.com/rapplerdotcom/posts/pfbid0DUh4iFcrxZuR1UbiGhcAHcMdzsaV29GSeHCY1HabtqcnUWkjStX9TDaVqzzt92GDl" TargetMode="External"/><Relationship Id="rId1768" Type="http://schemas.openxmlformats.org/officeDocument/2006/relationships/hyperlink" Target="https://www.facebook.com/rapplerdotcom/photos/a.317154781638645/5596043783749692/" TargetMode="External"/><Relationship Id="rId79" Type="http://schemas.openxmlformats.org/officeDocument/2006/relationships/hyperlink" Target="https://www.facebook.com/profile.php?id=100078059580817" TargetMode="External"/><Relationship Id="rId1769" Type="http://schemas.openxmlformats.org/officeDocument/2006/relationships/hyperlink" Target="https://www.facebook.com/icecaramel.macchiato.908" TargetMode="External"/><Relationship Id="rId78" Type="http://schemas.openxmlformats.org/officeDocument/2006/relationships/hyperlink" Target="https://www.facebook.com/rapplerdotcom/posts/pfbid0DUh4iFcrxZuR1UbiGhcAHcMdzsaV29GSeHCY1HabtqcnUWkjStX9TDaVqzzt92GDl" TargetMode="External"/><Relationship Id="rId71" Type="http://schemas.openxmlformats.org/officeDocument/2006/relationships/hyperlink" Target="https://www.facebook.com/profile.php?id=100070766584402" TargetMode="External"/><Relationship Id="rId70" Type="http://schemas.openxmlformats.org/officeDocument/2006/relationships/hyperlink" Target="https://www.facebook.com/rapplerdotcom/posts/pfbid0DUh4iFcrxZuR1UbiGhcAHcMdzsaV29GSeHCY1HabtqcnUWkjStX9TDaVqzzt92GDl" TargetMode="External"/><Relationship Id="rId1760" Type="http://schemas.openxmlformats.org/officeDocument/2006/relationships/hyperlink" Target="https://www.facebook.com/rapplerdotcom/photos/a.317154781638645/5596043783749692/" TargetMode="External"/><Relationship Id="rId1761" Type="http://schemas.openxmlformats.org/officeDocument/2006/relationships/hyperlink" Target="https://www.facebook.com/profile.php?id=100047813203588" TargetMode="External"/><Relationship Id="rId1762" Type="http://schemas.openxmlformats.org/officeDocument/2006/relationships/hyperlink" Target="https://www.facebook.com/rapplerdotcom/photos/a.317154781638645/5596043783749692/" TargetMode="External"/><Relationship Id="rId62" Type="http://schemas.openxmlformats.org/officeDocument/2006/relationships/hyperlink" Target="https://www.facebook.com/rapplerdotcom/posts/pfbid0DUh4iFcrxZuR1UbiGhcAHcMdzsaV29GSeHCY1HabtqcnUWkjStX9TDaVqzzt92GDl" TargetMode="External"/><Relationship Id="rId1796" Type="http://schemas.openxmlformats.org/officeDocument/2006/relationships/hyperlink" Target="https://www.facebook.com/rapplerdotcom/photos/a.317154781638645/5596043783749692/" TargetMode="External"/><Relationship Id="rId61" Type="http://schemas.openxmlformats.org/officeDocument/2006/relationships/hyperlink" Target="https://www.facebook.com/chris.bugasto" TargetMode="External"/><Relationship Id="rId1797" Type="http://schemas.openxmlformats.org/officeDocument/2006/relationships/hyperlink" Target="https://www.facebook.com/yongcoonang" TargetMode="External"/><Relationship Id="rId64" Type="http://schemas.openxmlformats.org/officeDocument/2006/relationships/hyperlink" Target="https://www.facebook.com/rapplerdotcom/posts/pfbid0DUh4iFcrxZuR1UbiGhcAHcMdzsaV29GSeHCY1HabtqcnUWkjStX9TDaVqzzt92GDl" TargetMode="External"/><Relationship Id="rId1798" Type="http://schemas.openxmlformats.org/officeDocument/2006/relationships/hyperlink" Target="https://www.facebook.com/rapplerdotcom/photos/a.317154781638645/5596043783749692/" TargetMode="External"/><Relationship Id="rId63" Type="http://schemas.openxmlformats.org/officeDocument/2006/relationships/hyperlink" Target="https://www.facebook.com/berlanie18" TargetMode="External"/><Relationship Id="rId1799" Type="http://schemas.openxmlformats.org/officeDocument/2006/relationships/hyperlink" Target="https://www.facebook.com/NeilMGGH" TargetMode="External"/><Relationship Id="rId66" Type="http://schemas.openxmlformats.org/officeDocument/2006/relationships/hyperlink" Target="https://www.facebook.com/rapplerdotcom/posts/pfbid0DUh4iFcrxZuR1UbiGhcAHcMdzsaV29GSeHCY1HabtqcnUWkjStX9TDaVqzzt92GDl" TargetMode="External"/><Relationship Id="rId65" Type="http://schemas.openxmlformats.org/officeDocument/2006/relationships/hyperlink" Target="https://www.facebook.com/evelyn.ruiz.79230305" TargetMode="External"/><Relationship Id="rId68" Type="http://schemas.openxmlformats.org/officeDocument/2006/relationships/hyperlink" Target="https://www.facebook.com/rapplerdotcom/posts/pfbid0DUh4iFcrxZuR1UbiGhcAHcMdzsaV29GSeHCY1HabtqcnUWkjStX9TDaVqzzt92GDl" TargetMode="External"/><Relationship Id="rId67" Type="http://schemas.openxmlformats.org/officeDocument/2006/relationships/hyperlink" Target="https://www.facebook.com/rey.pilapil.940" TargetMode="External"/><Relationship Id="rId60" Type="http://schemas.openxmlformats.org/officeDocument/2006/relationships/hyperlink" Target="https://www.facebook.com/rapplerdotcom/posts/pfbid0DUh4iFcrxZuR1UbiGhcAHcMdzsaV29GSeHCY1HabtqcnUWkjStX9TDaVqzzt92GDl" TargetMode="External"/><Relationship Id="rId69" Type="http://schemas.openxmlformats.org/officeDocument/2006/relationships/hyperlink" Target="https://www.facebook.com/profile.php?id=100076323624998" TargetMode="External"/><Relationship Id="rId1790" Type="http://schemas.openxmlformats.org/officeDocument/2006/relationships/hyperlink" Target="https://www.facebook.com/rapplerdotcom/photos/a.317154781638645/5596043783749692/" TargetMode="External"/><Relationship Id="rId1791" Type="http://schemas.openxmlformats.org/officeDocument/2006/relationships/hyperlink" Target="https://www.facebook.com/profile.php?id=100079988850982" TargetMode="External"/><Relationship Id="rId1792" Type="http://schemas.openxmlformats.org/officeDocument/2006/relationships/hyperlink" Target="https://www.facebook.com/rapplerdotcom/photos/a.317154781638645/5596043783749692/" TargetMode="External"/><Relationship Id="rId1793" Type="http://schemas.openxmlformats.org/officeDocument/2006/relationships/hyperlink" Target="https://www.facebook.com/profile.php?id=100011440088284" TargetMode="External"/><Relationship Id="rId1794" Type="http://schemas.openxmlformats.org/officeDocument/2006/relationships/hyperlink" Target="https://www.facebook.com/rapplerdotcom/photos/a.317154781638645/5596043783749692/" TargetMode="External"/><Relationship Id="rId1795" Type="http://schemas.openxmlformats.org/officeDocument/2006/relationships/hyperlink" Target="https://www.facebook.com/ernest.llovia" TargetMode="External"/><Relationship Id="rId51" Type="http://schemas.openxmlformats.org/officeDocument/2006/relationships/hyperlink" Target="https://www.facebook.com/anthony.valeza" TargetMode="External"/><Relationship Id="rId1785" Type="http://schemas.openxmlformats.org/officeDocument/2006/relationships/hyperlink" Target="https://www.facebook.com/leideeavery.taluban" TargetMode="External"/><Relationship Id="rId50" Type="http://schemas.openxmlformats.org/officeDocument/2006/relationships/hyperlink" Target="https://www.facebook.com/rapplerdotcom/posts/pfbid0DUh4iFcrxZuR1UbiGhcAHcMdzsaV29GSeHCY1HabtqcnUWkjStX9TDaVqzzt92GDl" TargetMode="External"/><Relationship Id="rId1786" Type="http://schemas.openxmlformats.org/officeDocument/2006/relationships/hyperlink" Target="https://www.facebook.com/rapplerdotcom/photos/a.317154781638645/5596043783749692/" TargetMode="External"/><Relationship Id="rId53" Type="http://schemas.openxmlformats.org/officeDocument/2006/relationships/hyperlink" Target="https://www.facebook.com/www.joeysampang" TargetMode="External"/><Relationship Id="rId1787" Type="http://schemas.openxmlformats.org/officeDocument/2006/relationships/hyperlink" Target="https://www.facebook.com/profile.php?id=100079988850982" TargetMode="External"/><Relationship Id="rId52" Type="http://schemas.openxmlformats.org/officeDocument/2006/relationships/hyperlink" Target="https://www.facebook.com/rapplerdotcom/posts/pfbid0DUh4iFcrxZuR1UbiGhcAHcMdzsaV29GSeHCY1HabtqcnUWkjStX9TDaVqzzt92GDl" TargetMode="External"/><Relationship Id="rId1788" Type="http://schemas.openxmlformats.org/officeDocument/2006/relationships/hyperlink" Target="https://www.facebook.com/rapplerdotcom/photos/a.317154781638645/5596043783749692/" TargetMode="External"/><Relationship Id="rId55" Type="http://schemas.openxmlformats.org/officeDocument/2006/relationships/hyperlink" Target="https://www.facebook.com/aqoucii.makmak" TargetMode="External"/><Relationship Id="rId1789" Type="http://schemas.openxmlformats.org/officeDocument/2006/relationships/hyperlink" Target="https://www.facebook.com/leideeavery.taluban" TargetMode="External"/><Relationship Id="rId54" Type="http://schemas.openxmlformats.org/officeDocument/2006/relationships/hyperlink" Target="https://www.facebook.com/rapplerdotcom/posts/pfbid0DUh4iFcrxZuR1UbiGhcAHcMdzsaV29GSeHCY1HabtqcnUWkjStX9TDaVqzzt92GDl" TargetMode="External"/><Relationship Id="rId57" Type="http://schemas.openxmlformats.org/officeDocument/2006/relationships/hyperlink" Target="https://www.facebook.com/rico.sanyo.7" TargetMode="External"/><Relationship Id="rId56" Type="http://schemas.openxmlformats.org/officeDocument/2006/relationships/hyperlink" Target="https://www.facebook.com/rapplerdotcom/posts/pfbid0DUh4iFcrxZuR1UbiGhcAHcMdzsaV29GSeHCY1HabtqcnUWkjStX9TDaVqzzt92GDl" TargetMode="External"/><Relationship Id="rId59" Type="http://schemas.openxmlformats.org/officeDocument/2006/relationships/hyperlink" Target="https://www.facebook.com/deliza.esmeralda" TargetMode="External"/><Relationship Id="rId58" Type="http://schemas.openxmlformats.org/officeDocument/2006/relationships/hyperlink" Target="https://www.facebook.com/rapplerdotcom/posts/pfbid0DUh4iFcrxZuR1UbiGhcAHcMdzsaV29GSeHCY1HabtqcnUWkjStX9TDaVqzzt92GDl" TargetMode="External"/><Relationship Id="rId1780" Type="http://schemas.openxmlformats.org/officeDocument/2006/relationships/hyperlink" Target="https://www.facebook.com/rapplerdotcom/photos/a.317154781638645/5596043783749692/" TargetMode="External"/><Relationship Id="rId1781" Type="http://schemas.openxmlformats.org/officeDocument/2006/relationships/hyperlink" Target="https://www.facebook.com/lair.gonzales" TargetMode="External"/><Relationship Id="rId1782" Type="http://schemas.openxmlformats.org/officeDocument/2006/relationships/hyperlink" Target="https://www.facebook.com/rapplerdotcom/photos/a.317154781638645/5596043783749692/" TargetMode="External"/><Relationship Id="rId1783" Type="http://schemas.openxmlformats.org/officeDocument/2006/relationships/hyperlink" Target="https://www.facebook.com/profile.php?id=100075991434197" TargetMode="External"/><Relationship Id="rId1784" Type="http://schemas.openxmlformats.org/officeDocument/2006/relationships/hyperlink" Target="https://www.facebook.com/rapplerdotcom/photos/a.317154781638645/5596043783749692/" TargetMode="External"/><Relationship Id="rId349" Type="http://schemas.openxmlformats.org/officeDocument/2006/relationships/hyperlink" Target="https://www.facebook.com/rapplerdotcom/photos/a.317154781638645/5598220220198715/" TargetMode="External"/><Relationship Id="rId348" Type="http://schemas.openxmlformats.org/officeDocument/2006/relationships/hyperlink" Target="https://www.facebook.com/ofelia529" TargetMode="External"/><Relationship Id="rId347" Type="http://schemas.openxmlformats.org/officeDocument/2006/relationships/hyperlink" Target="https://www.facebook.com/rapplerdotcom/photos/a.317154781638645/5598220220198715/" TargetMode="External"/><Relationship Id="rId346" Type="http://schemas.openxmlformats.org/officeDocument/2006/relationships/hyperlink" Target="https://www.facebook.com/jefferson.yabut" TargetMode="External"/><Relationship Id="rId341" Type="http://schemas.openxmlformats.org/officeDocument/2006/relationships/hyperlink" Target="https://www.facebook.com/rapplerdotcom/photos/a.317154781638645/5598220220198715/" TargetMode="External"/><Relationship Id="rId340" Type="http://schemas.openxmlformats.org/officeDocument/2006/relationships/hyperlink" Target="https://www.facebook.com/titomendiola345" TargetMode="External"/><Relationship Id="rId345" Type="http://schemas.openxmlformats.org/officeDocument/2006/relationships/hyperlink" Target="https://www.facebook.com/rapplerdotcom/photos/a.317154781638645/5598220220198715/" TargetMode="External"/><Relationship Id="rId344" Type="http://schemas.openxmlformats.org/officeDocument/2006/relationships/hyperlink" Target="https://www.facebook.com/araceli.abellar.16" TargetMode="External"/><Relationship Id="rId343" Type="http://schemas.openxmlformats.org/officeDocument/2006/relationships/hyperlink" Target="https://www.facebook.com/rapplerdotcom/photos/a.317154781638645/5598220220198715/" TargetMode="External"/><Relationship Id="rId342" Type="http://schemas.openxmlformats.org/officeDocument/2006/relationships/hyperlink" Target="https://www.facebook.com/marah.dominguez" TargetMode="External"/><Relationship Id="rId338" Type="http://schemas.openxmlformats.org/officeDocument/2006/relationships/hyperlink" Target="https://www.facebook.com/profile.php?id=100004073401228" TargetMode="External"/><Relationship Id="rId337" Type="http://schemas.openxmlformats.org/officeDocument/2006/relationships/hyperlink" Target="https://www.facebook.com/rapplerdotcom/photos/a.317154781638645/5598220220198715/" TargetMode="External"/><Relationship Id="rId336" Type="http://schemas.openxmlformats.org/officeDocument/2006/relationships/hyperlink" Target="https://www.facebook.com/lutgarda.duenas" TargetMode="External"/><Relationship Id="rId335" Type="http://schemas.openxmlformats.org/officeDocument/2006/relationships/hyperlink" Target="https://www.facebook.com/rapplerdotcom/photos/a.317154781638645/5598220220198715/" TargetMode="External"/><Relationship Id="rId339" Type="http://schemas.openxmlformats.org/officeDocument/2006/relationships/hyperlink" Target="https://www.facebook.com/rapplerdotcom/photos/a.317154781638645/5598220220198715/" TargetMode="External"/><Relationship Id="rId330" Type="http://schemas.openxmlformats.org/officeDocument/2006/relationships/hyperlink" Target="https://www.facebook.com/bayani.manlongat" TargetMode="External"/><Relationship Id="rId334" Type="http://schemas.openxmlformats.org/officeDocument/2006/relationships/hyperlink" Target="https://www.facebook.com/priscila.matocinos.5" TargetMode="External"/><Relationship Id="rId333" Type="http://schemas.openxmlformats.org/officeDocument/2006/relationships/hyperlink" Target="https://www.facebook.com/rapplerdotcom/photos/a.317154781638645/5598220220198715/" TargetMode="External"/><Relationship Id="rId332" Type="http://schemas.openxmlformats.org/officeDocument/2006/relationships/hyperlink" Target="https://www.facebook.com/maria.delapena.714" TargetMode="External"/><Relationship Id="rId331" Type="http://schemas.openxmlformats.org/officeDocument/2006/relationships/hyperlink" Target="https://www.facebook.com/rapplerdotcom/photos/a.317154781638645/5598220220198715/" TargetMode="External"/><Relationship Id="rId5318" Type="http://schemas.openxmlformats.org/officeDocument/2006/relationships/hyperlink" Target="https://www.facebook.com/rodrigoduterteismypwesident" TargetMode="External"/><Relationship Id="rId5319" Type="http://schemas.openxmlformats.org/officeDocument/2006/relationships/hyperlink" Target="https://www.facebook.com/rapplerdotcom/photos/a.317154781638645/5594264657260938/" TargetMode="External"/><Relationship Id="rId5316" Type="http://schemas.openxmlformats.org/officeDocument/2006/relationships/hyperlink" Target="https://www.facebook.com/profile.php?id=100077657222039" TargetMode="External"/><Relationship Id="rId5317" Type="http://schemas.openxmlformats.org/officeDocument/2006/relationships/hyperlink" Target="https://www.facebook.com/rapplerdotcom/photos/a.317154781638645/5594264657260938/" TargetMode="External"/><Relationship Id="rId370" Type="http://schemas.openxmlformats.org/officeDocument/2006/relationships/hyperlink" Target="https://www.facebook.com/angelita.villaflor.1" TargetMode="External"/><Relationship Id="rId369" Type="http://schemas.openxmlformats.org/officeDocument/2006/relationships/hyperlink" Target="https://www.facebook.com/rapplerdotcom/photos/a.317154781638645/5598220220198715/" TargetMode="External"/><Relationship Id="rId368" Type="http://schemas.openxmlformats.org/officeDocument/2006/relationships/hyperlink" Target="https://www.facebook.com/roysem88" TargetMode="External"/><Relationship Id="rId363" Type="http://schemas.openxmlformats.org/officeDocument/2006/relationships/hyperlink" Target="https://www.facebook.com/rapplerdotcom/photos/a.317154781638645/5598220220198715/" TargetMode="External"/><Relationship Id="rId5310" Type="http://schemas.openxmlformats.org/officeDocument/2006/relationships/hyperlink" Target="https://www.facebook.com/anniedane.alfonso" TargetMode="External"/><Relationship Id="rId362" Type="http://schemas.openxmlformats.org/officeDocument/2006/relationships/hyperlink" Target="https://www.facebook.com/champoybulletelbow" TargetMode="External"/><Relationship Id="rId5311" Type="http://schemas.openxmlformats.org/officeDocument/2006/relationships/hyperlink" Target="https://www.facebook.com/rapplerdotcom/photos/a.317154781638645/5594264657260938/" TargetMode="External"/><Relationship Id="rId361" Type="http://schemas.openxmlformats.org/officeDocument/2006/relationships/hyperlink" Target="https://www.facebook.com/rapplerdotcom/photos/a.317154781638645/5598220220198715/" TargetMode="External"/><Relationship Id="rId360" Type="http://schemas.openxmlformats.org/officeDocument/2006/relationships/hyperlink" Target="https://www.facebook.com/tinapacura" TargetMode="External"/><Relationship Id="rId367" Type="http://schemas.openxmlformats.org/officeDocument/2006/relationships/hyperlink" Target="https://www.facebook.com/rapplerdotcom/photos/a.317154781638645/5598220220198715/" TargetMode="External"/><Relationship Id="rId5314" Type="http://schemas.openxmlformats.org/officeDocument/2006/relationships/hyperlink" Target="https://www.facebook.com/anniedane.alfonso" TargetMode="External"/><Relationship Id="rId366" Type="http://schemas.openxmlformats.org/officeDocument/2006/relationships/hyperlink" Target="https://www.facebook.com/anita.tamayo.33671" TargetMode="External"/><Relationship Id="rId5315" Type="http://schemas.openxmlformats.org/officeDocument/2006/relationships/hyperlink" Target="https://www.facebook.com/rapplerdotcom/photos/a.317154781638645/5594264657260938/" TargetMode="External"/><Relationship Id="rId365" Type="http://schemas.openxmlformats.org/officeDocument/2006/relationships/hyperlink" Target="https://www.facebook.com/rapplerdotcom/photos/a.317154781638645/5598220220198715/" TargetMode="External"/><Relationship Id="rId5312" Type="http://schemas.openxmlformats.org/officeDocument/2006/relationships/hyperlink" Target="https://www.facebook.com/profile.php?id=100077657222039" TargetMode="External"/><Relationship Id="rId364" Type="http://schemas.openxmlformats.org/officeDocument/2006/relationships/hyperlink" Target="https://www.facebook.com/debby.martinez.gumban" TargetMode="External"/><Relationship Id="rId5313" Type="http://schemas.openxmlformats.org/officeDocument/2006/relationships/hyperlink" Target="https://www.facebook.com/rapplerdotcom/photos/a.317154781638645/5594264657260938/" TargetMode="External"/><Relationship Id="rId95" Type="http://schemas.openxmlformats.org/officeDocument/2006/relationships/hyperlink" Target="https://www.facebook.com/alvin.quibilan" TargetMode="External"/><Relationship Id="rId5307" Type="http://schemas.openxmlformats.org/officeDocument/2006/relationships/hyperlink" Target="https://www.facebook.com/rapplerdotcom/photos/a.317154781638645/5594264657260938/" TargetMode="External"/><Relationship Id="rId94" Type="http://schemas.openxmlformats.org/officeDocument/2006/relationships/hyperlink" Target="https://www.facebook.com/rapplerdotcom/posts/pfbid0DUh4iFcrxZuR1UbiGhcAHcMdzsaV29GSeHCY1HabtqcnUWkjStX9TDaVqzzt92GDl" TargetMode="External"/><Relationship Id="rId5308" Type="http://schemas.openxmlformats.org/officeDocument/2006/relationships/hyperlink" Target="https://www.facebook.com/khrix.mirasol" TargetMode="External"/><Relationship Id="rId97" Type="http://schemas.openxmlformats.org/officeDocument/2006/relationships/hyperlink" Target="https://www.facebook.com/profile.php?id=100069548558481" TargetMode="External"/><Relationship Id="rId5305" Type="http://schemas.openxmlformats.org/officeDocument/2006/relationships/hyperlink" Target="https://www.facebook.com/rapplerdotcom/photos/a.317154781638645/5594264657260938/" TargetMode="External"/><Relationship Id="rId96" Type="http://schemas.openxmlformats.org/officeDocument/2006/relationships/hyperlink" Target="https://www.facebook.com/rapplerdotcom/posts/pfbid0DUh4iFcrxZuR1UbiGhcAHcMdzsaV29GSeHCY1HabtqcnUWkjStX9TDaVqzzt92GDl" TargetMode="External"/><Relationship Id="rId5306" Type="http://schemas.openxmlformats.org/officeDocument/2006/relationships/hyperlink" Target="https://www.facebook.com/ariel.alcantaraofficial.09" TargetMode="External"/><Relationship Id="rId99" Type="http://schemas.openxmlformats.org/officeDocument/2006/relationships/hyperlink" Target="https://www.facebook.com/alvin.quibilan" TargetMode="External"/><Relationship Id="rId98" Type="http://schemas.openxmlformats.org/officeDocument/2006/relationships/hyperlink" Target="https://www.facebook.com/rapplerdotcom/posts/pfbid0DUh4iFcrxZuR1UbiGhcAHcMdzsaV29GSeHCY1HabtqcnUWkjStX9TDaVqzzt92GDl" TargetMode="External"/><Relationship Id="rId5309" Type="http://schemas.openxmlformats.org/officeDocument/2006/relationships/hyperlink" Target="https://www.facebook.com/rapplerdotcom/photos/a.317154781638645/5594264657260938/" TargetMode="External"/><Relationship Id="rId91" Type="http://schemas.openxmlformats.org/officeDocument/2006/relationships/hyperlink" Target="https://www.facebook.com/alvin.quibilan" TargetMode="External"/><Relationship Id="rId90" Type="http://schemas.openxmlformats.org/officeDocument/2006/relationships/hyperlink" Target="https://www.facebook.com/rapplerdotcom/posts/pfbid0DUh4iFcrxZuR1UbiGhcAHcMdzsaV29GSeHCY1HabtqcnUWkjStX9TDaVqzzt92GDl" TargetMode="External"/><Relationship Id="rId93" Type="http://schemas.openxmlformats.org/officeDocument/2006/relationships/hyperlink" Target="https://www.facebook.com/profile.php?id=100069548558481" TargetMode="External"/><Relationship Id="rId92" Type="http://schemas.openxmlformats.org/officeDocument/2006/relationships/hyperlink" Target="https://www.facebook.com/rapplerdotcom/posts/pfbid0DUh4iFcrxZuR1UbiGhcAHcMdzsaV29GSeHCY1HabtqcnUWkjStX9TDaVqzzt92GDl" TargetMode="External"/><Relationship Id="rId359" Type="http://schemas.openxmlformats.org/officeDocument/2006/relationships/hyperlink" Target="https://www.facebook.com/rapplerdotcom/photos/a.317154781638645/5598220220198715/" TargetMode="External"/><Relationship Id="rId358" Type="http://schemas.openxmlformats.org/officeDocument/2006/relationships/hyperlink" Target="https://www.facebook.com/ner.estrellado" TargetMode="External"/><Relationship Id="rId357" Type="http://schemas.openxmlformats.org/officeDocument/2006/relationships/hyperlink" Target="https://www.facebook.com/rapplerdotcom/photos/a.317154781638645/5598220220198715/" TargetMode="External"/><Relationship Id="rId352" Type="http://schemas.openxmlformats.org/officeDocument/2006/relationships/hyperlink" Target="https://www.facebook.com/doc.ahl.9" TargetMode="External"/><Relationship Id="rId351" Type="http://schemas.openxmlformats.org/officeDocument/2006/relationships/hyperlink" Target="https://www.facebook.com/rapplerdotcom/photos/a.317154781638645/5598220220198715/" TargetMode="External"/><Relationship Id="rId5300" Type="http://schemas.openxmlformats.org/officeDocument/2006/relationships/hyperlink" Target="https://www.facebook.com/fortunato.salas.9" TargetMode="External"/><Relationship Id="rId350" Type="http://schemas.openxmlformats.org/officeDocument/2006/relationships/hyperlink" Target="https://www.facebook.com/danilo.salas.98" TargetMode="External"/><Relationship Id="rId356" Type="http://schemas.openxmlformats.org/officeDocument/2006/relationships/hyperlink" Target="https://www.facebook.com/mariamila.barbasa" TargetMode="External"/><Relationship Id="rId5303" Type="http://schemas.openxmlformats.org/officeDocument/2006/relationships/hyperlink" Target="https://www.facebook.com/rapplerdotcom/photos/a.317154781638645/5594264657260938/" TargetMode="External"/><Relationship Id="rId355" Type="http://schemas.openxmlformats.org/officeDocument/2006/relationships/hyperlink" Target="https://www.facebook.com/rapplerdotcom/photos/a.317154781638645/5598220220198715/" TargetMode="External"/><Relationship Id="rId5304" Type="http://schemas.openxmlformats.org/officeDocument/2006/relationships/hyperlink" Target="https://www.facebook.com/tochie.gray.5" TargetMode="External"/><Relationship Id="rId354" Type="http://schemas.openxmlformats.org/officeDocument/2006/relationships/hyperlink" Target="https://www.facebook.com/benedicta.cesistarosapa" TargetMode="External"/><Relationship Id="rId5301" Type="http://schemas.openxmlformats.org/officeDocument/2006/relationships/hyperlink" Target="https://www.facebook.com/rapplerdotcom/photos/a.317154781638645/5594264657260938/" TargetMode="External"/><Relationship Id="rId353" Type="http://schemas.openxmlformats.org/officeDocument/2006/relationships/hyperlink" Target="https://www.facebook.com/rapplerdotcom/photos/a.317154781638645/5598220220198715/" TargetMode="External"/><Relationship Id="rId5302" Type="http://schemas.openxmlformats.org/officeDocument/2006/relationships/hyperlink" Target="https://www.facebook.com/gemrose.rescobactol" TargetMode="External"/><Relationship Id="rId305" Type="http://schemas.openxmlformats.org/officeDocument/2006/relationships/hyperlink" Target="https://www.facebook.com/rapplerdotcom/photos/a.317154781638645/5598220220198715/" TargetMode="External"/><Relationship Id="rId304" Type="http://schemas.openxmlformats.org/officeDocument/2006/relationships/hyperlink" Target="https://www.facebook.com/irene.s.mangubat" TargetMode="External"/><Relationship Id="rId303" Type="http://schemas.openxmlformats.org/officeDocument/2006/relationships/hyperlink" Target="https://www.facebook.com/rapplerdotcom/photos/a.317154781638645/5598220220198715/" TargetMode="External"/><Relationship Id="rId302" Type="http://schemas.openxmlformats.org/officeDocument/2006/relationships/hyperlink" Target="https://www.facebook.com/meann.garcia.brubelle" TargetMode="External"/><Relationship Id="rId309" Type="http://schemas.openxmlformats.org/officeDocument/2006/relationships/hyperlink" Target="https://www.facebook.com/rapplerdotcom/photos/a.317154781638645/5598220220198715/" TargetMode="External"/><Relationship Id="rId308" Type="http://schemas.openxmlformats.org/officeDocument/2006/relationships/hyperlink" Target="https://www.facebook.com/ventura.mariejane" TargetMode="External"/><Relationship Id="rId307" Type="http://schemas.openxmlformats.org/officeDocument/2006/relationships/hyperlink" Target="https://www.facebook.com/rapplerdotcom/photos/a.317154781638645/5598220220198715/" TargetMode="External"/><Relationship Id="rId306" Type="http://schemas.openxmlformats.org/officeDocument/2006/relationships/hyperlink" Target="https://www.facebook.com/jolly.amaf" TargetMode="External"/><Relationship Id="rId301" Type="http://schemas.openxmlformats.org/officeDocument/2006/relationships/hyperlink" Target="https://www.facebook.com/rapplerdotcom/photos/a.317154781638645/5598220220198715/" TargetMode="External"/><Relationship Id="rId300" Type="http://schemas.openxmlformats.org/officeDocument/2006/relationships/hyperlink" Target="https://www.facebook.com/bechabye" TargetMode="External"/><Relationship Id="rId327" Type="http://schemas.openxmlformats.org/officeDocument/2006/relationships/hyperlink" Target="https://www.facebook.com/rapplerdotcom/photos/a.317154781638645/5598220220198715/" TargetMode="External"/><Relationship Id="rId326" Type="http://schemas.openxmlformats.org/officeDocument/2006/relationships/hyperlink" Target="https://www.facebook.com/mais.korni.9" TargetMode="External"/><Relationship Id="rId325" Type="http://schemas.openxmlformats.org/officeDocument/2006/relationships/hyperlink" Target="https://www.facebook.com/rapplerdotcom/photos/a.317154781638645/5598220220198715/" TargetMode="External"/><Relationship Id="rId324" Type="http://schemas.openxmlformats.org/officeDocument/2006/relationships/hyperlink" Target="https://www.facebook.com/profile.php?id=100079089531211" TargetMode="External"/><Relationship Id="rId329" Type="http://schemas.openxmlformats.org/officeDocument/2006/relationships/hyperlink" Target="https://www.facebook.com/rapplerdotcom/photos/a.317154781638645/5598220220198715/" TargetMode="External"/><Relationship Id="rId328" Type="http://schemas.openxmlformats.org/officeDocument/2006/relationships/hyperlink" Target="https://www.facebook.com/denia.b.gatdula" TargetMode="External"/><Relationship Id="rId323" Type="http://schemas.openxmlformats.org/officeDocument/2006/relationships/hyperlink" Target="https://www.facebook.com/rapplerdotcom/photos/a.317154781638645/5598220220198715/" TargetMode="External"/><Relationship Id="rId322" Type="http://schemas.openxmlformats.org/officeDocument/2006/relationships/hyperlink" Target="https://www.facebook.com/marilen.estaniel" TargetMode="External"/><Relationship Id="rId321" Type="http://schemas.openxmlformats.org/officeDocument/2006/relationships/hyperlink" Target="https://www.facebook.com/rapplerdotcom/photos/a.317154781638645/5598220220198715/" TargetMode="External"/><Relationship Id="rId320" Type="http://schemas.openxmlformats.org/officeDocument/2006/relationships/hyperlink" Target="https://www.facebook.com/sweetverni" TargetMode="External"/><Relationship Id="rId316" Type="http://schemas.openxmlformats.org/officeDocument/2006/relationships/hyperlink" Target="https://www.facebook.com/amalia.ledesma.56" TargetMode="External"/><Relationship Id="rId315" Type="http://schemas.openxmlformats.org/officeDocument/2006/relationships/hyperlink" Target="https://www.facebook.com/rapplerdotcom/photos/a.317154781638645/5598220220198715/" TargetMode="External"/><Relationship Id="rId314" Type="http://schemas.openxmlformats.org/officeDocument/2006/relationships/hyperlink" Target="https://www.facebook.com/christinefamulagan" TargetMode="External"/><Relationship Id="rId313" Type="http://schemas.openxmlformats.org/officeDocument/2006/relationships/hyperlink" Target="https://www.facebook.com/rapplerdotcom/photos/a.317154781638645/5598220220198715/" TargetMode="External"/><Relationship Id="rId319" Type="http://schemas.openxmlformats.org/officeDocument/2006/relationships/hyperlink" Target="https://www.facebook.com/rapplerdotcom/photos/a.317154781638645/5598220220198715/" TargetMode="External"/><Relationship Id="rId318" Type="http://schemas.openxmlformats.org/officeDocument/2006/relationships/hyperlink" Target="https://www.facebook.com/rosario.liang.9" TargetMode="External"/><Relationship Id="rId317" Type="http://schemas.openxmlformats.org/officeDocument/2006/relationships/hyperlink" Target="https://www.facebook.com/rapplerdotcom/photos/a.317154781638645/5598220220198715/" TargetMode="External"/><Relationship Id="rId312" Type="http://schemas.openxmlformats.org/officeDocument/2006/relationships/hyperlink" Target="https://www.facebook.com/frankanthony.pataueg.1" TargetMode="External"/><Relationship Id="rId311" Type="http://schemas.openxmlformats.org/officeDocument/2006/relationships/hyperlink" Target="https://www.facebook.com/rapplerdotcom/photos/a.317154781638645/5598220220198715/" TargetMode="External"/><Relationship Id="rId310" Type="http://schemas.openxmlformats.org/officeDocument/2006/relationships/hyperlink" Target="https://www.facebook.com/olracyer.nadneba.3" TargetMode="External"/><Relationship Id="rId4040" Type="http://schemas.openxmlformats.org/officeDocument/2006/relationships/hyperlink" Target="https://www.facebook.com/rapplerdotcom/posts/pfbid02kmyrDmvYtHxz51VdR228sTCyvbHYDrwL4TgeoVAenoprSKkWhUFLyRmAuKBuGtXXl" TargetMode="External"/><Relationship Id="rId5372" Type="http://schemas.openxmlformats.org/officeDocument/2006/relationships/hyperlink" Target="https://www.facebook.com/stiiiiiben" TargetMode="External"/><Relationship Id="rId5373" Type="http://schemas.openxmlformats.org/officeDocument/2006/relationships/hyperlink" Target="https://www.facebook.com/rapplerdotcom/photos/a.317154781638645/5594264657260938/" TargetMode="External"/><Relationship Id="rId4042" Type="http://schemas.openxmlformats.org/officeDocument/2006/relationships/hyperlink" Target="https://www.facebook.com/rapplerdotcom/posts/pfbid02kmyrDmvYtHxz51VdR228sTCyvbHYDrwL4TgeoVAenoprSKkWhUFLyRmAuKBuGtXXl" TargetMode="External"/><Relationship Id="rId5370" Type="http://schemas.openxmlformats.org/officeDocument/2006/relationships/hyperlink" Target="https://www.facebook.com/xX.djhoaNn.Xx" TargetMode="External"/><Relationship Id="rId4041" Type="http://schemas.openxmlformats.org/officeDocument/2006/relationships/hyperlink" Target="https://www.facebook.com/she.real.9883" TargetMode="External"/><Relationship Id="rId5371" Type="http://schemas.openxmlformats.org/officeDocument/2006/relationships/hyperlink" Target="https://www.facebook.com/rapplerdotcom/photos/a.317154781638645/5594264657260938/" TargetMode="External"/><Relationship Id="rId4044" Type="http://schemas.openxmlformats.org/officeDocument/2006/relationships/hyperlink" Target="https://www.facebook.com/rapplerdotcom/posts/pfbid02kmyrDmvYtHxz51VdR228sTCyvbHYDrwL4TgeoVAenoprSKkWhUFLyRmAuKBuGtXXl" TargetMode="External"/><Relationship Id="rId5376" Type="http://schemas.openxmlformats.org/officeDocument/2006/relationships/hyperlink" Target="https://www.facebook.com/marlone.esperanza.3" TargetMode="External"/><Relationship Id="rId4043" Type="http://schemas.openxmlformats.org/officeDocument/2006/relationships/hyperlink" Target="https://www.facebook.com/annejhov" TargetMode="External"/><Relationship Id="rId5377" Type="http://schemas.openxmlformats.org/officeDocument/2006/relationships/hyperlink" Target="https://www.facebook.com/rapplerdotcom/photos/a.317154781638645/5594264657260938/" TargetMode="External"/><Relationship Id="rId4046" Type="http://schemas.openxmlformats.org/officeDocument/2006/relationships/hyperlink" Target="https://www.facebook.com/rapplerdotcom/posts/pfbid02kmyrDmvYtHxz51VdR228sTCyvbHYDrwL4TgeoVAenoprSKkWhUFLyRmAuKBuGtXXl" TargetMode="External"/><Relationship Id="rId5374" Type="http://schemas.openxmlformats.org/officeDocument/2006/relationships/hyperlink" Target="https://www.facebook.com/pehyni" TargetMode="External"/><Relationship Id="rId4045" Type="http://schemas.openxmlformats.org/officeDocument/2006/relationships/hyperlink" Target="https://www.facebook.com/frucy.manayonflores.1" TargetMode="External"/><Relationship Id="rId5375" Type="http://schemas.openxmlformats.org/officeDocument/2006/relationships/hyperlink" Target="https://www.facebook.com/rapplerdotcom/photos/a.317154781638645/5594264657260938/" TargetMode="External"/><Relationship Id="rId4048" Type="http://schemas.openxmlformats.org/officeDocument/2006/relationships/hyperlink" Target="https://www.facebook.com/rapplerdotcom/posts/pfbid02kmyrDmvYtHxz51VdR228sTCyvbHYDrwL4TgeoVAenoprSKkWhUFLyRmAuKBuGtXXl" TargetMode="External"/><Relationship Id="rId4047" Type="http://schemas.openxmlformats.org/officeDocument/2006/relationships/hyperlink" Target="https://www.facebook.com/edgar.puertullano" TargetMode="External"/><Relationship Id="rId5378" Type="http://schemas.openxmlformats.org/officeDocument/2006/relationships/hyperlink" Target="https://www.facebook.com/ramoncito.delapaz" TargetMode="External"/><Relationship Id="rId4049" Type="http://schemas.openxmlformats.org/officeDocument/2006/relationships/hyperlink" Target="https://www.facebook.com/analiza.baluyot.7" TargetMode="External"/><Relationship Id="rId5379" Type="http://schemas.openxmlformats.org/officeDocument/2006/relationships/hyperlink" Target="https://www.facebook.com/rapplerdotcom/photos/a.317154781638645/5594264657260938/" TargetMode="External"/><Relationship Id="rId5361" Type="http://schemas.openxmlformats.org/officeDocument/2006/relationships/hyperlink" Target="https://www.facebook.com/rapplerdotcom/photos/a.317154781638645/5594264657260938/" TargetMode="External"/><Relationship Id="rId5362" Type="http://schemas.openxmlformats.org/officeDocument/2006/relationships/hyperlink" Target="https://www.facebook.com/yspuj" TargetMode="External"/><Relationship Id="rId4031" Type="http://schemas.openxmlformats.org/officeDocument/2006/relationships/hyperlink" Target="https://www.facebook.com/man.arellano.12" TargetMode="External"/><Relationship Id="rId4030" Type="http://schemas.openxmlformats.org/officeDocument/2006/relationships/hyperlink" Target="https://www.facebook.com/rapplerdotcom/posts/pfbid02kmyrDmvYtHxz51VdR228sTCyvbHYDrwL4TgeoVAenoprSKkWhUFLyRmAuKBuGtXXl" TargetMode="External"/><Relationship Id="rId5360" Type="http://schemas.openxmlformats.org/officeDocument/2006/relationships/hyperlink" Target="https://www.facebook.com/holaissa.jaboneta" TargetMode="External"/><Relationship Id="rId297" Type="http://schemas.openxmlformats.org/officeDocument/2006/relationships/hyperlink" Target="https://www.facebook.com/rapplerdotcom/photos/a.317154781638645/5598220220198715/" TargetMode="External"/><Relationship Id="rId4033" Type="http://schemas.openxmlformats.org/officeDocument/2006/relationships/hyperlink" Target="https://www.facebook.com/mariacristina.umanito" TargetMode="External"/><Relationship Id="rId5365" Type="http://schemas.openxmlformats.org/officeDocument/2006/relationships/hyperlink" Target="https://www.facebook.com/rapplerdotcom/photos/a.317154781638645/5594264657260938/" TargetMode="External"/><Relationship Id="rId296" Type="http://schemas.openxmlformats.org/officeDocument/2006/relationships/hyperlink" Target="https://www.facebook.com/deadinsidemychest" TargetMode="External"/><Relationship Id="rId4032" Type="http://schemas.openxmlformats.org/officeDocument/2006/relationships/hyperlink" Target="https://www.facebook.com/rapplerdotcom/posts/pfbid02kmyrDmvYtHxz51VdR228sTCyvbHYDrwL4TgeoVAenoprSKkWhUFLyRmAuKBuGtXXl" TargetMode="External"/><Relationship Id="rId5366" Type="http://schemas.openxmlformats.org/officeDocument/2006/relationships/hyperlink" Target="https://www.facebook.com/ecoroipac" TargetMode="External"/><Relationship Id="rId295" Type="http://schemas.openxmlformats.org/officeDocument/2006/relationships/hyperlink" Target="https://www.facebook.com/rapplerdotcom/photos/a.317154781638645/5598220220198715/" TargetMode="External"/><Relationship Id="rId4035" Type="http://schemas.openxmlformats.org/officeDocument/2006/relationships/hyperlink" Target="https://www.facebook.com/cidernald" TargetMode="External"/><Relationship Id="rId5363" Type="http://schemas.openxmlformats.org/officeDocument/2006/relationships/hyperlink" Target="https://www.facebook.com/rapplerdotcom/photos/a.317154781638645/5594264657260938/" TargetMode="External"/><Relationship Id="rId294" Type="http://schemas.openxmlformats.org/officeDocument/2006/relationships/hyperlink" Target="https://www.facebook.com/messengah" TargetMode="External"/><Relationship Id="rId4034" Type="http://schemas.openxmlformats.org/officeDocument/2006/relationships/hyperlink" Target="https://www.facebook.com/rapplerdotcom/posts/pfbid02kmyrDmvYtHxz51VdR228sTCyvbHYDrwL4TgeoVAenoprSKkWhUFLyRmAuKBuGtXXl" TargetMode="External"/><Relationship Id="rId5364" Type="http://schemas.openxmlformats.org/officeDocument/2006/relationships/hyperlink" Target="https://www.facebook.com/lorelie.b.bondoc" TargetMode="External"/><Relationship Id="rId4037" Type="http://schemas.openxmlformats.org/officeDocument/2006/relationships/hyperlink" Target="https://www.facebook.com/man.arellano.12" TargetMode="External"/><Relationship Id="rId5369" Type="http://schemas.openxmlformats.org/officeDocument/2006/relationships/hyperlink" Target="https://www.facebook.com/rapplerdotcom/photos/a.317154781638645/5594264657260938/" TargetMode="External"/><Relationship Id="rId4036" Type="http://schemas.openxmlformats.org/officeDocument/2006/relationships/hyperlink" Target="https://www.facebook.com/rapplerdotcom/posts/pfbid02kmyrDmvYtHxz51VdR228sTCyvbHYDrwL4TgeoVAenoprSKkWhUFLyRmAuKBuGtXXl" TargetMode="External"/><Relationship Id="rId299" Type="http://schemas.openxmlformats.org/officeDocument/2006/relationships/hyperlink" Target="https://www.facebook.com/rapplerdotcom/photos/a.317154781638645/5598220220198715/" TargetMode="External"/><Relationship Id="rId4039" Type="http://schemas.openxmlformats.org/officeDocument/2006/relationships/hyperlink" Target="https://www.facebook.com/editha.silvestre" TargetMode="External"/><Relationship Id="rId5367" Type="http://schemas.openxmlformats.org/officeDocument/2006/relationships/hyperlink" Target="https://www.facebook.com/rapplerdotcom/photos/a.317154781638645/5594264657260938/" TargetMode="External"/><Relationship Id="rId298" Type="http://schemas.openxmlformats.org/officeDocument/2006/relationships/hyperlink" Target="https://www.facebook.com/antonio.banaga.20" TargetMode="External"/><Relationship Id="rId4038" Type="http://schemas.openxmlformats.org/officeDocument/2006/relationships/hyperlink" Target="https://www.facebook.com/rapplerdotcom/posts/pfbid02kmyrDmvYtHxz51VdR228sTCyvbHYDrwL4TgeoVAenoprSKkWhUFLyRmAuKBuGtXXl" TargetMode="External"/><Relationship Id="rId5368" Type="http://schemas.openxmlformats.org/officeDocument/2006/relationships/hyperlink" Target="https://www.facebook.com/gracepenetrante.udarbe" TargetMode="External"/><Relationship Id="rId5390" Type="http://schemas.openxmlformats.org/officeDocument/2006/relationships/hyperlink" Target="https://www.facebook.com/jerald.fradejas" TargetMode="External"/><Relationship Id="rId5391" Type="http://schemas.openxmlformats.org/officeDocument/2006/relationships/hyperlink" Target="https://www.facebook.com/rapplerdotcom/photos/a.317154781638645/5594264657260938/" TargetMode="External"/><Relationship Id="rId4060" Type="http://schemas.openxmlformats.org/officeDocument/2006/relationships/hyperlink" Target="https://www.facebook.com/rapplerdotcom/posts/pfbid02e13StaPScJpokGyF13qCs6EvExmqrY1RRtBKf3tVEwKeP7fhsKEK5TgBCKEBBrE1l" TargetMode="External"/><Relationship Id="rId4062" Type="http://schemas.openxmlformats.org/officeDocument/2006/relationships/hyperlink" Target="https://www.facebook.com/rapplerdotcom/posts/pfbid0231hbcbuKeQLDkPH8oZAdZbuU8MPPgRANx152V3xWpbjZ6EvfpohwQMvxHYAgrGPul" TargetMode="External"/><Relationship Id="rId5394" Type="http://schemas.openxmlformats.org/officeDocument/2006/relationships/hyperlink" Target="https://www.facebook.com/zuno.silang" TargetMode="External"/><Relationship Id="rId4061" Type="http://schemas.openxmlformats.org/officeDocument/2006/relationships/hyperlink" Target="https://www.facebook.com/profile.php?id=100011366202531" TargetMode="External"/><Relationship Id="rId5395" Type="http://schemas.openxmlformats.org/officeDocument/2006/relationships/hyperlink" Target="https://www.facebook.com/watch/live/?ref=watch_permalink&amp;v=312865720941798" TargetMode="External"/><Relationship Id="rId4064" Type="http://schemas.openxmlformats.org/officeDocument/2006/relationships/hyperlink" Target="https://www.facebook.com/rapplerdotcom/posts/pfbid0231hbcbuKeQLDkPH8oZAdZbuU8MPPgRANx152V3xWpbjZ6EvfpohwQMvxHYAgrGPul" TargetMode="External"/><Relationship Id="rId5392" Type="http://schemas.openxmlformats.org/officeDocument/2006/relationships/hyperlink" Target="https://www.facebook.com/danny.casalme" TargetMode="External"/><Relationship Id="rId4063" Type="http://schemas.openxmlformats.org/officeDocument/2006/relationships/hyperlink" Target="https://www.facebook.com/vhersapitula" TargetMode="External"/><Relationship Id="rId5393" Type="http://schemas.openxmlformats.org/officeDocument/2006/relationships/hyperlink" Target="https://www.facebook.com/watch/live/?ref=watch_permalink&amp;v=312865720941798" TargetMode="External"/><Relationship Id="rId4066" Type="http://schemas.openxmlformats.org/officeDocument/2006/relationships/hyperlink" Target="https://www.facebook.com/rapplerdotcom/posts/pfbid0231hbcbuKeQLDkPH8oZAdZbuU8MPPgRANx152V3xWpbjZ6EvfpohwQMvxHYAgrGPul" TargetMode="External"/><Relationship Id="rId5398" Type="http://schemas.openxmlformats.org/officeDocument/2006/relationships/hyperlink" Target="https://www.facebook.com/nancy.grageda" TargetMode="External"/><Relationship Id="rId4065" Type="http://schemas.openxmlformats.org/officeDocument/2006/relationships/hyperlink" Target="https://www.facebook.com/IamRoselleBaltazar" TargetMode="External"/><Relationship Id="rId5399" Type="http://schemas.openxmlformats.org/officeDocument/2006/relationships/hyperlink" Target="https://www.facebook.com/watch/live/?ref=watch_permalink&amp;v=312865720941798" TargetMode="External"/><Relationship Id="rId4068" Type="http://schemas.openxmlformats.org/officeDocument/2006/relationships/hyperlink" Target="https://www.facebook.com/rapplerdotcom/posts/pfbid0231hbcbuKeQLDkPH8oZAdZbuU8MPPgRANx152V3xWpbjZ6EvfpohwQMvxHYAgrGPul" TargetMode="External"/><Relationship Id="rId5396" Type="http://schemas.openxmlformats.org/officeDocument/2006/relationships/hyperlink" Target="https://www.facebook.com/luzfcastillo" TargetMode="External"/><Relationship Id="rId4067" Type="http://schemas.openxmlformats.org/officeDocument/2006/relationships/hyperlink" Target="https://www.facebook.com/profile.php?id=100004103093312" TargetMode="External"/><Relationship Id="rId5397" Type="http://schemas.openxmlformats.org/officeDocument/2006/relationships/hyperlink" Target="https://www.facebook.com/watch/live/?ref=watch_permalink&amp;v=312865720941798" TargetMode="External"/><Relationship Id="rId4069" Type="http://schemas.openxmlformats.org/officeDocument/2006/relationships/hyperlink" Target="https://www.facebook.com/laura.coloma.7" TargetMode="External"/><Relationship Id="rId5380" Type="http://schemas.openxmlformats.org/officeDocument/2006/relationships/hyperlink" Target="https://www.facebook.com/Itz.me.leo.reyes" TargetMode="External"/><Relationship Id="rId4051" Type="http://schemas.openxmlformats.org/officeDocument/2006/relationships/hyperlink" Target="https://www.facebook.com/demboy2000" TargetMode="External"/><Relationship Id="rId5383" Type="http://schemas.openxmlformats.org/officeDocument/2006/relationships/hyperlink" Target="https://www.facebook.com/rapplerdotcom/photos/a.317154781638645/5594264657260938/" TargetMode="External"/><Relationship Id="rId4050" Type="http://schemas.openxmlformats.org/officeDocument/2006/relationships/hyperlink" Target="https://www.facebook.com/rapplerdotcom/posts/pfbid02kmyrDmvYtHxz51VdR228sTCyvbHYDrwL4TgeoVAenoprSKkWhUFLyRmAuKBuGtXXl" TargetMode="External"/><Relationship Id="rId5384" Type="http://schemas.openxmlformats.org/officeDocument/2006/relationships/hyperlink" Target="https://www.facebook.com/joyce.jose.10" TargetMode="External"/><Relationship Id="rId4053" Type="http://schemas.openxmlformats.org/officeDocument/2006/relationships/hyperlink" Target="https://www.facebook.com/jeza.esarza.1" TargetMode="External"/><Relationship Id="rId5381" Type="http://schemas.openxmlformats.org/officeDocument/2006/relationships/hyperlink" Target="https://www.facebook.com/rapplerdotcom/photos/a.317154781638645/5594264657260938/" TargetMode="External"/><Relationship Id="rId4052" Type="http://schemas.openxmlformats.org/officeDocument/2006/relationships/hyperlink" Target="https://www.facebook.com/rapplerdotcom/posts/pfbid02kmyrDmvYtHxz51VdR228sTCyvbHYDrwL4TgeoVAenoprSKkWhUFLyRmAuKBuGtXXl" TargetMode="External"/><Relationship Id="rId5382" Type="http://schemas.openxmlformats.org/officeDocument/2006/relationships/hyperlink" Target="https://www.facebook.com/lawrence.macadangdang.10" TargetMode="External"/><Relationship Id="rId4055" Type="http://schemas.openxmlformats.org/officeDocument/2006/relationships/hyperlink" Target="https://www.facebook.com/rosemarie.saturno" TargetMode="External"/><Relationship Id="rId5387" Type="http://schemas.openxmlformats.org/officeDocument/2006/relationships/hyperlink" Target="https://www.facebook.com/rapplerdotcom/photos/a.317154781638645/5594264657260938/" TargetMode="External"/><Relationship Id="rId4054" Type="http://schemas.openxmlformats.org/officeDocument/2006/relationships/hyperlink" Target="https://www.facebook.com/rapplerdotcom/posts/pfbid02kmyrDmvYtHxz51VdR228sTCyvbHYDrwL4TgeoVAenoprSKkWhUFLyRmAuKBuGtXXl" TargetMode="External"/><Relationship Id="rId5388" Type="http://schemas.openxmlformats.org/officeDocument/2006/relationships/hyperlink" Target="https://www.facebook.com/tseeeeeeb.18" TargetMode="External"/><Relationship Id="rId4057" Type="http://schemas.openxmlformats.org/officeDocument/2006/relationships/hyperlink" Target="https://www.facebook.com/sumadsad.loyalty" TargetMode="External"/><Relationship Id="rId5385" Type="http://schemas.openxmlformats.org/officeDocument/2006/relationships/hyperlink" Target="https://www.facebook.com/rapplerdotcom/photos/a.317154781638645/5594264657260938/" TargetMode="External"/><Relationship Id="rId4056" Type="http://schemas.openxmlformats.org/officeDocument/2006/relationships/hyperlink" Target="https://www.facebook.com/rapplerdotcom/posts/pfbid02kmyrDmvYtHxz51VdR228sTCyvbHYDrwL4TgeoVAenoprSKkWhUFLyRmAuKBuGtXXl" TargetMode="External"/><Relationship Id="rId5386" Type="http://schemas.openxmlformats.org/officeDocument/2006/relationships/hyperlink" Target="https://www.facebook.com/melinda.santelices" TargetMode="External"/><Relationship Id="rId4059" Type="http://schemas.openxmlformats.org/officeDocument/2006/relationships/hyperlink" Target="https://www.facebook.com/annejhov" TargetMode="External"/><Relationship Id="rId4058" Type="http://schemas.openxmlformats.org/officeDocument/2006/relationships/hyperlink" Target="https://www.facebook.com/rapplerdotcom/posts/pfbid02kmyrDmvYtHxz51VdR228sTCyvbHYDrwL4TgeoVAenoprSKkWhUFLyRmAuKBuGtXXl" TargetMode="External"/><Relationship Id="rId5389" Type="http://schemas.openxmlformats.org/officeDocument/2006/relationships/hyperlink" Target="https://www.facebook.com/rapplerdotcom/photos/a.317154781638645/5594264657260938/" TargetMode="External"/><Relationship Id="rId4008" Type="http://schemas.openxmlformats.org/officeDocument/2006/relationships/hyperlink" Target="https://www.facebook.com/rapplerdotcom/posts/pfbid0dyWpzxim3h4Z2SYriGakwQw85p7BCAgct7KU5EiMX1bmmgNHDD8nmES8rjrADsrPl" TargetMode="External"/><Relationship Id="rId4007" Type="http://schemas.openxmlformats.org/officeDocument/2006/relationships/hyperlink" Target="https://www.facebook.com/noel.isorena.7" TargetMode="External"/><Relationship Id="rId5338" Type="http://schemas.openxmlformats.org/officeDocument/2006/relationships/hyperlink" Target="https://www.facebook.com/initials.jt" TargetMode="External"/><Relationship Id="rId4009" Type="http://schemas.openxmlformats.org/officeDocument/2006/relationships/hyperlink" Target="https://www.facebook.com/christopher.m.perey" TargetMode="External"/><Relationship Id="rId5339" Type="http://schemas.openxmlformats.org/officeDocument/2006/relationships/hyperlink" Target="https://www.facebook.com/rapplerdotcom/photos/a.317154781638645/5594264657260938/" TargetMode="External"/><Relationship Id="rId271" Type="http://schemas.openxmlformats.org/officeDocument/2006/relationships/hyperlink" Target="https://www.facebook.com/rapplerdotcom/photos/a.317154781638645/5598220220198715/" TargetMode="External"/><Relationship Id="rId270" Type="http://schemas.openxmlformats.org/officeDocument/2006/relationships/hyperlink" Target="https://www.facebook.com/czaranthony.colocar" TargetMode="External"/><Relationship Id="rId269" Type="http://schemas.openxmlformats.org/officeDocument/2006/relationships/hyperlink" Target="https://www.facebook.com/rapplerdotcom/photos/a.317154781638645/5598220220198715/" TargetMode="External"/><Relationship Id="rId264" Type="http://schemas.openxmlformats.org/officeDocument/2006/relationships/hyperlink" Target="https://www.facebook.com/profile.php?id=100078329061859" TargetMode="External"/><Relationship Id="rId4000" Type="http://schemas.openxmlformats.org/officeDocument/2006/relationships/hyperlink" Target="https://www.facebook.com/rapplerdotcom/posts/pfbid0dyWpzxim3h4Z2SYriGakwQw85p7BCAgct7KU5EiMX1bmmgNHDD8nmES8rjrADsrPl" TargetMode="External"/><Relationship Id="rId5332" Type="http://schemas.openxmlformats.org/officeDocument/2006/relationships/hyperlink" Target="https://www.facebook.com/johncalamba.saguimpa" TargetMode="External"/><Relationship Id="rId263" Type="http://schemas.openxmlformats.org/officeDocument/2006/relationships/hyperlink" Target="https://www.facebook.com/rapplerdotcom/photos/a.317154781638645/5598220220198715/" TargetMode="External"/><Relationship Id="rId5333" Type="http://schemas.openxmlformats.org/officeDocument/2006/relationships/hyperlink" Target="https://www.facebook.com/rapplerdotcom/photos/a.317154781638645/5594264657260938/" TargetMode="External"/><Relationship Id="rId262" Type="http://schemas.openxmlformats.org/officeDocument/2006/relationships/hyperlink" Target="https://www.facebook.com/profile.php?id=100078433647836" TargetMode="External"/><Relationship Id="rId4002" Type="http://schemas.openxmlformats.org/officeDocument/2006/relationships/hyperlink" Target="https://www.facebook.com/rapplerdotcom/posts/pfbid0dyWpzxim3h4Z2SYriGakwQw85p7BCAgct7KU5EiMX1bmmgNHDD8nmES8rjrADsrPl" TargetMode="External"/><Relationship Id="rId5330" Type="http://schemas.openxmlformats.org/officeDocument/2006/relationships/hyperlink" Target="https://www.facebook.com/profile.php?id=100070343109589" TargetMode="External"/><Relationship Id="rId261" Type="http://schemas.openxmlformats.org/officeDocument/2006/relationships/hyperlink" Target="https://www.facebook.com/rapplerdotcom/photos/a.317154781638645/5598220220198715/" TargetMode="External"/><Relationship Id="rId4001" Type="http://schemas.openxmlformats.org/officeDocument/2006/relationships/hyperlink" Target="https://www.facebook.com/noel.isorena.7" TargetMode="External"/><Relationship Id="rId5331" Type="http://schemas.openxmlformats.org/officeDocument/2006/relationships/hyperlink" Target="https://www.facebook.com/rapplerdotcom/photos/a.317154781638645/5594264657260938/" TargetMode="External"/><Relationship Id="rId268" Type="http://schemas.openxmlformats.org/officeDocument/2006/relationships/hyperlink" Target="https://www.facebook.com/ronfrias" TargetMode="External"/><Relationship Id="rId4004" Type="http://schemas.openxmlformats.org/officeDocument/2006/relationships/hyperlink" Target="https://www.facebook.com/rapplerdotcom/posts/pfbid0dyWpzxim3h4Z2SYriGakwQw85p7BCAgct7KU5EiMX1bmmgNHDD8nmES8rjrADsrPl" TargetMode="External"/><Relationship Id="rId5336" Type="http://schemas.openxmlformats.org/officeDocument/2006/relationships/hyperlink" Target="https://www.facebook.com/lucius.allan" TargetMode="External"/><Relationship Id="rId267" Type="http://schemas.openxmlformats.org/officeDocument/2006/relationships/hyperlink" Target="https://www.facebook.com/rapplerdotcom/photos/a.317154781638645/5598220220198715/" TargetMode="External"/><Relationship Id="rId4003" Type="http://schemas.openxmlformats.org/officeDocument/2006/relationships/hyperlink" Target="https://www.facebook.com/noel.isorena.7" TargetMode="External"/><Relationship Id="rId5337" Type="http://schemas.openxmlformats.org/officeDocument/2006/relationships/hyperlink" Target="https://www.facebook.com/rapplerdotcom/photos/a.317154781638645/5594264657260938/" TargetMode="External"/><Relationship Id="rId266" Type="http://schemas.openxmlformats.org/officeDocument/2006/relationships/hyperlink" Target="https://www.facebook.com/elizabeth.bondad" TargetMode="External"/><Relationship Id="rId4006" Type="http://schemas.openxmlformats.org/officeDocument/2006/relationships/hyperlink" Target="https://www.facebook.com/rapplerdotcom/posts/pfbid0dyWpzxim3h4Z2SYriGakwQw85p7BCAgct7KU5EiMX1bmmgNHDD8nmES8rjrADsrPl" TargetMode="External"/><Relationship Id="rId5334" Type="http://schemas.openxmlformats.org/officeDocument/2006/relationships/hyperlink" Target="https://www.facebook.com/aqoucii.makmak" TargetMode="External"/><Relationship Id="rId265" Type="http://schemas.openxmlformats.org/officeDocument/2006/relationships/hyperlink" Target="https://www.facebook.com/rapplerdotcom/photos/a.317154781638645/5598220220198715/" TargetMode="External"/><Relationship Id="rId4005" Type="http://schemas.openxmlformats.org/officeDocument/2006/relationships/hyperlink" Target="https://www.facebook.com/noel.isorena.7" TargetMode="External"/><Relationship Id="rId5335" Type="http://schemas.openxmlformats.org/officeDocument/2006/relationships/hyperlink" Target="https://www.facebook.com/rapplerdotcom/photos/a.317154781638645/5594264657260938/" TargetMode="External"/><Relationship Id="rId5329" Type="http://schemas.openxmlformats.org/officeDocument/2006/relationships/hyperlink" Target="https://www.facebook.com/rapplerdotcom/photos/a.317154781638645/5594264657260938/" TargetMode="External"/><Relationship Id="rId5327" Type="http://schemas.openxmlformats.org/officeDocument/2006/relationships/hyperlink" Target="https://www.facebook.com/rapplerdotcom/photos/a.317154781638645/5594264657260938/" TargetMode="External"/><Relationship Id="rId5328" Type="http://schemas.openxmlformats.org/officeDocument/2006/relationships/hyperlink" Target="https://www.facebook.com/herbert.timbre" TargetMode="External"/><Relationship Id="rId260" Type="http://schemas.openxmlformats.org/officeDocument/2006/relationships/hyperlink" Target="https://www.facebook.com/profile.php?id=100078561682789" TargetMode="External"/><Relationship Id="rId259" Type="http://schemas.openxmlformats.org/officeDocument/2006/relationships/hyperlink" Target="https://www.facebook.com/rapplerdotcom/photos/a.317154781638645/5598220220198715/" TargetMode="External"/><Relationship Id="rId258" Type="http://schemas.openxmlformats.org/officeDocument/2006/relationships/hyperlink" Target="https://www.facebook.com/profile.php?id=100078504654734" TargetMode="External"/><Relationship Id="rId253" Type="http://schemas.openxmlformats.org/officeDocument/2006/relationships/hyperlink" Target="https://www.facebook.com/rapplerdotcom/photos/a.317154781638645/5598220220198715/" TargetMode="External"/><Relationship Id="rId5321" Type="http://schemas.openxmlformats.org/officeDocument/2006/relationships/hyperlink" Target="https://www.facebook.com/rapplerdotcom/photos/a.317154781638645/5594264657260938/" TargetMode="External"/><Relationship Id="rId252" Type="http://schemas.openxmlformats.org/officeDocument/2006/relationships/hyperlink" Target="https://www.facebook.com/airam.libutaque" TargetMode="External"/><Relationship Id="rId5322" Type="http://schemas.openxmlformats.org/officeDocument/2006/relationships/hyperlink" Target="https://www.facebook.com/rene.panganiban.31" TargetMode="External"/><Relationship Id="rId251" Type="http://schemas.openxmlformats.org/officeDocument/2006/relationships/hyperlink" Target="https://www.facebook.com/rapplerdotcom/photos/a.317154781638645/5598220220198715/" TargetMode="External"/><Relationship Id="rId250" Type="http://schemas.openxmlformats.org/officeDocument/2006/relationships/hyperlink" Target="https://www.facebook.com/airam.libutaque" TargetMode="External"/><Relationship Id="rId5320" Type="http://schemas.openxmlformats.org/officeDocument/2006/relationships/hyperlink" Target="https://www.facebook.com/drea.parcon" TargetMode="External"/><Relationship Id="rId257" Type="http://schemas.openxmlformats.org/officeDocument/2006/relationships/hyperlink" Target="https://www.facebook.com/rapplerdotcom/photos/a.317154781638645/5598220220198715/" TargetMode="External"/><Relationship Id="rId5325" Type="http://schemas.openxmlformats.org/officeDocument/2006/relationships/hyperlink" Target="https://www.facebook.com/rapplerdotcom/photos/a.317154781638645/5594264657260938/" TargetMode="External"/><Relationship Id="rId256" Type="http://schemas.openxmlformats.org/officeDocument/2006/relationships/hyperlink" Target="https://www.facebook.com/profile.php?id=100079047092742" TargetMode="External"/><Relationship Id="rId5326" Type="http://schemas.openxmlformats.org/officeDocument/2006/relationships/hyperlink" Target="https://www.facebook.com/rafaeljr.romano" TargetMode="External"/><Relationship Id="rId255" Type="http://schemas.openxmlformats.org/officeDocument/2006/relationships/hyperlink" Target="https://www.facebook.com/rapplerdotcom/photos/a.317154781638645/5598220220198715/" TargetMode="External"/><Relationship Id="rId5323" Type="http://schemas.openxmlformats.org/officeDocument/2006/relationships/hyperlink" Target="https://www.facebook.com/rapplerdotcom/photos/a.317154781638645/5594264657260938/" TargetMode="External"/><Relationship Id="rId254" Type="http://schemas.openxmlformats.org/officeDocument/2006/relationships/hyperlink" Target="https://www.facebook.com/antonio.posadas.35" TargetMode="External"/><Relationship Id="rId5324" Type="http://schemas.openxmlformats.org/officeDocument/2006/relationships/hyperlink" Target="https://www.facebook.com/essieangcaya" TargetMode="External"/><Relationship Id="rId4029" Type="http://schemas.openxmlformats.org/officeDocument/2006/relationships/hyperlink" Target="https://www.facebook.com/caridad.ancero" TargetMode="External"/><Relationship Id="rId293" Type="http://schemas.openxmlformats.org/officeDocument/2006/relationships/hyperlink" Target="https://www.facebook.com/rapplerdotcom/photos/a.317154781638645/5598220220198715/" TargetMode="External"/><Relationship Id="rId292" Type="http://schemas.openxmlformats.org/officeDocument/2006/relationships/hyperlink" Target="https://www.facebook.com/profile.php?id=100079089531211" TargetMode="External"/><Relationship Id="rId291" Type="http://schemas.openxmlformats.org/officeDocument/2006/relationships/hyperlink" Target="https://www.facebook.com/rapplerdotcom/photos/a.317154781638645/5598220220198715/" TargetMode="External"/><Relationship Id="rId290" Type="http://schemas.openxmlformats.org/officeDocument/2006/relationships/hyperlink" Target="https://www.facebook.com/profile.php?id=100011526405374" TargetMode="External"/><Relationship Id="rId5350" Type="http://schemas.openxmlformats.org/officeDocument/2006/relationships/hyperlink" Target="https://www.facebook.com/ScarfaceNinja13" TargetMode="External"/><Relationship Id="rId5351" Type="http://schemas.openxmlformats.org/officeDocument/2006/relationships/hyperlink" Target="https://www.facebook.com/rapplerdotcom/photos/a.317154781638645/5594264657260938/" TargetMode="External"/><Relationship Id="rId4020" Type="http://schemas.openxmlformats.org/officeDocument/2006/relationships/hyperlink" Target="https://www.facebook.com/rapplerdotcom/posts/pfbid02kmyrDmvYtHxz51VdR228sTCyvbHYDrwL4TgeoVAenoprSKkWhUFLyRmAuKBuGtXXl" TargetMode="External"/><Relationship Id="rId286" Type="http://schemas.openxmlformats.org/officeDocument/2006/relationships/hyperlink" Target="https://www.facebook.com/luz.baldoz" TargetMode="External"/><Relationship Id="rId4022" Type="http://schemas.openxmlformats.org/officeDocument/2006/relationships/hyperlink" Target="https://www.facebook.com/rapplerdotcom/posts/pfbid02kmyrDmvYtHxz51VdR228sTCyvbHYDrwL4TgeoVAenoprSKkWhUFLyRmAuKBuGtXXl" TargetMode="External"/><Relationship Id="rId5354" Type="http://schemas.openxmlformats.org/officeDocument/2006/relationships/hyperlink" Target="https://www.facebook.com/lyn.cobajada" TargetMode="External"/><Relationship Id="rId285" Type="http://schemas.openxmlformats.org/officeDocument/2006/relationships/hyperlink" Target="https://www.facebook.com/rapplerdotcom/photos/a.317154781638645/5598220220198715/" TargetMode="External"/><Relationship Id="rId4021" Type="http://schemas.openxmlformats.org/officeDocument/2006/relationships/hyperlink" Target="https://www.facebook.com/christopher.m.perey" TargetMode="External"/><Relationship Id="rId5355" Type="http://schemas.openxmlformats.org/officeDocument/2006/relationships/hyperlink" Target="https://www.facebook.com/rapplerdotcom/photos/a.317154781638645/5594264657260938/" TargetMode="External"/><Relationship Id="rId284" Type="http://schemas.openxmlformats.org/officeDocument/2006/relationships/hyperlink" Target="https://www.facebook.com/ana.abadsantos" TargetMode="External"/><Relationship Id="rId4024" Type="http://schemas.openxmlformats.org/officeDocument/2006/relationships/hyperlink" Target="https://www.facebook.com/rapplerdotcom/posts/pfbid02kmyrDmvYtHxz51VdR228sTCyvbHYDrwL4TgeoVAenoprSKkWhUFLyRmAuKBuGtXXl" TargetMode="External"/><Relationship Id="rId5352" Type="http://schemas.openxmlformats.org/officeDocument/2006/relationships/hyperlink" Target="https://www.facebook.com/nonoigwen" TargetMode="External"/><Relationship Id="rId283" Type="http://schemas.openxmlformats.org/officeDocument/2006/relationships/hyperlink" Target="https://www.facebook.com/rapplerdotcom/photos/a.317154781638645/5598220220198715/" TargetMode="External"/><Relationship Id="rId4023" Type="http://schemas.openxmlformats.org/officeDocument/2006/relationships/hyperlink" Target="https://www.facebook.com/jubs.bravo" TargetMode="External"/><Relationship Id="rId5353" Type="http://schemas.openxmlformats.org/officeDocument/2006/relationships/hyperlink" Target="https://www.facebook.com/rapplerdotcom/photos/a.317154781638645/5594264657260938/" TargetMode="External"/><Relationship Id="rId4026" Type="http://schemas.openxmlformats.org/officeDocument/2006/relationships/hyperlink" Target="https://www.facebook.com/rapplerdotcom/posts/pfbid02kmyrDmvYtHxz51VdR228sTCyvbHYDrwL4TgeoVAenoprSKkWhUFLyRmAuKBuGtXXl" TargetMode="External"/><Relationship Id="rId5358" Type="http://schemas.openxmlformats.org/officeDocument/2006/relationships/hyperlink" Target="https://www.facebook.com/holaissa.jaboneta" TargetMode="External"/><Relationship Id="rId289" Type="http://schemas.openxmlformats.org/officeDocument/2006/relationships/hyperlink" Target="https://www.facebook.com/rapplerdotcom/photos/a.317154781638645/5598220220198715/" TargetMode="External"/><Relationship Id="rId4025" Type="http://schemas.openxmlformats.org/officeDocument/2006/relationships/hyperlink" Target="https://www.facebook.com/jubs.bravo" TargetMode="External"/><Relationship Id="rId5359" Type="http://schemas.openxmlformats.org/officeDocument/2006/relationships/hyperlink" Target="https://www.facebook.com/rapplerdotcom/photos/a.317154781638645/5594264657260938/" TargetMode="External"/><Relationship Id="rId288" Type="http://schemas.openxmlformats.org/officeDocument/2006/relationships/hyperlink" Target="https://www.facebook.com/Novie.furry.godmama" TargetMode="External"/><Relationship Id="rId4028" Type="http://schemas.openxmlformats.org/officeDocument/2006/relationships/hyperlink" Target="https://www.facebook.com/rapplerdotcom/posts/pfbid02kmyrDmvYtHxz51VdR228sTCyvbHYDrwL4TgeoVAenoprSKkWhUFLyRmAuKBuGtXXl" TargetMode="External"/><Relationship Id="rId5356" Type="http://schemas.openxmlformats.org/officeDocument/2006/relationships/hyperlink" Target="https://www.facebook.com/iamowenoliveros" TargetMode="External"/><Relationship Id="rId287" Type="http://schemas.openxmlformats.org/officeDocument/2006/relationships/hyperlink" Target="https://www.facebook.com/rapplerdotcom/photos/a.317154781638645/5598220220198715/" TargetMode="External"/><Relationship Id="rId4027" Type="http://schemas.openxmlformats.org/officeDocument/2006/relationships/hyperlink" Target="https://www.facebook.com/mark.pahate" TargetMode="External"/><Relationship Id="rId5357" Type="http://schemas.openxmlformats.org/officeDocument/2006/relationships/hyperlink" Target="https://www.facebook.com/rapplerdotcom/photos/a.317154781638645/5594264657260938/" TargetMode="External"/><Relationship Id="rId4019" Type="http://schemas.openxmlformats.org/officeDocument/2006/relationships/hyperlink" Target="https://www.facebook.com/jubs.bravo" TargetMode="External"/><Relationship Id="rId4018" Type="http://schemas.openxmlformats.org/officeDocument/2006/relationships/hyperlink" Target="https://www.facebook.com/rapplerdotcom/posts/pfbid02kmyrDmvYtHxz51VdR228sTCyvbHYDrwL4TgeoVAenoprSKkWhUFLyRmAuKBuGtXXl" TargetMode="External"/><Relationship Id="rId5349" Type="http://schemas.openxmlformats.org/officeDocument/2006/relationships/hyperlink" Target="https://www.facebook.com/rapplerdotcom/photos/a.317154781638645/5594264657260938/" TargetMode="External"/><Relationship Id="rId282" Type="http://schemas.openxmlformats.org/officeDocument/2006/relationships/hyperlink" Target="https://www.facebook.com/bella.sarenas" TargetMode="External"/><Relationship Id="rId281" Type="http://schemas.openxmlformats.org/officeDocument/2006/relationships/hyperlink" Target="https://www.facebook.com/rapplerdotcom/photos/a.317154781638645/5598220220198715/" TargetMode="External"/><Relationship Id="rId280" Type="http://schemas.openxmlformats.org/officeDocument/2006/relationships/hyperlink" Target="https://www.facebook.com/profile.php?id=100078329061859" TargetMode="External"/><Relationship Id="rId5340" Type="http://schemas.openxmlformats.org/officeDocument/2006/relationships/hyperlink" Target="https://www.facebook.com/zion.poliquit.54" TargetMode="External"/><Relationship Id="rId275" Type="http://schemas.openxmlformats.org/officeDocument/2006/relationships/hyperlink" Target="https://www.facebook.com/rapplerdotcom/photos/a.317154781638645/5598220220198715/" TargetMode="External"/><Relationship Id="rId4011" Type="http://schemas.openxmlformats.org/officeDocument/2006/relationships/hyperlink" Target="https://www.facebook.com/jubs.bravo" TargetMode="External"/><Relationship Id="rId5343" Type="http://schemas.openxmlformats.org/officeDocument/2006/relationships/hyperlink" Target="https://www.facebook.com/rapplerdotcom/photos/a.317154781638645/5594264657260938/" TargetMode="External"/><Relationship Id="rId274" Type="http://schemas.openxmlformats.org/officeDocument/2006/relationships/hyperlink" Target="https://www.facebook.com/profile.php?id=100077975515176" TargetMode="External"/><Relationship Id="rId4010" Type="http://schemas.openxmlformats.org/officeDocument/2006/relationships/hyperlink" Target="https://www.facebook.com/rapplerdotcom/posts/pfbid02kmyrDmvYtHxz51VdR228sTCyvbHYDrwL4TgeoVAenoprSKkWhUFLyRmAuKBuGtXXl" TargetMode="External"/><Relationship Id="rId5344" Type="http://schemas.openxmlformats.org/officeDocument/2006/relationships/hyperlink" Target="https://www.facebook.com/jo.talisaysay" TargetMode="External"/><Relationship Id="rId273" Type="http://schemas.openxmlformats.org/officeDocument/2006/relationships/hyperlink" Target="https://www.facebook.com/rapplerdotcom/photos/a.317154781638645/5598220220198715/" TargetMode="External"/><Relationship Id="rId4013" Type="http://schemas.openxmlformats.org/officeDocument/2006/relationships/hyperlink" Target="https://www.facebook.com/christopher.m.perey" TargetMode="External"/><Relationship Id="rId5341" Type="http://schemas.openxmlformats.org/officeDocument/2006/relationships/hyperlink" Target="https://www.facebook.com/rapplerdotcom/photos/a.317154781638645/5594264657260938/" TargetMode="External"/><Relationship Id="rId272" Type="http://schemas.openxmlformats.org/officeDocument/2006/relationships/hyperlink" Target="https://www.facebook.com/profile.php?id=100078772872933" TargetMode="External"/><Relationship Id="rId4012" Type="http://schemas.openxmlformats.org/officeDocument/2006/relationships/hyperlink" Target="https://www.facebook.com/rapplerdotcom/posts/pfbid02kmyrDmvYtHxz51VdR228sTCyvbHYDrwL4TgeoVAenoprSKkWhUFLyRmAuKBuGtXXl" TargetMode="External"/><Relationship Id="rId5342" Type="http://schemas.openxmlformats.org/officeDocument/2006/relationships/hyperlink" Target="https://www.facebook.com/jhanemomtenegro" TargetMode="External"/><Relationship Id="rId279" Type="http://schemas.openxmlformats.org/officeDocument/2006/relationships/hyperlink" Target="https://www.facebook.com/rapplerdotcom/photos/a.317154781638645/5598220220198715/" TargetMode="External"/><Relationship Id="rId4015" Type="http://schemas.openxmlformats.org/officeDocument/2006/relationships/hyperlink" Target="https://www.facebook.com/jubs.bravo" TargetMode="External"/><Relationship Id="rId5347" Type="http://schemas.openxmlformats.org/officeDocument/2006/relationships/hyperlink" Target="https://www.facebook.com/rapplerdotcom/photos/a.317154781638645/5594264657260938/" TargetMode="External"/><Relationship Id="rId278" Type="http://schemas.openxmlformats.org/officeDocument/2006/relationships/hyperlink" Target="https://www.facebook.com/cielo.dupayamendiola" TargetMode="External"/><Relationship Id="rId4014" Type="http://schemas.openxmlformats.org/officeDocument/2006/relationships/hyperlink" Target="https://www.facebook.com/rapplerdotcom/posts/pfbid02kmyrDmvYtHxz51VdR228sTCyvbHYDrwL4TgeoVAenoprSKkWhUFLyRmAuKBuGtXXl" TargetMode="External"/><Relationship Id="rId5348" Type="http://schemas.openxmlformats.org/officeDocument/2006/relationships/hyperlink" Target="https://www.facebook.com/kharen.salazar.37" TargetMode="External"/><Relationship Id="rId277" Type="http://schemas.openxmlformats.org/officeDocument/2006/relationships/hyperlink" Target="https://www.facebook.com/rapplerdotcom/photos/a.317154781638645/5598220220198715/" TargetMode="External"/><Relationship Id="rId4017" Type="http://schemas.openxmlformats.org/officeDocument/2006/relationships/hyperlink" Target="https://www.facebook.com/christopher.m.perey" TargetMode="External"/><Relationship Id="rId5345" Type="http://schemas.openxmlformats.org/officeDocument/2006/relationships/hyperlink" Target="https://www.facebook.com/rapplerdotcom/photos/a.317154781638645/5594264657260938/" TargetMode="External"/><Relationship Id="rId276" Type="http://schemas.openxmlformats.org/officeDocument/2006/relationships/hyperlink" Target="https://www.facebook.com/profile.php?id=100078329061859" TargetMode="External"/><Relationship Id="rId4016" Type="http://schemas.openxmlformats.org/officeDocument/2006/relationships/hyperlink" Target="https://www.facebook.com/rapplerdotcom/posts/pfbid02kmyrDmvYtHxz51VdR228sTCyvbHYDrwL4TgeoVAenoprSKkWhUFLyRmAuKBuGtXXl" TargetMode="External"/><Relationship Id="rId5346" Type="http://schemas.openxmlformats.org/officeDocument/2006/relationships/hyperlink" Target="https://www.facebook.com/profile.php?id=100012422146329" TargetMode="External"/><Relationship Id="rId1851" Type="http://schemas.openxmlformats.org/officeDocument/2006/relationships/hyperlink" Target="https://www.facebook.com/profile.php?id=100071636301768" TargetMode="External"/><Relationship Id="rId1852" Type="http://schemas.openxmlformats.org/officeDocument/2006/relationships/hyperlink" Target="https://www.facebook.com/rapplerdotcom/photos/a.317154781638645/5596043783749692/" TargetMode="External"/><Relationship Id="rId1853" Type="http://schemas.openxmlformats.org/officeDocument/2006/relationships/hyperlink" Target="https://www.facebook.com/samuel.mamauag" TargetMode="External"/><Relationship Id="rId1854" Type="http://schemas.openxmlformats.org/officeDocument/2006/relationships/hyperlink" Target="https://www.facebook.com/rapplerdotcom/photos/a.317154781638645/5596043783749692/" TargetMode="External"/><Relationship Id="rId1855" Type="http://schemas.openxmlformats.org/officeDocument/2006/relationships/hyperlink" Target="https://www.facebook.com/champoybulletelbow" TargetMode="External"/><Relationship Id="rId1856" Type="http://schemas.openxmlformats.org/officeDocument/2006/relationships/hyperlink" Target="https://www.facebook.com/rapplerdotcom/photos/a.317154781638645/5596043783749692/" TargetMode="External"/><Relationship Id="rId1857" Type="http://schemas.openxmlformats.org/officeDocument/2006/relationships/hyperlink" Target="https://www.facebook.com/agodlessheathenagain" TargetMode="External"/><Relationship Id="rId1858" Type="http://schemas.openxmlformats.org/officeDocument/2006/relationships/hyperlink" Target="https://www.facebook.com/rapplerdotcom/photos/a.317154781638645/5596043783749692/" TargetMode="External"/><Relationship Id="rId1859" Type="http://schemas.openxmlformats.org/officeDocument/2006/relationships/hyperlink" Target="https://www.facebook.com/ronaldace.inaldo" TargetMode="External"/><Relationship Id="rId1850" Type="http://schemas.openxmlformats.org/officeDocument/2006/relationships/hyperlink" Target="https://www.facebook.com/rapplerdotcom/photos/a.317154781638645/5596043783749692/" TargetMode="External"/><Relationship Id="rId1840" Type="http://schemas.openxmlformats.org/officeDocument/2006/relationships/hyperlink" Target="https://www.facebook.com/rapplerdotcom/photos/a.317154781638645/5596043783749692/" TargetMode="External"/><Relationship Id="rId1841" Type="http://schemas.openxmlformats.org/officeDocument/2006/relationships/hyperlink" Target="https://www.facebook.com/Arianna11091989" TargetMode="External"/><Relationship Id="rId1842" Type="http://schemas.openxmlformats.org/officeDocument/2006/relationships/hyperlink" Target="https://www.facebook.com/rapplerdotcom/photos/a.317154781638645/5596043783749692/" TargetMode="External"/><Relationship Id="rId1843" Type="http://schemas.openxmlformats.org/officeDocument/2006/relationships/hyperlink" Target="https://www.facebook.com/EnricElesisCruz" TargetMode="External"/><Relationship Id="rId1844" Type="http://schemas.openxmlformats.org/officeDocument/2006/relationships/hyperlink" Target="https://www.facebook.com/rapplerdotcom/photos/a.317154781638645/5596043783749692/" TargetMode="External"/><Relationship Id="rId1845" Type="http://schemas.openxmlformats.org/officeDocument/2006/relationships/hyperlink" Target="https://www.facebook.com/sonny.marano.3" TargetMode="External"/><Relationship Id="rId1846" Type="http://schemas.openxmlformats.org/officeDocument/2006/relationships/hyperlink" Target="https://www.facebook.com/rapplerdotcom/photos/a.317154781638645/5596043783749692/" TargetMode="External"/><Relationship Id="rId1847" Type="http://schemas.openxmlformats.org/officeDocument/2006/relationships/hyperlink" Target="https://www.facebook.com/sonny.marano.3" TargetMode="External"/><Relationship Id="rId1848" Type="http://schemas.openxmlformats.org/officeDocument/2006/relationships/hyperlink" Target="https://www.facebook.com/rapplerdotcom/photos/a.317154781638645/5596043783749692/" TargetMode="External"/><Relationship Id="rId1849" Type="http://schemas.openxmlformats.org/officeDocument/2006/relationships/hyperlink" Target="https://www.facebook.com/profile.php?id=100013881702356" TargetMode="External"/><Relationship Id="rId1873" Type="http://schemas.openxmlformats.org/officeDocument/2006/relationships/hyperlink" Target="https://www.facebook.com/raks.figthet" TargetMode="External"/><Relationship Id="rId1874" Type="http://schemas.openxmlformats.org/officeDocument/2006/relationships/hyperlink" Target="https://www.facebook.com/rapplerdotcom/photos/a.317154781638645/5596043783749692/" TargetMode="External"/><Relationship Id="rId1875" Type="http://schemas.openxmlformats.org/officeDocument/2006/relationships/hyperlink" Target="https://www.facebook.com/profile.php?id=100072506056935" TargetMode="External"/><Relationship Id="rId1876" Type="http://schemas.openxmlformats.org/officeDocument/2006/relationships/hyperlink" Target="https://www.facebook.com/rapplerdotcom/photos/a.317154781638645/5596043783749692/" TargetMode="External"/><Relationship Id="rId1877" Type="http://schemas.openxmlformats.org/officeDocument/2006/relationships/hyperlink" Target="https://www.facebook.com/teodorico.deverap" TargetMode="External"/><Relationship Id="rId1878" Type="http://schemas.openxmlformats.org/officeDocument/2006/relationships/hyperlink" Target="https://www.facebook.com/rapplerdotcom/photos/a.317154781638645/5596043783749692/" TargetMode="External"/><Relationship Id="rId1879" Type="http://schemas.openxmlformats.org/officeDocument/2006/relationships/hyperlink" Target="https://www.facebook.com/geegee.lopez" TargetMode="External"/><Relationship Id="rId1870" Type="http://schemas.openxmlformats.org/officeDocument/2006/relationships/hyperlink" Target="https://www.facebook.com/rapplerdotcom/photos/a.317154781638645/5596043783749692/" TargetMode="External"/><Relationship Id="rId1871" Type="http://schemas.openxmlformats.org/officeDocument/2006/relationships/hyperlink" Target="https://www.facebook.com/ruth.pananganan" TargetMode="External"/><Relationship Id="rId1872" Type="http://schemas.openxmlformats.org/officeDocument/2006/relationships/hyperlink" Target="https://www.facebook.com/rapplerdotcom/photos/a.317154781638645/5596043783749692/" TargetMode="External"/><Relationship Id="rId1862" Type="http://schemas.openxmlformats.org/officeDocument/2006/relationships/hyperlink" Target="https://www.facebook.com/rapplerdotcom/photos/a.317154781638645/5596043783749692/" TargetMode="External"/><Relationship Id="rId1863" Type="http://schemas.openxmlformats.org/officeDocument/2006/relationships/hyperlink" Target="https://www.facebook.com/rensoriframos" TargetMode="External"/><Relationship Id="rId1864" Type="http://schemas.openxmlformats.org/officeDocument/2006/relationships/hyperlink" Target="https://www.facebook.com/rapplerdotcom/photos/a.317154781638645/5596043783749692/" TargetMode="External"/><Relationship Id="rId1865" Type="http://schemas.openxmlformats.org/officeDocument/2006/relationships/hyperlink" Target="https://www.facebook.com/robert.villamin.7" TargetMode="External"/><Relationship Id="rId1866" Type="http://schemas.openxmlformats.org/officeDocument/2006/relationships/hyperlink" Target="https://www.facebook.com/rapplerdotcom/photos/a.317154781638645/5596043783749692/" TargetMode="External"/><Relationship Id="rId1867" Type="http://schemas.openxmlformats.org/officeDocument/2006/relationships/hyperlink" Target="https://www.facebook.com/yongcoonang" TargetMode="External"/><Relationship Id="rId1868" Type="http://schemas.openxmlformats.org/officeDocument/2006/relationships/hyperlink" Target="https://www.facebook.com/rapplerdotcom/photos/a.317154781638645/5596043783749692/" TargetMode="External"/><Relationship Id="rId1869" Type="http://schemas.openxmlformats.org/officeDocument/2006/relationships/hyperlink" Target="https://www.facebook.com/profile.php?id=100077465509824" TargetMode="External"/><Relationship Id="rId1860" Type="http://schemas.openxmlformats.org/officeDocument/2006/relationships/hyperlink" Target="https://www.facebook.com/rapplerdotcom/photos/a.317154781638645/5596043783749692/" TargetMode="External"/><Relationship Id="rId1861" Type="http://schemas.openxmlformats.org/officeDocument/2006/relationships/hyperlink" Target="https://www.facebook.com/arlene.adamos" TargetMode="External"/><Relationship Id="rId1810" Type="http://schemas.openxmlformats.org/officeDocument/2006/relationships/hyperlink" Target="https://www.facebook.com/rapplerdotcom/photos/a.317154781638645/5596043783749692/" TargetMode="External"/><Relationship Id="rId1811" Type="http://schemas.openxmlformats.org/officeDocument/2006/relationships/hyperlink" Target="https://www.facebook.com/yong.estrada" TargetMode="External"/><Relationship Id="rId1812" Type="http://schemas.openxmlformats.org/officeDocument/2006/relationships/hyperlink" Target="https://www.facebook.com/rapplerdotcom/photos/a.317154781638645/5596043783749692/" TargetMode="External"/><Relationship Id="rId1813" Type="http://schemas.openxmlformats.org/officeDocument/2006/relationships/hyperlink" Target="https://www.facebook.com/Ansabe-Ni-Kuya-2813308388893277/" TargetMode="External"/><Relationship Id="rId1814" Type="http://schemas.openxmlformats.org/officeDocument/2006/relationships/hyperlink" Target="https://www.facebook.com/rapplerdotcom/photos/a.317154781638645/5596043783749692/" TargetMode="External"/><Relationship Id="rId1815" Type="http://schemas.openxmlformats.org/officeDocument/2006/relationships/hyperlink" Target="https://www.facebook.com/maria.dizon1" TargetMode="External"/><Relationship Id="rId1816" Type="http://schemas.openxmlformats.org/officeDocument/2006/relationships/hyperlink" Target="https://www.facebook.com/rapplerdotcom/photos/a.317154781638645/5596043783749692/" TargetMode="External"/><Relationship Id="rId1817" Type="http://schemas.openxmlformats.org/officeDocument/2006/relationships/hyperlink" Target="https://www.facebook.com/bobet.julian" TargetMode="External"/><Relationship Id="rId1818" Type="http://schemas.openxmlformats.org/officeDocument/2006/relationships/hyperlink" Target="https://www.facebook.com/rapplerdotcom/photos/a.317154781638645/5596043783749692/" TargetMode="External"/><Relationship Id="rId1819" Type="http://schemas.openxmlformats.org/officeDocument/2006/relationships/hyperlink" Target="https://www.facebook.com/defender85" TargetMode="External"/><Relationship Id="rId4080" Type="http://schemas.openxmlformats.org/officeDocument/2006/relationships/hyperlink" Target="https://www.facebook.com/rapplerdotcom/posts/pfbid0231hbcbuKeQLDkPH8oZAdZbuU8MPPgRANx152V3xWpbjZ6EvfpohwQMvxHYAgrGPul" TargetMode="External"/><Relationship Id="rId4082" Type="http://schemas.openxmlformats.org/officeDocument/2006/relationships/hyperlink" Target="https://www.facebook.com/rapplerdotcom/posts/pfbid0231hbcbuKeQLDkPH8oZAdZbuU8MPPgRANx152V3xWpbjZ6EvfpohwQMvxHYAgrGPul" TargetMode="External"/><Relationship Id="rId4081" Type="http://schemas.openxmlformats.org/officeDocument/2006/relationships/hyperlink" Target="https://www.facebook.com/arnel.bernardino.9" TargetMode="External"/><Relationship Id="rId4084" Type="http://schemas.openxmlformats.org/officeDocument/2006/relationships/hyperlink" Target="https://www.facebook.com/rapplerdotcom/posts/pfbid0231hbcbuKeQLDkPH8oZAdZbuU8MPPgRANx152V3xWpbjZ6EvfpohwQMvxHYAgrGPul" TargetMode="External"/><Relationship Id="rId4083" Type="http://schemas.openxmlformats.org/officeDocument/2006/relationships/hyperlink" Target="https://www.facebook.com/rgrino1" TargetMode="External"/><Relationship Id="rId4086" Type="http://schemas.openxmlformats.org/officeDocument/2006/relationships/hyperlink" Target="https://www.facebook.com/rapplerdotcom/posts/pfbid0231hbcbuKeQLDkPH8oZAdZbuU8MPPgRANx152V3xWpbjZ6EvfpohwQMvxHYAgrGPul" TargetMode="External"/><Relationship Id="rId4085" Type="http://schemas.openxmlformats.org/officeDocument/2006/relationships/hyperlink" Target="https://www.facebook.com/kawboy02" TargetMode="External"/><Relationship Id="rId4088" Type="http://schemas.openxmlformats.org/officeDocument/2006/relationships/hyperlink" Target="https://www.facebook.com/rapplerdotcom/posts/pfbid0231hbcbuKeQLDkPH8oZAdZbuU8MPPgRANx152V3xWpbjZ6EvfpohwQMvxHYAgrGPul" TargetMode="External"/><Relationship Id="rId4087" Type="http://schemas.openxmlformats.org/officeDocument/2006/relationships/hyperlink" Target="https://www.facebook.com/vanessa.cabelto" TargetMode="External"/><Relationship Id="rId4089" Type="http://schemas.openxmlformats.org/officeDocument/2006/relationships/hyperlink" Target="https://www.facebook.com/ronel.padrqiue" TargetMode="External"/><Relationship Id="rId1800" Type="http://schemas.openxmlformats.org/officeDocument/2006/relationships/hyperlink" Target="https://www.facebook.com/rapplerdotcom/photos/a.317154781638645/5596043783749692/" TargetMode="External"/><Relationship Id="rId1801" Type="http://schemas.openxmlformats.org/officeDocument/2006/relationships/hyperlink" Target="https://www.facebook.com/Ed.the.Great.13" TargetMode="External"/><Relationship Id="rId1802" Type="http://schemas.openxmlformats.org/officeDocument/2006/relationships/hyperlink" Target="https://www.facebook.com/rapplerdotcom/photos/a.317154781638645/5596043783749692/" TargetMode="External"/><Relationship Id="rId1803" Type="http://schemas.openxmlformats.org/officeDocument/2006/relationships/hyperlink" Target="https://www.facebook.com/kathrenkaye" TargetMode="External"/><Relationship Id="rId1804" Type="http://schemas.openxmlformats.org/officeDocument/2006/relationships/hyperlink" Target="https://www.facebook.com/rapplerdotcom/photos/a.317154781638645/5596043783749692/" TargetMode="External"/><Relationship Id="rId1805" Type="http://schemas.openxmlformats.org/officeDocument/2006/relationships/hyperlink" Target="https://www.facebook.com/profile.php?id=100027988665455" TargetMode="External"/><Relationship Id="rId1806" Type="http://schemas.openxmlformats.org/officeDocument/2006/relationships/hyperlink" Target="https://www.facebook.com/rapplerdotcom/photos/a.317154781638645/5596043783749692/" TargetMode="External"/><Relationship Id="rId1807" Type="http://schemas.openxmlformats.org/officeDocument/2006/relationships/hyperlink" Target="https://www.facebook.com/profile.php?id=100076154266974" TargetMode="External"/><Relationship Id="rId1808" Type="http://schemas.openxmlformats.org/officeDocument/2006/relationships/hyperlink" Target="https://www.facebook.com/rapplerdotcom/photos/a.317154781638645/5596043783749692/" TargetMode="External"/><Relationship Id="rId1809" Type="http://schemas.openxmlformats.org/officeDocument/2006/relationships/hyperlink" Target="https://www.facebook.com/panagsi" TargetMode="External"/><Relationship Id="rId4071" Type="http://schemas.openxmlformats.org/officeDocument/2006/relationships/hyperlink" Target="https://www.facebook.com/jingbong.suan" TargetMode="External"/><Relationship Id="rId4070" Type="http://schemas.openxmlformats.org/officeDocument/2006/relationships/hyperlink" Target="https://www.facebook.com/rapplerdotcom/posts/pfbid0231hbcbuKeQLDkPH8oZAdZbuU8MPPgRANx152V3xWpbjZ6EvfpohwQMvxHYAgrGPul" TargetMode="External"/><Relationship Id="rId4073" Type="http://schemas.openxmlformats.org/officeDocument/2006/relationships/hyperlink" Target="https://www.facebook.com/esting.cabrerazaAaAaA" TargetMode="External"/><Relationship Id="rId4072" Type="http://schemas.openxmlformats.org/officeDocument/2006/relationships/hyperlink" Target="https://www.facebook.com/rapplerdotcom/posts/pfbid0231hbcbuKeQLDkPH8oZAdZbuU8MPPgRANx152V3xWpbjZ6EvfpohwQMvxHYAgrGPul" TargetMode="External"/><Relationship Id="rId4075" Type="http://schemas.openxmlformats.org/officeDocument/2006/relationships/hyperlink" Target="https://www.facebook.com/alma.bautista.148" TargetMode="External"/><Relationship Id="rId4074" Type="http://schemas.openxmlformats.org/officeDocument/2006/relationships/hyperlink" Target="https://www.facebook.com/rapplerdotcom/posts/pfbid0231hbcbuKeQLDkPH8oZAdZbuU8MPPgRANx152V3xWpbjZ6EvfpohwQMvxHYAgrGPul" TargetMode="External"/><Relationship Id="rId4077" Type="http://schemas.openxmlformats.org/officeDocument/2006/relationships/hyperlink" Target="https://www.facebook.com/jrockersgsm" TargetMode="External"/><Relationship Id="rId4076" Type="http://schemas.openxmlformats.org/officeDocument/2006/relationships/hyperlink" Target="https://www.facebook.com/rapplerdotcom/posts/pfbid0231hbcbuKeQLDkPH8oZAdZbuU8MPPgRANx152V3xWpbjZ6EvfpohwQMvxHYAgrGPul" TargetMode="External"/><Relationship Id="rId4079" Type="http://schemas.openxmlformats.org/officeDocument/2006/relationships/hyperlink" Target="https://www.facebook.com/marichu.espinosa.5" TargetMode="External"/><Relationship Id="rId4078" Type="http://schemas.openxmlformats.org/officeDocument/2006/relationships/hyperlink" Target="https://www.facebook.com/rapplerdotcom/posts/pfbid0231hbcbuKeQLDkPH8oZAdZbuU8MPPgRANx152V3xWpbjZ6EvfpohwQMvxHYAgrGPul" TargetMode="External"/><Relationship Id="rId1830" Type="http://schemas.openxmlformats.org/officeDocument/2006/relationships/hyperlink" Target="https://www.facebook.com/rapplerdotcom/photos/a.317154781638645/5596043783749692/" TargetMode="External"/><Relationship Id="rId1831" Type="http://schemas.openxmlformats.org/officeDocument/2006/relationships/hyperlink" Target="https://www.facebook.com/sards.ceriola" TargetMode="External"/><Relationship Id="rId1832" Type="http://schemas.openxmlformats.org/officeDocument/2006/relationships/hyperlink" Target="https://www.facebook.com/rapplerdotcom/photos/a.317154781638645/5596043783749692/" TargetMode="External"/><Relationship Id="rId1833" Type="http://schemas.openxmlformats.org/officeDocument/2006/relationships/hyperlink" Target="https://www.facebook.com/liza.mallorca.501" TargetMode="External"/><Relationship Id="rId1834" Type="http://schemas.openxmlformats.org/officeDocument/2006/relationships/hyperlink" Target="https://www.facebook.com/rapplerdotcom/photos/a.317154781638645/5596043783749692/" TargetMode="External"/><Relationship Id="rId1835" Type="http://schemas.openxmlformats.org/officeDocument/2006/relationships/hyperlink" Target="https://www.facebook.com/Arianna11091989" TargetMode="External"/><Relationship Id="rId1836" Type="http://schemas.openxmlformats.org/officeDocument/2006/relationships/hyperlink" Target="https://www.facebook.com/rapplerdotcom/photos/a.317154781638645/5596043783749692/" TargetMode="External"/><Relationship Id="rId1837" Type="http://schemas.openxmlformats.org/officeDocument/2006/relationships/hyperlink" Target="https://www.facebook.com/liza.mallorca.501" TargetMode="External"/><Relationship Id="rId1838" Type="http://schemas.openxmlformats.org/officeDocument/2006/relationships/hyperlink" Target="https://www.facebook.com/rapplerdotcom/photos/a.317154781638645/5596043783749692/" TargetMode="External"/><Relationship Id="rId1839" Type="http://schemas.openxmlformats.org/officeDocument/2006/relationships/hyperlink" Target="https://www.facebook.com/liza.mallorca.501" TargetMode="External"/><Relationship Id="rId1820" Type="http://schemas.openxmlformats.org/officeDocument/2006/relationships/hyperlink" Target="https://www.facebook.com/rapplerdotcom/photos/a.317154781638645/5596043783749692/" TargetMode="External"/><Relationship Id="rId1821" Type="http://schemas.openxmlformats.org/officeDocument/2006/relationships/hyperlink" Target="https://www.facebook.com/christene.delacruz.777" TargetMode="External"/><Relationship Id="rId1822" Type="http://schemas.openxmlformats.org/officeDocument/2006/relationships/hyperlink" Target="https://www.facebook.com/rapplerdotcom/photos/a.317154781638645/5596043783749692/" TargetMode="External"/><Relationship Id="rId1823" Type="http://schemas.openxmlformats.org/officeDocument/2006/relationships/hyperlink" Target="https://www.facebook.com/Arianna11091989" TargetMode="External"/><Relationship Id="rId1824" Type="http://schemas.openxmlformats.org/officeDocument/2006/relationships/hyperlink" Target="https://www.facebook.com/rapplerdotcom/photos/a.317154781638645/5596043783749692/" TargetMode="External"/><Relationship Id="rId1825" Type="http://schemas.openxmlformats.org/officeDocument/2006/relationships/hyperlink" Target="https://www.facebook.com/nigeltan.ph" TargetMode="External"/><Relationship Id="rId1826" Type="http://schemas.openxmlformats.org/officeDocument/2006/relationships/hyperlink" Target="https://www.facebook.com/rapplerdotcom/photos/a.317154781638645/5596043783749692/" TargetMode="External"/><Relationship Id="rId1827" Type="http://schemas.openxmlformats.org/officeDocument/2006/relationships/hyperlink" Target="https://www.facebook.com/yongcoonang" TargetMode="External"/><Relationship Id="rId1828" Type="http://schemas.openxmlformats.org/officeDocument/2006/relationships/hyperlink" Target="https://www.facebook.com/rapplerdotcom/photos/a.317154781638645/5596043783749692/" TargetMode="External"/><Relationship Id="rId1829" Type="http://schemas.openxmlformats.org/officeDocument/2006/relationships/hyperlink" Target="https://www.facebook.com/profile.php?id=100027988665455" TargetMode="External"/><Relationship Id="rId4091" Type="http://schemas.openxmlformats.org/officeDocument/2006/relationships/hyperlink" Target="https://www.facebook.com/carmen.tabarnilla" TargetMode="External"/><Relationship Id="rId4090" Type="http://schemas.openxmlformats.org/officeDocument/2006/relationships/hyperlink" Target="https://www.facebook.com/rapplerdotcom/posts/pfbid0231hbcbuKeQLDkPH8oZAdZbuU8MPPgRANx152V3xWpbjZ6EvfpohwQMvxHYAgrGPul" TargetMode="External"/><Relationship Id="rId4093" Type="http://schemas.openxmlformats.org/officeDocument/2006/relationships/hyperlink" Target="https://www.facebook.com/liv.viloria18" TargetMode="External"/><Relationship Id="rId4092" Type="http://schemas.openxmlformats.org/officeDocument/2006/relationships/hyperlink" Target="https://www.facebook.com/rapplerdotcom/posts/pfbid0231hbcbuKeQLDkPH8oZAdZbuU8MPPgRANx152V3xWpbjZ6EvfpohwQMvxHYAgrGPul" TargetMode="External"/><Relationship Id="rId4095" Type="http://schemas.openxmlformats.org/officeDocument/2006/relationships/hyperlink" Target="https://www.facebook.com/jkeallano" TargetMode="External"/><Relationship Id="rId4094" Type="http://schemas.openxmlformats.org/officeDocument/2006/relationships/hyperlink" Target="https://www.facebook.com/rapplerdotcom/posts/pfbid0231hbcbuKeQLDkPH8oZAdZbuU8MPPgRANx152V3xWpbjZ6EvfpohwQMvxHYAgrGPul" TargetMode="External"/><Relationship Id="rId4097" Type="http://schemas.openxmlformats.org/officeDocument/2006/relationships/hyperlink" Target="https://www.facebook.com/gregorio.deo" TargetMode="External"/><Relationship Id="rId4096" Type="http://schemas.openxmlformats.org/officeDocument/2006/relationships/hyperlink" Target="https://www.facebook.com/rapplerdotcom/posts/pfbid0231hbcbuKeQLDkPH8oZAdZbuU8MPPgRANx152V3xWpbjZ6EvfpohwQMvxHYAgrGPul" TargetMode="External"/><Relationship Id="rId4099" Type="http://schemas.openxmlformats.org/officeDocument/2006/relationships/hyperlink" Target="https://www.facebook.com/kristine.r.nueva" TargetMode="External"/><Relationship Id="rId4098" Type="http://schemas.openxmlformats.org/officeDocument/2006/relationships/hyperlink" Target="https://www.facebook.com/rapplerdotcom/posts/pfbid0231hbcbuKeQLDkPH8oZAdZbuU8MPPgRANx152V3xWpbjZ6EvfpohwQMvxHYAgrGPul" TargetMode="External"/><Relationship Id="rId1895" Type="http://schemas.openxmlformats.org/officeDocument/2006/relationships/hyperlink" Target="https://www.facebook.com/regine.tamayo1" TargetMode="External"/><Relationship Id="rId1896" Type="http://schemas.openxmlformats.org/officeDocument/2006/relationships/hyperlink" Target="https://www.facebook.com/rapplerdotcom/photos/a.317154781638645/5596043783749692/" TargetMode="External"/><Relationship Id="rId1897" Type="http://schemas.openxmlformats.org/officeDocument/2006/relationships/hyperlink" Target="https://www.facebook.com/Aprilche888" TargetMode="External"/><Relationship Id="rId1898" Type="http://schemas.openxmlformats.org/officeDocument/2006/relationships/hyperlink" Target="https://www.facebook.com/rapplerdotcom/photos/a.317154781638645/5596043783749692/" TargetMode="External"/><Relationship Id="rId1899" Type="http://schemas.openxmlformats.org/officeDocument/2006/relationships/hyperlink" Target="https://www.facebook.com/kim.sioson" TargetMode="External"/><Relationship Id="rId1890" Type="http://schemas.openxmlformats.org/officeDocument/2006/relationships/hyperlink" Target="https://www.facebook.com/rapplerdotcom/photos/a.317154781638645/5596043783749692/" TargetMode="External"/><Relationship Id="rId1891" Type="http://schemas.openxmlformats.org/officeDocument/2006/relationships/hyperlink" Target="https://www.facebook.com/wasakgregg" TargetMode="External"/><Relationship Id="rId1892" Type="http://schemas.openxmlformats.org/officeDocument/2006/relationships/hyperlink" Target="https://www.facebook.com/rapplerdotcom/photos/a.317154781638645/5596043783749692/" TargetMode="External"/><Relationship Id="rId1893" Type="http://schemas.openxmlformats.org/officeDocument/2006/relationships/hyperlink" Target="https://www.facebook.com/fclcandari" TargetMode="External"/><Relationship Id="rId1894" Type="http://schemas.openxmlformats.org/officeDocument/2006/relationships/hyperlink" Target="https://www.facebook.com/rapplerdotcom/photos/a.317154781638645/5596043783749692/" TargetMode="External"/><Relationship Id="rId1884" Type="http://schemas.openxmlformats.org/officeDocument/2006/relationships/hyperlink" Target="https://www.facebook.com/rapplerdotcom/photos/a.317154781638645/5596043783749692/" TargetMode="External"/><Relationship Id="rId1885" Type="http://schemas.openxmlformats.org/officeDocument/2006/relationships/hyperlink" Target="https://www.facebook.com/robertoainzaolayon" TargetMode="External"/><Relationship Id="rId1886" Type="http://schemas.openxmlformats.org/officeDocument/2006/relationships/hyperlink" Target="https://www.facebook.com/rapplerdotcom/photos/a.317154781638645/5596043783749692/" TargetMode="External"/><Relationship Id="rId1887" Type="http://schemas.openxmlformats.org/officeDocument/2006/relationships/hyperlink" Target="https://www.facebook.com/yspuj" TargetMode="External"/><Relationship Id="rId1888" Type="http://schemas.openxmlformats.org/officeDocument/2006/relationships/hyperlink" Target="https://www.facebook.com/rapplerdotcom/photos/a.317154781638645/5596043783749692/" TargetMode="External"/><Relationship Id="rId1889" Type="http://schemas.openxmlformats.org/officeDocument/2006/relationships/hyperlink" Target="https://www.facebook.com/tapic.pagsuguiron" TargetMode="External"/><Relationship Id="rId1880" Type="http://schemas.openxmlformats.org/officeDocument/2006/relationships/hyperlink" Target="https://www.facebook.com/rapplerdotcom/photos/a.317154781638645/5596043783749692/" TargetMode="External"/><Relationship Id="rId1881" Type="http://schemas.openxmlformats.org/officeDocument/2006/relationships/hyperlink" Target="https://www.facebook.com/donato.antonio.75" TargetMode="External"/><Relationship Id="rId1882" Type="http://schemas.openxmlformats.org/officeDocument/2006/relationships/hyperlink" Target="https://www.facebook.com/rapplerdotcom/photos/a.317154781638645/5596043783749692/" TargetMode="External"/><Relationship Id="rId1883" Type="http://schemas.openxmlformats.org/officeDocument/2006/relationships/hyperlink" Target="https://www.facebook.com/donato.antonio.75" TargetMode="External"/><Relationship Id="rId5417" Type="http://schemas.openxmlformats.org/officeDocument/2006/relationships/hyperlink" Target="https://www.facebook.com/watch/live/?ref=watch_permalink&amp;v=312865720941798" TargetMode="External"/><Relationship Id="rId5418" Type="http://schemas.openxmlformats.org/officeDocument/2006/relationships/hyperlink" Target="https://www.facebook.com/karen.enriquez.144181" TargetMode="External"/><Relationship Id="rId5415" Type="http://schemas.openxmlformats.org/officeDocument/2006/relationships/hyperlink" Target="https://www.facebook.com/watch/live/?ref=watch_permalink&amp;v=312865720941798" TargetMode="External"/><Relationship Id="rId5416" Type="http://schemas.openxmlformats.org/officeDocument/2006/relationships/hyperlink" Target="https://www.facebook.com/marinaalejandre.enriquez" TargetMode="External"/><Relationship Id="rId5419" Type="http://schemas.openxmlformats.org/officeDocument/2006/relationships/hyperlink" Target="https://www.facebook.com/watch/live/?ref=watch_permalink&amp;v=312865720941798" TargetMode="External"/><Relationship Id="rId228" Type="http://schemas.openxmlformats.org/officeDocument/2006/relationships/hyperlink" Target="https://www.facebook.com/alvinjoseph.supan" TargetMode="External"/><Relationship Id="rId227" Type="http://schemas.openxmlformats.org/officeDocument/2006/relationships/hyperlink" Target="https://www.facebook.com/watch/live/?ref=watch_permalink&amp;v=386705962975078" TargetMode="External"/><Relationship Id="rId226" Type="http://schemas.openxmlformats.org/officeDocument/2006/relationships/hyperlink" Target="https://www.facebook.com/rapplerdotcom/posts/pfbid0DUh4iFcrxZuR1UbiGhcAHcMdzsaV29GSeHCY1HabtqcnUWkjStX9TDaVqzzt92GDl" TargetMode="External"/><Relationship Id="rId225" Type="http://schemas.openxmlformats.org/officeDocument/2006/relationships/hyperlink" Target="https://www.facebook.com/joeygarcia25" TargetMode="External"/><Relationship Id="rId229" Type="http://schemas.openxmlformats.org/officeDocument/2006/relationships/hyperlink" Target="https://www.facebook.com/rapplerdotcom/photos/a.317154781638645/5598220220198715/" TargetMode="External"/><Relationship Id="rId220" Type="http://schemas.openxmlformats.org/officeDocument/2006/relationships/hyperlink" Target="https://www.facebook.com/rapplerdotcom/posts/pfbid0DUh4iFcrxZuR1UbiGhcAHcMdzsaV29GSeHCY1HabtqcnUWkjStX9TDaVqzzt92GDl" TargetMode="External"/><Relationship Id="rId5410" Type="http://schemas.openxmlformats.org/officeDocument/2006/relationships/hyperlink" Target="https://www.facebook.com/profile.php?id=100079668216766" TargetMode="External"/><Relationship Id="rId224" Type="http://schemas.openxmlformats.org/officeDocument/2006/relationships/hyperlink" Target="https://www.facebook.com/rapplerdotcom/posts/pfbid0DUh4iFcrxZuR1UbiGhcAHcMdzsaV29GSeHCY1HabtqcnUWkjStX9TDaVqzzt92GDl" TargetMode="External"/><Relationship Id="rId5413" Type="http://schemas.openxmlformats.org/officeDocument/2006/relationships/hyperlink" Target="https://www.facebook.com/watch/live/?ref=watch_permalink&amp;v=312865720941798" TargetMode="External"/><Relationship Id="rId223" Type="http://schemas.openxmlformats.org/officeDocument/2006/relationships/hyperlink" Target="https://www.facebook.com/profile.php?id=100075590935527" TargetMode="External"/><Relationship Id="rId5414" Type="http://schemas.openxmlformats.org/officeDocument/2006/relationships/hyperlink" Target="https://www.facebook.com/profile.php?id=100069901764842" TargetMode="External"/><Relationship Id="rId222" Type="http://schemas.openxmlformats.org/officeDocument/2006/relationships/hyperlink" Target="https://www.facebook.com/rapplerdotcom/posts/pfbid0DUh4iFcrxZuR1UbiGhcAHcMdzsaV29GSeHCY1HabtqcnUWkjStX9TDaVqzzt92GDl" TargetMode="External"/><Relationship Id="rId5411" Type="http://schemas.openxmlformats.org/officeDocument/2006/relationships/hyperlink" Target="https://www.facebook.com/watch/live/?ref=watch_permalink&amp;v=312865720941798" TargetMode="External"/><Relationship Id="rId221" Type="http://schemas.openxmlformats.org/officeDocument/2006/relationships/hyperlink" Target="https://www.facebook.com/mercy.gulayda" TargetMode="External"/><Relationship Id="rId5412" Type="http://schemas.openxmlformats.org/officeDocument/2006/relationships/hyperlink" Target="https://www.facebook.com/rhexiesolita" TargetMode="External"/><Relationship Id="rId5406" Type="http://schemas.openxmlformats.org/officeDocument/2006/relationships/hyperlink" Target="https://www.facebook.com/profile.php?id=100007850237098" TargetMode="External"/><Relationship Id="rId5407" Type="http://schemas.openxmlformats.org/officeDocument/2006/relationships/hyperlink" Target="https://www.facebook.com/watch/live/?ref=watch_permalink&amp;v=312865720941798" TargetMode="External"/><Relationship Id="rId5404" Type="http://schemas.openxmlformats.org/officeDocument/2006/relationships/hyperlink" Target="https://www.facebook.com/salvie.maris.5" TargetMode="External"/><Relationship Id="rId5405" Type="http://schemas.openxmlformats.org/officeDocument/2006/relationships/hyperlink" Target="https://www.facebook.com/watch/live/?ref=watch_permalink&amp;v=312865720941798" TargetMode="External"/><Relationship Id="rId5408" Type="http://schemas.openxmlformats.org/officeDocument/2006/relationships/hyperlink" Target="https://www.facebook.com/emskie.parreno" TargetMode="External"/><Relationship Id="rId5409" Type="http://schemas.openxmlformats.org/officeDocument/2006/relationships/hyperlink" Target="https://www.facebook.com/watch/live/?ref=watch_permalink&amp;v=312865720941798" TargetMode="External"/><Relationship Id="rId217" Type="http://schemas.openxmlformats.org/officeDocument/2006/relationships/hyperlink" Target="https://www.facebook.com/profile.php?id=100075539882920" TargetMode="External"/><Relationship Id="rId216" Type="http://schemas.openxmlformats.org/officeDocument/2006/relationships/hyperlink" Target="https://www.facebook.com/rapplerdotcom/posts/pfbid0DUh4iFcrxZuR1UbiGhcAHcMdzsaV29GSeHCY1HabtqcnUWkjStX9TDaVqzzt92GDl" TargetMode="External"/><Relationship Id="rId215" Type="http://schemas.openxmlformats.org/officeDocument/2006/relationships/hyperlink" Target="https://www.facebook.com/pauljeric.queipo.1" TargetMode="External"/><Relationship Id="rId214" Type="http://schemas.openxmlformats.org/officeDocument/2006/relationships/hyperlink" Target="https://www.facebook.com/rapplerdotcom/posts/pfbid0DUh4iFcrxZuR1UbiGhcAHcMdzsaV29GSeHCY1HabtqcnUWkjStX9TDaVqzzt92GDl" TargetMode="External"/><Relationship Id="rId219" Type="http://schemas.openxmlformats.org/officeDocument/2006/relationships/hyperlink" Target="https://www.facebook.com/ey.oliveros" TargetMode="External"/><Relationship Id="rId218" Type="http://schemas.openxmlformats.org/officeDocument/2006/relationships/hyperlink" Target="https://www.facebook.com/rapplerdotcom/posts/pfbid0DUh4iFcrxZuR1UbiGhcAHcMdzsaV29GSeHCY1HabtqcnUWkjStX9TDaVqzzt92GDl" TargetMode="External"/><Relationship Id="rId213" Type="http://schemas.openxmlformats.org/officeDocument/2006/relationships/hyperlink" Target="https://www.facebook.com/randy.basco.3" TargetMode="External"/><Relationship Id="rId5402" Type="http://schemas.openxmlformats.org/officeDocument/2006/relationships/hyperlink" Target="https://www.facebook.com/pepe.jacinto" TargetMode="External"/><Relationship Id="rId212" Type="http://schemas.openxmlformats.org/officeDocument/2006/relationships/hyperlink" Target="https://www.facebook.com/rapplerdotcom/posts/pfbid0DUh4iFcrxZuR1UbiGhcAHcMdzsaV29GSeHCY1HabtqcnUWkjStX9TDaVqzzt92GDl" TargetMode="External"/><Relationship Id="rId5403" Type="http://schemas.openxmlformats.org/officeDocument/2006/relationships/hyperlink" Target="https://www.facebook.com/watch/live/?ref=watch_permalink&amp;v=312865720941798" TargetMode="External"/><Relationship Id="rId211" Type="http://schemas.openxmlformats.org/officeDocument/2006/relationships/hyperlink" Target="https://www.facebook.com/pauljeric.queipo.1" TargetMode="External"/><Relationship Id="rId5400" Type="http://schemas.openxmlformats.org/officeDocument/2006/relationships/hyperlink" Target="https://www.facebook.com/lanimasangkay" TargetMode="External"/><Relationship Id="rId210" Type="http://schemas.openxmlformats.org/officeDocument/2006/relationships/hyperlink" Target="https://www.facebook.com/rapplerdotcom/posts/pfbid0DUh4iFcrxZuR1UbiGhcAHcMdzsaV29GSeHCY1HabtqcnUWkjStX9TDaVqzzt92GDl" TargetMode="External"/><Relationship Id="rId5401" Type="http://schemas.openxmlformats.org/officeDocument/2006/relationships/hyperlink" Target="https://www.facebook.com/watch/live/?ref=watch_permalink&amp;v=312865720941798" TargetMode="External"/><Relationship Id="rId4107" Type="http://schemas.openxmlformats.org/officeDocument/2006/relationships/hyperlink" Target="https://www.facebook.com/depazngt" TargetMode="External"/><Relationship Id="rId5439" Type="http://schemas.openxmlformats.org/officeDocument/2006/relationships/hyperlink" Target="https://www.facebook.com/watch/live/?ref=watch_permalink&amp;v=312865720941798" TargetMode="External"/><Relationship Id="rId4106" Type="http://schemas.openxmlformats.org/officeDocument/2006/relationships/hyperlink" Target="https://www.facebook.com/rapplerdotcom/posts/pfbid0231hbcbuKeQLDkPH8oZAdZbuU8MPPgRANx152V3xWpbjZ6EvfpohwQMvxHYAgrGPul" TargetMode="External"/><Relationship Id="rId4109" Type="http://schemas.openxmlformats.org/officeDocument/2006/relationships/hyperlink" Target="https://www.facebook.com/profile.php?id=100079181871183" TargetMode="External"/><Relationship Id="rId5437" Type="http://schemas.openxmlformats.org/officeDocument/2006/relationships/hyperlink" Target="https://www.facebook.com/watch/live/?ref=watch_permalink&amp;v=312865720941798" TargetMode="External"/><Relationship Id="rId4108" Type="http://schemas.openxmlformats.org/officeDocument/2006/relationships/hyperlink" Target="https://www.facebook.com/rapplerdotcom/photos/a.317154781638645/5594954703858600/" TargetMode="External"/><Relationship Id="rId5438" Type="http://schemas.openxmlformats.org/officeDocument/2006/relationships/hyperlink" Target="https://www.facebook.com/arnel.atienza.984" TargetMode="External"/><Relationship Id="rId249" Type="http://schemas.openxmlformats.org/officeDocument/2006/relationships/hyperlink" Target="https://www.facebook.com/rapplerdotcom/photos/a.317154781638645/5598220220198715/" TargetMode="External"/><Relationship Id="rId248" Type="http://schemas.openxmlformats.org/officeDocument/2006/relationships/hyperlink" Target="https://www.facebook.com/jeje.cruz.1690" TargetMode="External"/><Relationship Id="rId247" Type="http://schemas.openxmlformats.org/officeDocument/2006/relationships/hyperlink" Target="https://www.facebook.com/rapplerdotcom/photos/a.317154781638645/5598220220198715/" TargetMode="External"/><Relationship Id="rId242" Type="http://schemas.openxmlformats.org/officeDocument/2006/relationships/hyperlink" Target="https://www.facebook.com/profile.php?id=100078716168416" TargetMode="External"/><Relationship Id="rId5431" Type="http://schemas.openxmlformats.org/officeDocument/2006/relationships/hyperlink" Target="https://www.facebook.com/watch/live/?ref=watch_permalink&amp;v=312865720941798" TargetMode="External"/><Relationship Id="rId241" Type="http://schemas.openxmlformats.org/officeDocument/2006/relationships/hyperlink" Target="https://www.facebook.com/rapplerdotcom/photos/a.317154781638645/5598220220198715/" TargetMode="External"/><Relationship Id="rId5432" Type="http://schemas.openxmlformats.org/officeDocument/2006/relationships/hyperlink" Target="https://www.facebook.com/angelcried" TargetMode="External"/><Relationship Id="rId240" Type="http://schemas.openxmlformats.org/officeDocument/2006/relationships/hyperlink" Target="https://www.facebook.com/profile.php?id=100070634495786" TargetMode="External"/><Relationship Id="rId4101" Type="http://schemas.openxmlformats.org/officeDocument/2006/relationships/hyperlink" Target="https://www.facebook.com/norieann.ramos" TargetMode="External"/><Relationship Id="rId4100" Type="http://schemas.openxmlformats.org/officeDocument/2006/relationships/hyperlink" Target="https://www.facebook.com/rapplerdotcom/posts/pfbid0231hbcbuKeQLDkPH8oZAdZbuU8MPPgRANx152V3xWpbjZ6EvfpohwQMvxHYAgrGPul" TargetMode="External"/><Relationship Id="rId5430" Type="http://schemas.openxmlformats.org/officeDocument/2006/relationships/hyperlink" Target="https://www.facebook.com/profile.php?id=100069901764842" TargetMode="External"/><Relationship Id="rId246" Type="http://schemas.openxmlformats.org/officeDocument/2006/relationships/hyperlink" Target="https://www.facebook.com/profile.php?id=100077223813002" TargetMode="External"/><Relationship Id="rId4103" Type="http://schemas.openxmlformats.org/officeDocument/2006/relationships/hyperlink" Target="https://www.facebook.com/jheys.lupet" TargetMode="External"/><Relationship Id="rId5435" Type="http://schemas.openxmlformats.org/officeDocument/2006/relationships/hyperlink" Target="https://www.facebook.com/watch/live/?ref=watch_permalink&amp;v=312865720941798" TargetMode="External"/><Relationship Id="rId245" Type="http://schemas.openxmlformats.org/officeDocument/2006/relationships/hyperlink" Target="https://www.facebook.com/rapplerdotcom/photos/a.317154781638645/5598220220198715/" TargetMode="External"/><Relationship Id="rId4102" Type="http://schemas.openxmlformats.org/officeDocument/2006/relationships/hyperlink" Target="https://www.facebook.com/rapplerdotcom/posts/pfbid0231hbcbuKeQLDkPH8oZAdZbuU8MPPgRANx152V3xWpbjZ6EvfpohwQMvxHYAgrGPul" TargetMode="External"/><Relationship Id="rId5436" Type="http://schemas.openxmlformats.org/officeDocument/2006/relationships/hyperlink" Target="https://www.facebook.com/jasper.aravi" TargetMode="External"/><Relationship Id="rId244" Type="http://schemas.openxmlformats.org/officeDocument/2006/relationships/hyperlink" Target="https://www.facebook.com/profile.php?id=100078627702377" TargetMode="External"/><Relationship Id="rId4105" Type="http://schemas.openxmlformats.org/officeDocument/2006/relationships/hyperlink" Target="https://www.facebook.com/kram.nia.5" TargetMode="External"/><Relationship Id="rId5433" Type="http://schemas.openxmlformats.org/officeDocument/2006/relationships/hyperlink" Target="https://www.facebook.com/watch/live/?ref=watch_permalink&amp;v=312865720941798" TargetMode="External"/><Relationship Id="rId243" Type="http://schemas.openxmlformats.org/officeDocument/2006/relationships/hyperlink" Target="https://www.facebook.com/rapplerdotcom/photos/a.317154781638645/5598220220198715/" TargetMode="External"/><Relationship Id="rId4104" Type="http://schemas.openxmlformats.org/officeDocument/2006/relationships/hyperlink" Target="https://www.facebook.com/rapplerdotcom/posts/pfbid0231hbcbuKeQLDkPH8oZAdZbuU8MPPgRANx152V3xWpbjZ6EvfpohwQMvxHYAgrGPul" TargetMode="External"/><Relationship Id="rId5434" Type="http://schemas.openxmlformats.org/officeDocument/2006/relationships/hyperlink" Target="https://www.facebook.com/catalina.biticon.12" TargetMode="External"/><Relationship Id="rId5428" Type="http://schemas.openxmlformats.org/officeDocument/2006/relationships/hyperlink" Target="https://www.facebook.com/profile.php?id=100069901764842" TargetMode="External"/><Relationship Id="rId5429" Type="http://schemas.openxmlformats.org/officeDocument/2006/relationships/hyperlink" Target="https://www.facebook.com/watch/live/?ref=watch_permalink&amp;v=312865720941798" TargetMode="External"/><Relationship Id="rId5426" Type="http://schemas.openxmlformats.org/officeDocument/2006/relationships/hyperlink" Target="https://www.facebook.com/rosemarie.anzures" TargetMode="External"/><Relationship Id="rId5427" Type="http://schemas.openxmlformats.org/officeDocument/2006/relationships/hyperlink" Target="https://www.facebook.com/watch/live/?ref=watch_permalink&amp;v=312865720941798" TargetMode="External"/><Relationship Id="rId239" Type="http://schemas.openxmlformats.org/officeDocument/2006/relationships/hyperlink" Target="https://www.facebook.com/rapplerdotcom/photos/a.317154781638645/5598220220198715/" TargetMode="External"/><Relationship Id="rId238" Type="http://schemas.openxmlformats.org/officeDocument/2006/relationships/hyperlink" Target="https://www.facebook.com/terrence.co" TargetMode="External"/><Relationship Id="rId237" Type="http://schemas.openxmlformats.org/officeDocument/2006/relationships/hyperlink" Target="https://www.facebook.com/rapplerdotcom/photos/a.317154781638645/5598220220198715/" TargetMode="External"/><Relationship Id="rId236" Type="http://schemas.openxmlformats.org/officeDocument/2006/relationships/hyperlink" Target="https://www.facebook.com/profile.php?id=100078461366052" TargetMode="External"/><Relationship Id="rId231" Type="http://schemas.openxmlformats.org/officeDocument/2006/relationships/hyperlink" Target="https://www.facebook.com/rapplerdotcom/photos/a.317154781638645/5598220220198715/" TargetMode="External"/><Relationship Id="rId5420" Type="http://schemas.openxmlformats.org/officeDocument/2006/relationships/hyperlink" Target="https://www.facebook.com/jones.davis.1884" TargetMode="External"/><Relationship Id="rId230" Type="http://schemas.openxmlformats.org/officeDocument/2006/relationships/hyperlink" Target="https://www.facebook.com/profile.php?id=100078329061859" TargetMode="External"/><Relationship Id="rId5421" Type="http://schemas.openxmlformats.org/officeDocument/2006/relationships/hyperlink" Target="https://www.facebook.com/watch/live/?ref=watch_permalink&amp;v=312865720941798" TargetMode="External"/><Relationship Id="rId235" Type="http://schemas.openxmlformats.org/officeDocument/2006/relationships/hyperlink" Target="https://www.facebook.com/rapplerdotcom/photos/a.317154781638645/5598220220198715/" TargetMode="External"/><Relationship Id="rId5424" Type="http://schemas.openxmlformats.org/officeDocument/2006/relationships/hyperlink" Target="https://www.facebook.com/darryl.francisco123166" TargetMode="External"/><Relationship Id="rId234" Type="http://schemas.openxmlformats.org/officeDocument/2006/relationships/hyperlink" Target="https://www.facebook.com/ana.abadsantos" TargetMode="External"/><Relationship Id="rId5425" Type="http://schemas.openxmlformats.org/officeDocument/2006/relationships/hyperlink" Target="https://www.facebook.com/watch/live/?ref=watch_permalink&amp;v=312865720941798" TargetMode="External"/><Relationship Id="rId233" Type="http://schemas.openxmlformats.org/officeDocument/2006/relationships/hyperlink" Target="https://www.facebook.com/rapplerdotcom/photos/a.317154781638645/5598220220198715/" TargetMode="External"/><Relationship Id="rId5422" Type="http://schemas.openxmlformats.org/officeDocument/2006/relationships/hyperlink" Target="https://www.facebook.com/TachieBillano" TargetMode="External"/><Relationship Id="rId232" Type="http://schemas.openxmlformats.org/officeDocument/2006/relationships/hyperlink" Target="https://www.facebook.com/cehfabre" TargetMode="External"/><Relationship Id="rId5423" Type="http://schemas.openxmlformats.org/officeDocument/2006/relationships/hyperlink" Target="https://www.facebook.com/watch/live/?ref=watch_permalink&amp;v=312865720941798" TargetMode="External"/><Relationship Id="rId206" Type="http://schemas.openxmlformats.org/officeDocument/2006/relationships/hyperlink" Target="https://www.facebook.com/rapplerdotcom/posts/pfbid0DUh4iFcrxZuR1UbiGhcAHcMdzsaV29GSeHCY1HabtqcnUWkjStX9TDaVqzzt92GDl" TargetMode="External"/><Relationship Id="rId205" Type="http://schemas.openxmlformats.org/officeDocument/2006/relationships/hyperlink" Target="https://www.facebook.com/jane.hejos" TargetMode="External"/><Relationship Id="rId204" Type="http://schemas.openxmlformats.org/officeDocument/2006/relationships/hyperlink" Target="https://www.facebook.com/rapplerdotcom/posts/pfbid0DUh4iFcrxZuR1UbiGhcAHcMdzsaV29GSeHCY1HabtqcnUWkjStX9TDaVqzzt92GDl" TargetMode="External"/><Relationship Id="rId203" Type="http://schemas.openxmlformats.org/officeDocument/2006/relationships/hyperlink" Target="https://www.facebook.com/jeff.gallo.1213" TargetMode="External"/><Relationship Id="rId209" Type="http://schemas.openxmlformats.org/officeDocument/2006/relationships/hyperlink" Target="https://www.facebook.com/caren.ortiz.3" TargetMode="External"/><Relationship Id="rId208" Type="http://schemas.openxmlformats.org/officeDocument/2006/relationships/hyperlink" Target="https://www.facebook.com/rapplerdotcom/posts/pfbid0DUh4iFcrxZuR1UbiGhcAHcMdzsaV29GSeHCY1HabtqcnUWkjStX9TDaVqzzt92GDl" TargetMode="External"/><Relationship Id="rId207" Type="http://schemas.openxmlformats.org/officeDocument/2006/relationships/hyperlink" Target="https://www.facebook.com/ismael.manikan" TargetMode="External"/><Relationship Id="rId202" Type="http://schemas.openxmlformats.org/officeDocument/2006/relationships/hyperlink" Target="https://www.facebook.com/rapplerdotcom/posts/pfbid0DUh4iFcrxZuR1UbiGhcAHcMdzsaV29GSeHCY1HabtqcnUWkjStX9TDaVqzzt92GDl" TargetMode="External"/><Relationship Id="rId201" Type="http://schemas.openxmlformats.org/officeDocument/2006/relationships/hyperlink" Target="https://www.facebook.com/carlosjr.carreon" TargetMode="External"/><Relationship Id="rId200" Type="http://schemas.openxmlformats.org/officeDocument/2006/relationships/hyperlink" Target="https://www.facebook.com/rapplerdotcom/posts/pfbid0DUh4iFcrxZuR1UbiGhcAHcMdzsaV29GSeHCY1HabtqcnUWkjStX9TDaVqzzt92GDl" TargetMode="External"/><Relationship Id="rId5490" Type="http://schemas.openxmlformats.org/officeDocument/2006/relationships/hyperlink" Target="https://www.facebook.com/beverly.beverly.7161953" TargetMode="External"/><Relationship Id="rId4161" Type="http://schemas.openxmlformats.org/officeDocument/2006/relationships/hyperlink" Target="https://www.facebook.com/johnny.collantes.37" TargetMode="External"/><Relationship Id="rId5493" Type="http://schemas.openxmlformats.org/officeDocument/2006/relationships/hyperlink" Target="https://www.facebook.com/watch/live/?ref=watch_permalink&amp;v=312865720941798" TargetMode="External"/><Relationship Id="rId4160" Type="http://schemas.openxmlformats.org/officeDocument/2006/relationships/hyperlink" Target="https://www.facebook.com/rapplerdotcom/photos/a.317154781638645/5594954703858600/" TargetMode="External"/><Relationship Id="rId5494" Type="http://schemas.openxmlformats.org/officeDocument/2006/relationships/hyperlink" Target="https://www.facebook.com/soliviocheryl" TargetMode="External"/><Relationship Id="rId4163" Type="http://schemas.openxmlformats.org/officeDocument/2006/relationships/hyperlink" Target="https://www.facebook.com/jude.romero.14" TargetMode="External"/><Relationship Id="rId5491" Type="http://schemas.openxmlformats.org/officeDocument/2006/relationships/hyperlink" Target="https://www.facebook.com/watch/live/?ref=watch_permalink&amp;v=312865720941798" TargetMode="External"/><Relationship Id="rId4162" Type="http://schemas.openxmlformats.org/officeDocument/2006/relationships/hyperlink" Target="https://www.facebook.com/rapplerdotcom/photos/a.317154781638645/5594954703858600/" TargetMode="External"/><Relationship Id="rId5492" Type="http://schemas.openxmlformats.org/officeDocument/2006/relationships/hyperlink" Target="https://www.facebook.com/phils.alapag" TargetMode="External"/><Relationship Id="rId4165" Type="http://schemas.openxmlformats.org/officeDocument/2006/relationships/hyperlink" Target="https://www.facebook.com/amaya.sabado" TargetMode="External"/><Relationship Id="rId5497" Type="http://schemas.openxmlformats.org/officeDocument/2006/relationships/hyperlink" Target="https://www.facebook.com/watch/live/?ref=watch_permalink&amp;v=312865720941798" TargetMode="External"/><Relationship Id="rId4164" Type="http://schemas.openxmlformats.org/officeDocument/2006/relationships/hyperlink" Target="https://www.facebook.com/rapplerdotcom/photos/a.317154781638645/5594954703858600/" TargetMode="External"/><Relationship Id="rId5498" Type="http://schemas.openxmlformats.org/officeDocument/2006/relationships/hyperlink" Target="https://www.facebook.com/ed.balot" TargetMode="External"/><Relationship Id="rId4167" Type="http://schemas.openxmlformats.org/officeDocument/2006/relationships/hyperlink" Target="https://www.facebook.com/aldo.lavingu" TargetMode="External"/><Relationship Id="rId5495" Type="http://schemas.openxmlformats.org/officeDocument/2006/relationships/hyperlink" Target="https://www.facebook.com/watch/live/?ref=watch_permalink&amp;v=312865720941798" TargetMode="External"/><Relationship Id="rId4166" Type="http://schemas.openxmlformats.org/officeDocument/2006/relationships/hyperlink" Target="https://www.facebook.com/rapplerdotcom/photos/a.317154781638645/5594954703858600/" TargetMode="External"/><Relationship Id="rId5496" Type="http://schemas.openxmlformats.org/officeDocument/2006/relationships/hyperlink" Target="https://www.facebook.com/carlos.marquez.5243" TargetMode="External"/><Relationship Id="rId4169" Type="http://schemas.openxmlformats.org/officeDocument/2006/relationships/hyperlink" Target="https://www.facebook.com/mcclain.lumiares" TargetMode="External"/><Relationship Id="rId4168" Type="http://schemas.openxmlformats.org/officeDocument/2006/relationships/hyperlink" Target="https://www.facebook.com/rapplerdotcom/photos/a.317154781638645/5594954703858600/" TargetMode="External"/><Relationship Id="rId5499" Type="http://schemas.openxmlformats.org/officeDocument/2006/relationships/hyperlink" Target="https://www.facebook.com/rapplerdotcom/photos/a.317154781638645/5594453700575367/" TargetMode="External"/><Relationship Id="rId4150" Type="http://schemas.openxmlformats.org/officeDocument/2006/relationships/hyperlink" Target="https://www.facebook.com/rapplerdotcom/photos/a.317154781638645/5594954703858600/" TargetMode="External"/><Relationship Id="rId5482" Type="http://schemas.openxmlformats.org/officeDocument/2006/relationships/hyperlink" Target="https://www.facebook.com/arthur.purugganan" TargetMode="External"/><Relationship Id="rId5483" Type="http://schemas.openxmlformats.org/officeDocument/2006/relationships/hyperlink" Target="https://www.facebook.com/watch/live/?ref=watch_permalink&amp;v=312865720941798" TargetMode="External"/><Relationship Id="rId4152" Type="http://schemas.openxmlformats.org/officeDocument/2006/relationships/hyperlink" Target="https://www.facebook.com/rapplerdotcom/photos/a.317154781638645/5594954703858600/" TargetMode="External"/><Relationship Id="rId5480" Type="http://schemas.openxmlformats.org/officeDocument/2006/relationships/hyperlink" Target="https://www.facebook.com/micoleizon" TargetMode="External"/><Relationship Id="rId4151" Type="http://schemas.openxmlformats.org/officeDocument/2006/relationships/hyperlink" Target="https://www.facebook.com/augustus.diaz.77" TargetMode="External"/><Relationship Id="rId5481" Type="http://schemas.openxmlformats.org/officeDocument/2006/relationships/hyperlink" Target="https://www.facebook.com/watch/live/?ref=watch_permalink&amp;v=312865720941798" TargetMode="External"/><Relationship Id="rId4154" Type="http://schemas.openxmlformats.org/officeDocument/2006/relationships/hyperlink" Target="https://www.facebook.com/rapplerdotcom/photos/a.317154781638645/5594954703858600/" TargetMode="External"/><Relationship Id="rId5486" Type="http://schemas.openxmlformats.org/officeDocument/2006/relationships/hyperlink" Target="https://www.facebook.com/arthur.purugganan" TargetMode="External"/><Relationship Id="rId4153" Type="http://schemas.openxmlformats.org/officeDocument/2006/relationships/hyperlink" Target="https://www.facebook.com/awin.calderon" TargetMode="External"/><Relationship Id="rId5487" Type="http://schemas.openxmlformats.org/officeDocument/2006/relationships/hyperlink" Target="https://www.facebook.com/watch/live/?ref=watch_permalink&amp;v=312865720941798" TargetMode="External"/><Relationship Id="rId4156" Type="http://schemas.openxmlformats.org/officeDocument/2006/relationships/hyperlink" Target="https://www.facebook.com/rapplerdotcom/photos/a.317154781638645/5594954703858600/" TargetMode="External"/><Relationship Id="rId5484" Type="http://schemas.openxmlformats.org/officeDocument/2006/relationships/hyperlink" Target="https://www.facebook.com/arthur.purugganan" TargetMode="External"/><Relationship Id="rId4155" Type="http://schemas.openxmlformats.org/officeDocument/2006/relationships/hyperlink" Target="https://www.facebook.com/merlaflores.bendicion" TargetMode="External"/><Relationship Id="rId5485" Type="http://schemas.openxmlformats.org/officeDocument/2006/relationships/hyperlink" Target="https://www.facebook.com/watch/live/?ref=watch_permalink&amp;v=312865720941798" TargetMode="External"/><Relationship Id="rId4158" Type="http://schemas.openxmlformats.org/officeDocument/2006/relationships/hyperlink" Target="https://www.facebook.com/rapplerdotcom/photos/a.317154781638645/5594954703858600/" TargetMode="External"/><Relationship Id="rId4157" Type="http://schemas.openxmlformats.org/officeDocument/2006/relationships/hyperlink" Target="https://www.facebook.com/ronald.andallo.52" TargetMode="External"/><Relationship Id="rId5488" Type="http://schemas.openxmlformats.org/officeDocument/2006/relationships/hyperlink" Target="https://www.facebook.com/arthur.purugganan" TargetMode="External"/><Relationship Id="rId4159" Type="http://schemas.openxmlformats.org/officeDocument/2006/relationships/hyperlink" Target="https://www.facebook.com/pau.gaitan.33" TargetMode="External"/><Relationship Id="rId5489" Type="http://schemas.openxmlformats.org/officeDocument/2006/relationships/hyperlink" Target="https://www.facebook.com/watch/live/?ref=watch_permalink&amp;v=312865720941798" TargetMode="External"/><Relationship Id="rId1910" Type="http://schemas.openxmlformats.org/officeDocument/2006/relationships/hyperlink" Target="https://www.facebook.com/rapplerdotcom/photos/a.317154781638645/5596043783749692/" TargetMode="External"/><Relationship Id="rId1911" Type="http://schemas.openxmlformats.org/officeDocument/2006/relationships/hyperlink" Target="https://www.facebook.com/maripaz.mira" TargetMode="External"/><Relationship Id="rId1912" Type="http://schemas.openxmlformats.org/officeDocument/2006/relationships/hyperlink" Target="https://www.facebook.com/rapplerdotcom/photos/a.317154781638645/5596043783749692/" TargetMode="External"/><Relationship Id="rId1913" Type="http://schemas.openxmlformats.org/officeDocument/2006/relationships/hyperlink" Target="https://www.facebook.com/kim.sioson" TargetMode="External"/><Relationship Id="rId1914" Type="http://schemas.openxmlformats.org/officeDocument/2006/relationships/hyperlink" Target="https://www.facebook.com/rapplerdotcom/photos/a.317154781638645/5596043783749692/" TargetMode="External"/><Relationship Id="rId1915" Type="http://schemas.openxmlformats.org/officeDocument/2006/relationships/hyperlink" Target="https://www.facebook.com/nelia.villanueva.39" TargetMode="External"/><Relationship Id="rId1916" Type="http://schemas.openxmlformats.org/officeDocument/2006/relationships/hyperlink" Target="https://www.facebook.com/rapplerdotcom/photos/a.317154781638645/5596043783749692/" TargetMode="External"/><Relationship Id="rId1917" Type="http://schemas.openxmlformats.org/officeDocument/2006/relationships/hyperlink" Target="https://www.facebook.com/kim.sioson" TargetMode="External"/><Relationship Id="rId1918" Type="http://schemas.openxmlformats.org/officeDocument/2006/relationships/hyperlink" Target="https://www.facebook.com/rapplerdotcom/photos/a.317154781638645/5596043783749692/" TargetMode="External"/><Relationship Id="rId1919" Type="http://schemas.openxmlformats.org/officeDocument/2006/relationships/hyperlink" Target="https://www.facebook.com/kim.sioson" TargetMode="External"/><Relationship Id="rId4181" Type="http://schemas.openxmlformats.org/officeDocument/2006/relationships/hyperlink" Target="https://www.facebook.com/mario.guevarra.56" TargetMode="External"/><Relationship Id="rId4180" Type="http://schemas.openxmlformats.org/officeDocument/2006/relationships/hyperlink" Target="https://www.facebook.com/rapplerdotcom/photos/a.317154781638645/5594954703858600/" TargetMode="External"/><Relationship Id="rId4183" Type="http://schemas.openxmlformats.org/officeDocument/2006/relationships/hyperlink" Target="https://www.facebook.com/kuyah.tan" TargetMode="External"/><Relationship Id="rId4182" Type="http://schemas.openxmlformats.org/officeDocument/2006/relationships/hyperlink" Target="https://www.facebook.com/rapplerdotcom/photos/a.317154781638645/5594954703858600/" TargetMode="External"/><Relationship Id="rId4185" Type="http://schemas.openxmlformats.org/officeDocument/2006/relationships/hyperlink" Target="https://www.facebook.com/janet.estal" TargetMode="External"/><Relationship Id="rId4184" Type="http://schemas.openxmlformats.org/officeDocument/2006/relationships/hyperlink" Target="https://www.facebook.com/rapplerdotcom/photos/a.317154781638645/5594954703858600/" TargetMode="External"/><Relationship Id="rId4187" Type="http://schemas.openxmlformats.org/officeDocument/2006/relationships/hyperlink" Target="https://www.facebook.com/loreta.ardaban.3" TargetMode="External"/><Relationship Id="rId4186" Type="http://schemas.openxmlformats.org/officeDocument/2006/relationships/hyperlink" Target="https://www.facebook.com/rapplerdotcom/photos/a.317154781638645/5594954703858600/" TargetMode="External"/><Relationship Id="rId4189" Type="http://schemas.openxmlformats.org/officeDocument/2006/relationships/hyperlink" Target="https://www.facebook.com/imma.bee.161" TargetMode="External"/><Relationship Id="rId4188" Type="http://schemas.openxmlformats.org/officeDocument/2006/relationships/hyperlink" Target="https://www.facebook.com/rapplerdotcom/photos/a.317154781638645/5594954703858600/" TargetMode="External"/><Relationship Id="rId1900" Type="http://schemas.openxmlformats.org/officeDocument/2006/relationships/hyperlink" Target="https://www.facebook.com/rapplerdotcom/photos/a.317154781638645/5596043783749692/" TargetMode="External"/><Relationship Id="rId1901" Type="http://schemas.openxmlformats.org/officeDocument/2006/relationships/hyperlink" Target="https://www.facebook.com/erl.lim" TargetMode="External"/><Relationship Id="rId1902" Type="http://schemas.openxmlformats.org/officeDocument/2006/relationships/hyperlink" Target="https://www.facebook.com/rapplerdotcom/photos/a.317154781638645/5596043783749692/" TargetMode="External"/><Relationship Id="rId1903" Type="http://schemas.openxmlformats.org/officeDocument/2006/relationships/hyperlink" Target="https://www.facebook.com/kim.sioson" TargetMode="External"/><Relationship Id="rId1904" Type="http://schemas.openxmlformats.org/officeDocument/2006/relationships/hyperlink" Target="https://www.facebook.com/rapplerdotcom/photos/a.317154781638645/5596043783749692/" TargetMode="External"/><Relationship Id="rId1905" Type="http://schemas.openxmlformats.org/officeDocument/2006/relationships/hyperlink" Target="https://www.facebook.com/bernardo.nicolas.3382" TargetMode="External"/><Relationship Id="rId1906" Type="http://schemas.openxmlformats.org/officeDocument/2006/relationships/hyperlink" Target="https://www.facebook.com/rapplerdotcom/photos/a.317154781638645/5596043783749692/" TargetMode="External"/><Relationship Id="rId1907" Type="http://schemas.openxmlformats.org/officeDocument/2006/relationships/hyperlink" Target="https://www.facebook.com/kt.gd.425" TargetMode="External"/><Relationship Id="rId1908" Type="http://schemas.openxmlformats.org/officeDocument/2006/relationships/hyperlink" Target="https://www.facebook.com/rapplerdotcom/photos/a.317154781638645/5596043783749692/" TargetMode="External"/><Relationship Id="rId1909" Type="http://schemas.openxmlformats.org/officeDocument/2006/relationships/hyperlink" Target="https://www.facebook.com/yongcoonang" TargetMode="External"/><Relationship Id="rId4170" Type="http://schemas.openxmlformats.org/officeDocument/2006/relationships/hyperlink" Target="https://www.facebook.com/rapplerdotcom/photos/a.317154781638645/5594954703858600/" TargetMode="External"/><Relationship Id="rId4172" Type="http://schemas.openxmlformats.org/officeDocument/2006/relationships/hyperlink" Target="https://www.facebook.com/rapplerdotcom/photos/a.317154781638645/5594954703858600/" TargetMode="External"/><Relationship Id="rId4171" Type="http://schemas.openxmlformats.org/officeDocument/2006/relationships/hyperlink" Target="https://www.facebook.com/ronald.andallo.52" TargetMode="External"/><Relationship Id="rId4174" Type="http://schemas.openxmlformats.org/officeDocument/2006/relationships/hyperlink" Target="https://www.facebook.com/rapplerdotcom/photos/a.317154781638645/5594954703858600/" TargetMode="External"/><Relationship Id="rId4173" Type="http://schemas.openxmlformats.org/officeDocument/2006/relationships/hyperlink" Target="https://www.facebook.com/jane.quibilan" TargetMode="External"/><Relationship Id="rId4176" Type="http://schemas.openxmlformats.org/officeDocument/2006/relationships/hyperlink" Target="https://www.facebook.com/rapplerdotcom/photos/a.317154781638645/5594954703858600/" TargetMode="External"/><Relationship Id="rId4175" Type="http://schemas.openxmlformats.org/officeDocument/2006/relationships/hyperlink" Target="https://www.facebook.com/mariacleofe.lim" TargetMode="External"/><Relationship Id="rId4178" Type="http://schemas.openxmlformats.org/officeDocument/2006/relationships/hyperlink" Target="https://www.facebook.com/rapplerdotcom/photos/a.317154781638645/5594954703858600/" TargetMode="External"/><Relationship Id="rId4177" Type="http://schemas.openxmlformats.org/officeDocument/2006/relationships/hyperlink" Target="https://www.facebook.com/kuyah.tan" TargetMode="External"/><Relationship Id="rId4179" Type="http://schemas.openxmlformats.org/officeDocument/2006/relationships/hyperlink" Target="https://www.facebook.com/joey.abella.507" TargetMode="External"/><Relationship Id="rId4129" Type="http://schemas.openxmlformats.org/officeDocument/2006/relationships/hyperlink" Target="https://www.facebook.com/danilo.lansani.5" TargetMode="External"/><Relationship Id="rId4128" Type="http://schemas.openxmlformats.org/officeDocument/2006/relationships/hyperlink" Target="https://www.facebook.com/rapplerdotcom/photos/a.317154781638645/5594954703858600/" TargetMode="External"/><Relationship Id="rId5459" Type="http://schemas.openxmlformats.org/officeDocument/2006/relationships/hyperlink" Target="https://www.facebook.com/watch/live/?ref=watch_permalink&amp;v=312865720941798" TargetMode="External"/><Relationship Id="rId5450" Type="http://schemas.openxmlformats.org/officeDocument/2006/relationships/hyperlink" Target="https://www.facebook.com/arvin.palomar" TargetMode="External"/><Relationship Id="rId4121" Type="http://schemas.openxmlformats.org/officeDocument/2006/relationships/hyperlink" Target="https://www.facebook.com/andrew.marfori.75" TargetMode="External"/><Relationship Id="rId5453" Type="http://schemas.openxmlformats.org/officeDocument/2006/relationships/hyperlink" Target="https://www.facebook.com/watch/live/?ref=watch_permalink&amp;v=312865720941798" TargetMode="External"/><Relationship Id="rId4120" Type="http://schemas.openxmlformats.org/officeDocument/2006/relationships/hyperlink" Target="https://www.facebook.com/rapplerdotcom/photos/a.317154781638645/5594954703858600/" TargetMode="External"/><Relationship Id="rId5454" Type="http://schemas.openxmlformats.org/officeDocument/2006/relationships/hyperlink" Target="https://www.facebook.com/wilfredo.perez.581" TargetMode="External"/><Relationship Id="rId4123" Type="http://schemas.openxmlformats.org/officeDocument/2006/relationships/hyperlink" Target="https://www.facebook.com/mariaana.fontamillas" TargetMode="External"/><Relationship Id="rId5451" Type="http://schemas.openxmlformats.org/officeDocument/2006/relationships/hyperlink" Target="https://www.facebook.com/watch/live/?ref=watch_permalink&amp;v=312865720941798" TargetMode="External"/><Relationship Id="rId4122" Type="http://schemas.openxmlformats.org/officeDocument/2006/relationships/hyperlink" Target="https://www.facebook.com/rapplerdotcom/photos/a.317154781638645/5594954703858600/" TargetMode="External"/><Relationship Id="rId5452" Type="http://schemas.openxmlformats.org/officeDocument/2006/relationships/hyperlink" Target="https://www.facebook.com/gnilojake2" TargetMode="External"/><Relationship Id="rId4125" Type="http://schemas.openxmlformats.org/officeDocument/2006/relationships/hyperlink" Target="https://www.facebook.com/BraveHearT.Marzan" TargetMode="External"/><Relationship Id="rId5457" Type="http://schemas.openxmlformats.org/officeDocument/2006/relationships/hyperlink" Target="https://www.facebook.com/watch/live/?ref=watch_permalink&amp;v=312865720941798" TargetMode="External"/><Relationship Id="rId4124" Type="http://schemas.openxmlformats.org/officeDocument/2006/relationships/hyperlink" Target="https://www.facebook.com/rapplerdotcom/photos/a.317154781638645/5594954703858600/" TargetMode="External"/><Relationship Id="rId5458" Type="http://schemas.openxmlformats.org/officeDocument/2006/relationships/hyperlink" Target="https://www.facebook.com/mar.salesinap" TargetMode="External"/><Relationship Id="rId4127" Type="http://schemas.openxmlformats.org/officeDocument/2006/relationships/hyperlink" Target="https://www.facebook.com/BraveHearT.Marzan" TargetMode="External"/><Relationship Id="rId5455" Type="http://schemas.openxmlformats.org/officeDocument/2006/relationships/hyperlink" Target="https://www.facebook.com/watch/live/?ref=watch_permalink&amp;v=312865720941798" TargetMode="External"/><Relationship Id="rId4126" Type="http://schemas.openxmlformats.org/officeDocument/2006/relationships/hyperlink" Target="https://www.facebook.com/rapplerdotcom/photos/a.317154781638645/5594954703858600/" TargetMode="External"/><Relationship Id="rId5456" Type="http://schemas.openxmlformats.org/officeDocument/2006/relationships/hyperlink" Target="https://www.facebook.com/zuno.silang" TargetMode="External"/><Relationship Id="rId4118" Type="http://schemas.openxmlformats.org/officeDocument/2006/relationships/hyperlink" Target="https://www.facebook.com/rapplerdotcom/photos/a.317154781638645/5594954703858600/" TargetMode="External"/><Relationship Id="rId4117" Type="http://schemas.openxmlformats.org/officeDocument/2006/relationships/hyperlink" Target="https://www.facebook.com/aldo.lavingu" TargetMode="External"/><Relationship Id="rId5448" Type="http://schemas.openxmlformats.org/officeDocument/2006/relationships/hyperlink" Target="https://www.facebook.com/Big.Jon.Royal" TargetMode="External"/><Relationship Id="rId4119" Type="http://schemas.openxmlformats.org/officeDocument/2006/relationships/hyperlink" Target="https://www.facebook.com/sethestoy.montero" TargetMode="External"/><Relationship Id="rId5449" Type="http://schemas.openxmlformats.org/officeDocument/2006/relationships/hyperlink" Target="https://www.facebook.com/watch/live/?ref=watch_permalink&amp;v=312865720941798" TargetMode="External"/><Relationship Id="rId4110" Type="http://schemas.openxmlformats.org/officeDocument/2006/relationships/hyperlink" Target="https://www.facebook.com/rapplerdotcom/photos/a.317154781638645/5594954703858600/" TargetMode="External"/><Relationship Id="rId5442" Type="http://schemas.openxmlformats.org/officeDocument/2006/relationships/hyperlink" Target="https://www.facebook.com/angelita.magnaye.39" TargetMode="External"/><Relationship Id="rId5443" Type="http://schemas.openxmlformats.org/officeDocument/2006/relationships/hyperlink" Target="https://www.facebook.com/watch/live/?ref=watch_permalink&amp;v=312865720941798" TargetMode="External"/><Relationship Id="rId4112" Type="http://schemas.openxmlformats.org/officeDocument/2006/relationships/hyperlink" Target="https://www.facebook.com/rapplerdotcom/photos/a.317154781638645/5594954703858600/" TargetMode="External"/><Relationship Id="rId5440" Type="http://schemas.openxmlformats.org/officeDocument/2006/relationships/hyperlink" Target="https://www.facebook.com/profile.php?id=100002551512347" TargetMode="External"/><Relationship Id="rId4111" Type="http://schemas.openxmlformats.org/officeDocument/2006/relationships/hyperlink" Target="https://www.facebook.com/aldo.lavingu" TargetMode="External"/><Relationship Id="rId5441" Type="http://schemas.openxmlformats.org/officeDocument/2006/relationships/hyperlink" Target="https://www.facebook.com/watch/live/?ref=watch_permalink&amp;v=312865720941798" TargetMode="External"/><Relationship Id="rId4114" Type="http://schemas.openxmlformats.org/officeDocument/2006/relationships/hyperlink" Target="https://www.facebook.com/rapplerdotcom/photos/a.317154781638645/5594954703858600/" TargetMode="External"/><Relationship Id="rId5446" Type="http://schemas.openxmlformats.org/officeDocument/2006/relationships/hyperlink" Target="https://www.facebook.com/cynthia.estrada.393950" TargetMode="External"/><Relationship Id="rId4113" Type="http://schemas.openxmlformats.org/officeDocument/2006/relationships/hyperlink" Target="https://www.facebook.com/profile.php?id=100077976516349" TargetMode="External"/><Relationship Id="rId5447" Type="http://schemas.openxmlformats.org/officeDocument/2006/relationships/hyperlink" Target="https://www.facebook.com/watch/live/?ref=watch_permalink&amp;v=312865720941798" TargetMode="External"/><Relationship Id="rId4116" Type="http://schemas.openxmlformats.org/officeDocument/2006/relationships/hyperlink" Target="https://www.facebook.com/rapplerdotcom/photos/a.317154781638645/5594954703858600/" TargetMode="External"/><Relationship Id="rId5444" Type="http://schemas.openxmlformats.org/officeDocument/2006/relationships/hyperlink" Target="https://www.facebook.com/profile.php?id=100070842512295" TargetMode="External"/><Relationship Id="rId4115" Type="http://schemas.openxmlformats.org/officeDocument/2006/relationships/hyperlink" Target="https://www.facebook.com/aldo.lavingu" TargetMode="External"/><Relationship Id="rId5445" Type="http://schemas.openxmlformats.org/officeDocument/2006/relationships/hyperlink" Target="https://www.facebook.com/watch/live/?ref=watch_permalink&amp;v=312865720941798" TargetMode="External"/><Relationship Id="rId5471" Type="http://schemas.openxmlformats.org/officeDocument/2006/relationships/hyperlink" Target="https://www.facebook.com/watch/live/?ref=watch_permalink&amp;v=312865720941798" TargetMode="External"/><Relationship Id="rId5472" Type="http://schemas.openxmlformats.org/officeDocument/2006/relationships/hyperlink" Target="https://www.facebook.com/haniaalonto.orandang" TargetMode="External"/><Relationship Id="rId4141" Type="http://schemas.openxmlformats.org/officeDocument/2006/relationships/hyperlink" Target="https://www.facebook.com/pureza.q.dy" TargetMode="External"/><Relationship Id="rId4140" Type="http://schemas.openxmlformats.org/officeDocument/2006/relationships/hyperlink" Target="https://www.facebook.com/rapplerdotcom/photos/a.317154781638645/5594954703858600/" TargetMode="External"/><Relationship Id="rId5470" Type="http://schemas.openxmlformats.org/officeDocument/2006/relationships/hyperlink" Target="https://www.facebook.com/haniaalonto.orandang" TargetMode="External"/><Relationship Id="rId4143" Type="http://schemas.openxmlformats.org/officeDocument/2006/relationships/hyperlink" Target="https://www.facebook.com/frank.chavez.161" TargetMode="External"/><Relationship Id="rId5475" Type="http://schemas.openxmlformats.org/officeDocument/2006/relationships/hyperlink" Target="https://www.facebook.com/watch/live/?ref=watch_permalink&amp;v=312865720941798" TargetMode="External"/><Relationship Id="rId4142" Type="http://schemas.openxmlformats.org/officeDocument/2006/relationships/hyperlink" Target="https://www.facebook.com/rapplerdotcom/photos/a.317154781638645/5594954703858600/" TargetMode="External"/><Relationship Id="rId5476" Type="http://schemas.openxmlformats.org/officeDocument/2006/relationships/hyperlink" Target="https://www.facebook.com/wilhelmina.medrano.3" TargetMode="External"/><Relationship Id="rId4145" Type="http://schemas.openxmlformats.org/officeDocument/2006/relationships/hyperlink" Target="https://www.facebook.com/sethestoy.montero" TargetMode="External"/><Relationship Id="rId5473" Type="http://schemas.openxmlformats.org/officeDocument/2006/relationships/hyperlink" Target="https://www.facebook.com/watch/live/?ref=watch_permalink&amp;v=312865720941798" TargetMode="External"/><Relationship Id="rId4144" Type="http://schemas.openxmlformats.org/officeDocument/2006/relationships/hyperlink" Target="https://www.facebook.com/rapplerdotcom/photos/a.317154781638645/5594954703858600/" TargetMode="External"/><Relationship Id="rId5474" Type="http://schemas.openxmlformats.org/officeDocument/2006/relationships/hyperlink" Target="https://www.facebook.com/catalina.biticon.12" TargetMode="External"/><Relationship Id="rId4147" Type="http://schemas.openxmlformats.org/officeDocument/2006/relationships/hyperlink" Target="https://www.facebook.com/lon.makinano.94" TargetMode="External"/><Relationship Id="rId5479" Type="http://schemas.openxmlformats.org/officeDocument/2006/relationships/hyperlink" Target="https://www.facebook.com/watch/live/?ref=watch_permalink&amp;v=312865720941798" TargetMode="External"/><Relationship Id="rId4146" Type="http://schemas.openxmlformats.org/officeDocument/2006/relationships/hyperlink" Target="https://www.facebook.com/rapplerdotcom/photos/a.317154781638645/5594954703858600/" TargetMode="External"/><Relationship Id="rId4149" Type="http://schemas.openxmlformats.org/officeDocument/2006/relationships/hyperlink" Target="https://www.facebook.com/augustus.diaz.77" TargetMode="External"/><Relationship Id="rId5477" Type="http://schemas.openxmlformats.org/officeDocument/2006/relationships/hyperlink" Target="https://www.facebook.com/watch/live/?ref=watch_permalink&amp;v=312865720941798" TargetMode="External"/><Relationship Id="rId4148" Type="http://schemas.openxmlformats.org/officeDocument/2006/relationships/hyperlink" Target="https://www.facebook.com/rapplerdotcom/photos/a.317154781638645/5594954703858600/" TargetMode="External"/><Relationship Id="rId5478" Type="http://schemas.openxmlformats.org/officeDocument/2006/relationships/hyperlink" Target="https://www.facebook.com/micoleizon" TargetMode="External"/><Relationship Id="rId4139" Type="http://schemas.openxmlformats.org/officeDocument/2006/relationships/hyperlink" Target="https://www.facebook.com/aldo.lavingu" TargetMode="External"/><Relationship Id="rId5460" Type="http://schemas.openxmlformats.org/officeDocument/2006/relationships/hyperlink" Target="https://www.facebook.com/profile.php?id=100074412862665" TargetMode="External"/><Relationship Id="rId5461" Type="http://schemas.openxmlformats.org/officeDocument/2006/relationships/hyperlink" Target="https://www.facebook.com/watch/live/?ref=watch_permalink&amp;v=312865720941798" TargetMode="External"/><Relationship Id="rId4130" Type="http://schemas.openxmlformats.org/officeDocument/2006/relationships/hyperlink" Target="https://www.facebook.com/rapplerdotcom/photos/a.317154781638645/5594954703858600/" TargetMode="External"/><Relationship Id="rId4132" Type="http://schemas.openxmlformats.org/officeDocument/2006/relationships/hyperlink" Target="https://www.facebook.com/rapplerdotcom/photos/a.317154781638645/5594954703858600/" TargetMode="External"/><Relationship Id="rId5464" Type="http://schemas.openxmlformats.org/officeDocument/2006/relationships/hyperlink" Target="https://www.facebook.com/patriusmark" TargetMode="External"/><Relationship Id="rId4131" Type="http://schemas.openxmlformats.org/officeDocument/2006/relationships/hyperlink" Target="https://www.facebook.com/profile.php?id=100011150311111" TargetMode="External"/><Relationship Id="rId5465" Type="http://schemas.openxmlformats.org/officeDocument/2006/relationships/hyperlink" Target="https://www.facebook.com/watch/live/?ref=watch_permalink&amp;v=312865720941798" TargetMode="External"/><Relationship Id="rId4134" Type="http://schemas.openxmlformats.org/officeDocument/2006/relationships/hyperlink" Target="https://www.facebook.com/rapplerdotcom/photos/a.317154781638645/5594954703858600/" TargetMode="External"/><Relationship Id="rId5462" Type="http://schemas.openxmlformats.org/officeDocument/2006/relationships/hyperlink" Target="https://www.facebook.com/dante.vigo.56" TargetMode="External"/><Relationship Id="rId4133" Type="http://schemas.openxmlformats.org/officeDocument/2006/relationships/hyperlink" Target="https://www.facebook.com/genesis.gardiano" TargetMode="External"/><Relationship Id="rId5463" Type="http://schemas.openxmlformats.org/officeDocument/2006/relationships/hyperlink" Target="https://www.facebook.com/watch/live/?ref=watch_permalink&amp;v=312865720941798" TargetMode="External"/><Relationship Id="rId4136" Type="http://schemas.openxmlformats.org/officeDocument/2006/relationships/hyperlink" Target="https://www.facebook.com/rapplerdotcom/photos/a.317154781638645/5594954703858600/" TargetMode="External"/><Relationship Id="rId5468" Type="http://schemas.openxmlformats.org/officeDocument/2006/relationships/hyperlink" Target="https://www.facebook.com/inmate041908" TargetMode="External"/><Relationship Id="rId4135" Type="http://schemas.openxmlformats.org/officeDocument/2006/relationships/hyperlink" Target="https://www.facebook.com/aldo.lavingu" TargetMode="External"/><Relationship Id="rId5469" Type="http://schemas.openxmlformats.org/officeDocument/2006/relationships/hyperlink" Target="https://www.facebook.com/watch/live/?ref=watch_permalink&amp;v=312865720941798" TargetMode="External"/><Relationship Id="rId4138" Type="http://schemas.openxmlformats.org/officeDocument/2006/relationships/hyperlink" Target="https://www.facebook.com/rapplerdotcom/photos/a.317154781638645/5594954703858600/" TargetMode="External"/><Relationship Id="rId5466" Type="http://schemas.openxmlformats.org/officeDocument/2006/relationships/hyperlink" Target="https://www.facebook.com/inmate041908" TargetMode="External"/><Relationship Id="rId4137" Type="http://schemas.openxmlformats.org/officeDocument/2006/relationships/hyperlink" Target="https://www.facebook.com/aldo.lavingu" TargetMode="External"/><Relationship Id="rId5467" Type="http://schemas.openxmlformats.org/officeDocument/2006/relationships/hyperlink" Target="https://www.facebook.com/watch/live/?ref=watch_permalink&amp;v=312865720941798" TargetMode="External"/><Relationship Id="rId1972" Type="http://schemas.openxmlformats.org/officeDocument/2006/relationships/hyperlink" Target="https://www.facebook.com/rapplerdotcom/photos/a.317154781638645/5596043783749692/" TargetMode="External"/><Relationship Id="rId1973" Type="http://schemas.openxmlformats.org/officeDocument/2006/relationships/hyperlink" Target="https://www.facebook.com/ninotchka.rosca" TargetMode="External"/><Relationship Id="rId1974" Type="http://schemas.openxmlformats.org/officeDocument/2006/relationships/hyperlink" Target="https://www.facebook.com/rapplerdotcom/photos/a.317154781638645/5596022273751843/" TargetMode="External"/><Relationship Id="rId1975" Type="http://schemas.openxmlformats.org/officeDocument/2006/relationships/hyperlink" Target="https://www.facebook.com/yongcoonang" TargetMode="External"/><Relationship Id="rId1976" Type="http://schemas.openxmlformats.org/officeDocument/2006/relationships/hyperlink" Target="https://www.facebook.com/rapplerdotcom/photos/a.317154781638645/5596022273751843/" TargetMode="External"/><Relationship Id="rId1977" Type="http://schemas.openxmlformats.org/officeDocument/2006/relationships/hyperlink" Target="https://www.facebook.com/lorna.felipe.1694" TargetMode="External"/><Relationship Id="rId1978" Type="http://schemas.openxmlformats.org/officeDocument/2006/relationships/hyperlink" Target="https://www.facebook.com/rapplerdotcom/photos/a.317154781638645/5596022273751843/" TargetMode="External"/><Relationship Id="rId1979" Type="http://schemas.openxmlformats.org/officeDocument/2006/relationships/hyperlink" Target="https://www.facebook.com/beverlyfrias" TargetMode="External"/><Relationship Id="rId1970" Type="http://schemas.openxmlformats.org/officeDocument/2006/relationships/hyperlink" Target="https://www.facebook.com/rapplerdotcom/photos/a.317154781638645/5596043783749692/" TargetMode="External"/><Relationship Id="rId1971" Type="http://schemas.openxmlformats.org/officeDocument/2006/relationships/hyperlink" Target="https://www.facebook.com/madammaharlika" TargetMode="External"/><Relationship Id="rId1961" Type="http://schemas.openxmlformats.org/officeDocument/2006/relationships/hyperlink" Target="https://www.facebook.com/profile.php?id=100049380352017" TargetMode="External"/><Relationship Id="rId1962" Type="http://schemas.openxmlformats.org/officeDocument/2006/relationships/hyperlink" Target="https://www.facebook.com/rapplerdotcom/photos/a.317154781638645/5596043783749692/" TargetMode="External"/><Relationship Id="rId1963" Type="http://schemas.openxmlformats.org/officeDocument/2006/relationships/hyperlink" Target="https://www.facebook.com/madammaharlika" TargetMode="External"/><Relationship Id="rId1964" Type="http://schemas.openxmlformats.org/officeDocument/2006/relationships/hyperlink" Target="https://www.facebook.com/rapplerdotcom/photos/a.317154781638645/5596043783749692/" TargetMode="External"/><Relationship Id="rId1965" Type="http://schemas.openxmlformats.org/officeDocument/2006/relationships/hyperlink" Target="https://www.facebook.com/madammaharlika" TargetMode="External"/><Relationship Id="rId1966" Type="http://schemas.openxmlformats.org/officeDocument/2006/relationships/hyperlink" Target="https://www.facebook.com/rapplerdotcom/photos/a.317154781638645/5596043783749692/" TargetMode="External"/><Relationship Id="rId1967" Type="http://schemas.openxmlformats.org/officeDocument/2006/relationships/hyperlink" Target="https://www.facebook.com/madammaharlika" TargetMode="External"/><Relationship Id="rId1968" Type="http://schemas.openxmlformats.org/officeDocument/2006/relationships/hyperlink" Target="https://www.facebook.com/rapplerdotcom/photos/a.317154781638645/5596043783749692/" TargetMode="External"/><Relationship Id="rId1969" Type="http://schemas.openxmlformats.org/officeDocument/2006/relationships/hyperlink" Target="https://www.facebook.com/madammaharlika" TargetMode="External"/><Relationship Id="rId1960" Type="http://schemas.openxmlformats.org/officeDocument/2006/relationships/hyperlink" Target="https://www.facebook.com/rapplerdotcom/photos/a.317154781638645/5596043783749692/" TargetMode="External"/><Relationship Id="rId1994" Type="http://schemas.openxmlformats.org/officeDocument/2006/relationships/hyperlink" Target="https://www.facebook.com/rapplerdotcom/photos/a.317154781638645/5596022273751843/" TargetMode="External"/><Relationship Id="rId1995" Type="http://schemas.openxmlformats.org/officeDocument/2006/relationships/hyperlink" Target="https://www.facebook.com/profile.php?id=100073327830652" TargetMode="External"/><Relationship Id="rId1996" Type="http://schemas.openxmlformats.org/officeDocument/2006/relationships/hyperlink" Target="https://www.facebook.com/rapplerdotcom/photos/a.317154781638645/5596022273751843/" TargetMode="External"/><Relationship Id="rId1997" Type="http://schemas.openxmlformats.org/officeDocument/2006/relationships/hyperlink" Target="https://www.facebook.com/lrelator" TargetMode="External"/><Relationship Id="rId1998" Type="http://schemas.openxmlformats.org/officeDocument/2006/relationships/hyperlink" Target="https://www.facebook.com/rapplerdotcom/photos/a.317154781638645/5596022273751843/" TargetMode="External"/><Relationship Id="rId1999" Type="http://schemas.openxmlformats.org/officeDocument/2006/relationships/hyperlink" Target="https://www.facebook.com/profile.php?id=100073327830652" TargetMode="External"/><Relationship Id="rId1990" Type="http://schemas.openxmlformats.org/officeDocument/2006/relationships/hyperlink" Target="https://www.facebook.com/rapplerdotcom/photos/a.317154781638645/5596022273751843/" TargetMode="External"/><Relationship Id="rId1991" Type="http://schemas.openxmlformats.org/officeDocument/2006/relationships/hyperlink" Target="https://www.facebook.com/steve.tamayo.18" TargetMode="External"/><Relationship Id="rId1992" Type="http://schemas.openxmlformats.org/officeDocument/2006/relationships/hyperlink" Target="https://www.facebook.com/rapplerdotcom/photos/a.317154781638645/5596022273751843/" TargetMode="External"/><Relationship Id="rId1993" Type="http://schemas.openxmlformats.org/officeDocument/2006/relationships/hyperlink" Target="https://www.facebook.com/chie.abracosa" TargetMode="External"/><Relationship Id="rId1983" Type="http://schemas.openxmlformats.org/officeDocument/2006/relationships/hyperlink" Target="https://www.facebook.com/profile.php?id=100078433647836" TargetMode="External"/><Relationship Id="rId1984" Type="http://schemas.openxmlformats.org/officeDocument/2006/relationships/hyperlink" Target="https://www.facebook.com/rapplerdotcom/photos/a.317154781638645/5596022273751843/" TargetMode="External"/><Relationship Id="rId1985" Type="http://schemas.openxmlformats.org/officeDocument/2006/relationships/hyperlink" Target="https://www.facebook.com/profile.php?id=100078504654734" TargetMode="External"/><Relationship Id="rId1986" Type="http://schemas.openxmlformats.org/officeDocument/2006/relationships/hyperlink" Target="https://www.facebook.com/rapplerdotcom/photos/a.317154781638645/5596022273751843/" TargetMode="External"/><Relationship Id="rId1987" Type="http://schemas.openxmlformats.org/officeDocument/2006/relationships/hyperlink" Target="https://www.facebook.com/terrence.co" TargetMode="External"/><Relationship Id="rId1988" Type="http://schemas.openxmlformats.org/officeDocument/2006/relationships/hyperlink" Target="https://www.facebook.com/rapplerdotcom/photos/a.317154781638645/5596022273751843/" TargetMode="External"/><Relationship Id="rId1989" Type="http://schemas.openxmlformats.org/officeDocument/2006/relationships/hyperlink" Target="https://www.facebook.com/augustusfabonii" TargetMode="External"/><Relationship Id="rId1980" Type="http://schemas.openxmlformats.org/officeDocument/2006/relationships/hyperlink" Target="https://www.facebook.com/rapplerdotcom/photos/a.317154781638645/5596022273751843/" TargetMode="External"/><Relationship Id="rId1981" Type="http://schemas.openxmlformats.org/officeDocument/2006/relationships/hyperlink" Target="https://www.facebook.com/profile.php?id=100078772872933" TargetMode="External"/><Relationship Id="rId1982" Type="http://schemas.openxmlformats.org/officeDocument/2006/relationships/hyperlink" Target="https://www.facebook.com/rapplerdotcom/photos/a.317154781638645/5596022273751843/" TargetMode="External"/><Relationship Id="rId1930" Type="http://schemas.openxmlformats.org/officeDocument/2006/relationships/hyperlink" Target="https://www.facebook.com/rapplerdotcom/photos/a.317154781638645/5596043783749692/" TargetMode="External"/><Relationship Id="rId1931" Type="http://schemas.openxmlformats.org/officeDocument/2006/relationships/hyperlink" Target="https://www.facebook.com/yongcoonang" TargetMode="External"/><Relationship Id="rId1932" Type="http://schemas.openxmlformats.org/officeDocument/2006/relationships/hyperlink" Target="https://www.facebook.com/rapplerdotcom/photos/a.317154781638645/5596043783749692/" TargetMode="External"/><Relationship Id="rId1933" Type="http://schemas.openxmlformats.org/officeDocument/2006/relationships/hyperlink" Target="https://www.facebook.com/kim.sioson" TargetMode="External"/><Relationship Id="rId1934" Type="http://schemas.openxmlformats.org/officeDocument/2006/relationships/hyperlink" Target="https://www.facebook.com/rapplerdotcom/photos/a.317154781638645/5596043783749692/" TargetMode="External"/><Relationship Id="rId1935" Type="http://schemas.openxmlformats.org/officeDocument/2006/relationships/hyperlink" Target="https://www.facebook.com/lorenza.ito.33" TargetMode="External"/><Relationship Id="rId1936" Type="http://schemas.openxmlformats.org/officeDocument/2006/relationships/hyperlink" Target="https://www.facebook.com/rapplerdotcom/photos/a.317154781638645/5596043783749692/" TargetMode="External"/><Relationship Id="rId1937" Type="http://schemas.openxmlformats.org/officeDocument/2006/relationships/hyperlink" Target="https://www.facebook.com/kim.sioson" TargetMode="External"/><Relationship Id="rId1938" Type="http://schemas.openxmlformats.org/officeDocument/2006/relationships/hyperlink" Target="https://www.facebook.com/rapplerdotcom/photos/a.317154781638645/5596043783749692/" TargetMode="External"/><Relationship Id="rId1939" Type="http://schemas.openxmlformats.org/officeDocument/2006/relationships/hyperlink" Target="https://www.facebook.com/kim.sioson" TargetMode="External"/><Relationship Id="rId1920" Type="http://schemas.openxmlformats.org/officeDocument/2006/relationships/hyperlink" Target="https://www.facebook.com/rapplerdotcom/photos/a.317154781638645/5596043783749692/" TargetMode="External"/><Relationship Id="rId1921" Type="http://schemas.openxmlformats.org/officeDocument/2006/relationships/hyperlink" Target="https://www.facebook.com/kim.sioson" TargetMode="External"/><Relationship Id="rId1922" Type="http://schemas.openxmlformats.org/officeDocument/2006/relationships/hyperlink" Target="https://www.facebook.com/rapplerdotcom/photos/a.317154781638645/5596043783749692/" TargetMode="External"/><Relationship Id="rId1923" Type="http://schemas.openxmlformats.org/officeDocument/2006/relationships/hyperlink" Target="https://www.facebook.com/grace.r.israel" TargetMode="External"/><Relationship Id="rId1924" Type="http://schemas.openxmlformats.org/officeDocument/2006/relationships/hyperlink" Target="https://www.facebook.com/rapplerdotcom/photos/a.317154781638645/5596043783749692/" TargetMode="External"/><Relationship Id="rId1925" Type="http://schemas.openxmlformats.org/officeDocument/2006/relationships/hyperlink" Target="https://www.facebook.com/bernardo.nicolas.3382" TargetMode="External"/><Relationship Id="rId1926" Type="http://schemas.openxmlformats.org/officeDocument/2006/relationships/hyperlink" Target="https://www.facebook.com/rapplerdotcom/photos/a.317154781638645/5596043783749692/" TargetMode="External"/><Relationship Id="rId1927" Type="http://schemas.openxmlformats.org/officeDocument/2006/relationships/hyperlink" Target="https://www.facebook.com/DemieGanda" TargetMode="External"/><Relationship Id="rId1928" Type="http://schemas.openxmlformats.org/officeDocument/2006/relationships/hyperlink" Target="https://www.facebook.com/rapplerdotcom/photos/a.317154781638645/5596043783749692/" TargetMode="External"/><Relationship Id="rId1929" Type="http://schemas.openxmlformats.org/officeDocument/2006/relationships/hyperlink" Target="https://www.facebook.com/sharmaine.ramos.3950" TargetMode="External"/><Relationship Id="rId4190" Type="http://schemas.openxmlformats.org/officeDocument/2006/relationships/hyperlink" Target="https://www.facebook.com/rapplerdotcom/photos/a.317154781638645/5594954703858600/" TargetMode="External"/><Relationship Id="rId4192" Type="http://schemas.openxmlformats.org/officeDocument/2006/relationships/hyperlink" Target="https://www.facebook.com/rapplerdotcom/photos/a.317154781638645/5594954703858600/" TargetMode="External"/><Relationship Id="rId4191" Type="http://schemas.openxmlformats.org/officeDocument/2006/relationships/hyperlink" Target="https://www.facebook.com/janice.arroyo.98837" TargetMode="External"/><Relationship Id="rId4194" Type="http://schemas.openxmlformats.org/officeDocument/2006/relationships/hyperlink" Target="https://www.facebook.com/rapplerdotcom/photos/a.317154781638645/5594954703858600/" TargetMode="External"/><Relationship Id="rId4193" Type="http://schemas.openxmlformats.org/officeDocument/2006/relationships/hyperlink" Target="https://www.facebook.com/joey.abella.507" TargetMode="External"/><Relationship Id="rId4196" Type="http://schemas.openxmlformats.org/officeDocument/2006/relationships/hyperlink" Target="https://www.facebook.com/rapplerdotcom/photos/a.317154781638645/5594954703858600/" TargetMode="External"/><Relationship Id="rId4195" Type="http://schemas.openxmlformats.org/officeDocument/2006/relationships/hyperlink" Target="https://www.facebook.com/amaya.sabado" TargetMode="External"/><Relationship Id="rId4198" Type="http://schemas.openxmlformats.org/officeDocument/2006/relationships/hyperlink" Target="https://www.facebook.com/rapplerdotcom/photos/a.317154781638645/5594954703858600/" TargetMode="External"/><Relationship Id="rId4197" Type="http://schemas.openxmlformats.org/officeDocument/2006/relationships/hyperlink" Target="https://www.facebook.com/kimberly.elardo.737" TargetMode="External"/><Relationship Id="rId4199" Type="http://schemas.openxmlformats.org/officeDocument/2006/relationships/hyperlink" Target="https://www.facebook.com/profile.php?id=100013497646924" TargetMode="External"/><Relationship Id="rId1950" Type="http://schemas.openxmlformats.org/officeDocument/2006/relationships/hyperlink" Target="https://www.facebook.com/rapplerdotcom/photos/a.317154781638645/5596043783749692/" TargetMode="External"/><Relationship Id="rId1951" Type="http://schemas.openxmlformats.org/officeDocument/2006/relationships/hyperlink" Target="https://www.facebook.com/deepblue69" TargetMode="External"/><Relationship Id="rId1952" Type="http://schemas.openxmlformats.org/officeDocument/2006/relationships/hyperlink" Target="https://www.facebook.com/rapplerdotcom/photos/a.317154781638645/5596043783749692/" TargetMode="External"/><Relationship Id="rId1953" Type="http://schemas.openxmlformats.org/officeDocument/2006/relationships/hyperlink" Target="https://www.facebook.com/profile.php?id=100006396255966" TargetMode="External"/><Relationship Id="rId1954" Type="http://schemas.openxmlformats.org/officeDocument/2006/relationships/hyperlink" Target="https://www.facebook.com/rapplerdotcom/photos/a.317154781638645/5596043783749692/" TargetMode="External"/><Relationship Id="rId1955" Type="http://schemas.openxmlformats.org/officeDocument/2006/relationships/hyperlink" Target="https://www.facebook.com/luisxmaaliw" TargetMode="External"/><Relationship Id="rId1956" Type="http://schemas.openxmlformats.org/officeDocument/2006/relationships/hyperlink" Target="https://www.facebook.com/rapplerdotcom/photos/a.317154781638645/5596043783749692/" TargetMode="External"/><Relationship Id="rId1957" Type="http://schemas.openxmlformats.org/officeDocument/2006/relationships/hyperlink" Target="https://www.facebook.com/profile.php?id=100069003242362" TargetMode="External"/><Relationship Id="rId1958" Type="http://schemas.openxmlformats.org/officeDocument/2006/relationships/hyperlink" Target="https://www.facebook.com/rapplerdotcom/photos/a.317154781638645/5596043783749692/" TargetMode="External"/><Relationship Id="rId1959" Type="http://schemas.openxmlformats.org/officeDocument/2006/relationships/hyperlink" Target="https://www.facebook.com/joni.aguilar.146" TargetMode="External"/><Relationship Id="rId1940" Type="http://schemas.openxmlformats.org/officeDocument/2006/relationships/hyperlink" Target="https://www.facebook.com/rapplerdotcom/photos/a.317154781638645/5596043783749692/" TargetMode="External"/><Relationship Id="rId1941" Type="http://schemas.openxmlformats.org/officeDocument/2006/relationships/hyperlink" Target="https://www.facebook.com/icecaramel.macchiato.908" TargetMode="External"/><Relationship Id="rId1942" Type="http://schemas.openxmlformats.org/officeDocument/2006/relationships/hyperlink" Target="https://www.facebook.com/rapplerdotcom/photos/a.317154781638645/5596043783749692/" TargetMode="External"/><Relationship Id="rId1943" Type="http://schemas.openxmlformats.org/officeDocument/2006/relationships/hyperlink" Target="https://www.facebook.com/cherrylynyapchapco.diaz" TargetMode="External"/><Relationship Id="rId1944" Type="http://schemas.openxmlformats.org/officeDocument/2006/relationships/hyperlink" Target="https://www.facebook.com/rapplerdotcom/photos/a.317154781638645/5596043783749692/" TargetMode="External"/><Relationship Id="rId1945" Type="http://schemas.openxmlformats.org/officeDocument/2006/relationships/hyperlink" Target="https://www.facebook.com/yongcoonang" TargetMode="External"/><Relationship Id="rId1946" Type="http://schemas.openxmlformats.org/officeDocument/2006/relationships/hyperlink" Target="https://www.facebook.com/rapplerdotcom/photos/a.317154781638645/5596043783749692/" TargetMode="External"/><Relationship Id="rId1947" Type="http://schemas.openxmlformats.org/officeDocument/2006/relationships/hyperlink" Target="https://www.facebook.com/rapkarl04" TargetMode="External"/><Relationship Id="rId1948" Type="http://schemas.openxmlformats.org/officeDocument/2006/relationships/hyperlink" Target="https://www.facebook.com/rapplerdotcom/photos/a.317154781638645/5596043783749692/" TargetMode="External"/><Relationship Id="rId1949" Type="http://schemas.openxmlformats.org/officeDocument/2006/relationships/hyperlink" Target="https://www.facebook.com/henrybalderama" TargetMode="External"/><Relationship Id="rId509" Type="http://schemas.openxmlformats.org/officeDocument/2006/relationships/hyperlink" Target="https://www.facebook.com/rapplerdotcom/photos/a.317154781638645/5598220220198715/" TargetMode="External"/><Relationship Id="rId508" Type="http://schemas.openxmlformats.org/officeDocument/2006/relationships/hyperlink" Target="https://www.facebook.com/florita.manzano.5" TargetMode="External"/><Relationship Id="rId503" Type="http://schemas.openxmlformats.org/officeDocument/2006/relationships/hyperlink" Target="https://www.facebook.com/rapplerdotcom/photos/a.317154781638645/5598220220198715/" TargetMode="External"/><Relationship Id="rId502" Type="http://schemas.openxmlformats.org/officeDocument/2006/relationships/hyperlink" Target="https://www.facebook.com/grace.lucila.33" TargetMode="External"/><Relationship Id="rId501" Type="http://schemas.openxmlformats.org/officeDocument/2006/relationships/hyperlink" Target="https://www.facebook.com/rapplerdotcom/photos/a.317154781638645/5598220220198715/" TargetMode="External"/><Relationship Id="rId500" Type="http://schemas.openxmlformats.org/officeDocument/2006/relationships/hyperlink" Target="https://www.facebook.com/neil.torreon.7" TargetMode="External"/><Relationship Id="rId507" Type="http://schemas.openxmlformats.org/officeDocument/2006/relationships/hyperlink" Target="https://www.facebook.com/rapplerdotcom/photos/a.317154781638645/5598220220198715/" TargetMode="External"/><Relationship Id="rId506" Type="http://schemas.openxmlformats.org/officeDocument/2006/relationships/hyperlink" Target="https://www.facebook.com/ferrerantonia" TargetMode="External"/><Relationship Id="rId505" Type="http://schemas.openxmlformats.org/officeDocument/2006/relationships/hyperlink" Target="https://www.facebook.com/rapplerdotcom/photos/a.317154781638645/5598220220198715/" TargetMode="External"/><Relationship Id="rId504" Type="http://schemas.openxmlformats.org/officeDocument/2006/relationships/hyperlink" Target="https://www.facebook.com/marcoantonio.bursky" TargetMode="External"/><Relationship Id="rId525" Type="http://schemas.openxmlformats.org/officeDocument/2006/relationships/hyperlink" Target="https://www.facebook.com/rapplerdotcom/photos/a.317154781638645/5598220220198715/" TargetMode="External"/><Relationship Id="rId524" Type="http://schemas.openxmlformats.org/officeDocument/2006/relationships/hyperlink" Target="https://www.facebook.com/thomas.french.52" TargetMode="External"/><Relationship Id="rId523" Type="http://schemas.openxmlformats.org/officeDocument/2006/relationships/hyperlink" Target="https://www.facebook.com/rapplerdotcom/photos/a.317154781638645/5598220220198715/" TargetMode="External"/><Relationship Id="rId522" Type="http://schemas.openxmlformats.org/officeDocument/2006/relationships/hyperlink" Target="https://www.facebook.com/ryan.beltran.73" TargetMode="External"/><Relationship Id="rId529" Type="http://schemas.openxmlformats.org/officeDocument/2006/relationships/hyperlink" Target="https://www.facebook.com/rapplerdotcom/photos/a.317154781638645/5598220220198715/" TargetMode="External"/><Relationship Id="rId528" Type="http://schemas.openxmlformats.org/officeDocument/2006/relationships/hyperlink" Target="https://www.facebook.com/thomas.french.52" TargetMode="External"/><Relationship Id="rId527" Type="http://schemas.openxmlformats.org/officeDocument/2006/relationships/hyperlink" Target="https://www.facebook.com/rapplerdotcom/photos/a.317154781638645/5598220220198715/" TargetMode="External"/><Relationship Id="rId526" Type="http://schemas.openxmlformats.org/officeDocument/2006/relationships/hyperlink" Target="https://www.facebook.com/ryan.beltran.73" TargetMode="External"/><Relationship Id="rId521" Type="http://schemas.openxmlformats.org/officeDocument/2006/relationships/hyperlink" Target="https://www.facebook.com/rapplerdotcom/photos/a.317154781638645/5598220220198715/" TargetMode="External"/><Relationship Id="rId520" Type="http://schemas.openxmlformats.org/officeDocument/2006/relationships/hyperlink" Target="https://www.facebook.com/profile.php?id=100078117845423" TargetMode="External"/><Relationship Id="rId519" Type="http://schemas.openxmlformats.org/officeDocument/2006/relationships/hyperlink" Target="https://www.facebook.com/rapplerdotcom/photos/a.317154781638645/5598220220198715/" TargetMode="External"/><Relationship Id="rId514" Type="http://schemas.openxmlformats.org/officeDocument/2006/relationships/hyperlink" Target="https://www.facebook.com/jacquilyn.okujo.7" TargetMode="External"/><Relationship Id="rId513" Type="http://schemas.openxmlformats.org/officeDocument/2006/relationships/hyperlink" Target="https://www.facebook.com/rapplerdotcom/photos/a.317154781638645/5598220220198715/" TargetMode="External"/><Relationship Id="rId512" Type="http://schemas.openxmlformats.org/officeDocument/2006/relationships/hyperlink" Target="https://www.facebook.com/aivin.retazo.7" TargetMode="External"/><Relationship Id="rId511" Type="http://schemas.openxmlformats.org/officeDocument/2006/relationships/hyperlink" Target="https://www.facebook.com/rapplerdotcom/photos/a.317154781638645/5598220220198715/" TargetMode="External"/><Relationship Id="rId518" Type="http://schemas.openxmlformats.org/officeDocument/2006/relationships/hyperlink" Target="https://www.facebook.com/abegail.bisabis" TargetMode="External"/><Relationship Id="rId517" Type="http://schemas.openxmlformats.org/officeDocument/2006/relationships/hyperlink" Target="https://www.facebook.com/rapplerdotcom/photos/a.317154781638645/5598220220198715/" TargetMode="External"/><Relationship Id="rId516" Type="http://schemas.openxmlformats.org/officeDocument/2006/relationships/hyperlink" Target="https://www.facebook.com/ryan.beltran.73" TargetMode="External"/><Relationship Id="rId515" Type="http://schemas.openxmlformats.org/officeDocument/2006/relationships/hyperlink" Target="https://www.facebook.com/rapplerdotcom/photos/a.317154781638645/5598220220198715/" TargetMode="External"/><Relationship Id="rId510" Type="http://schemas.openxmlformats.org/officeDocument/2006/relationships/hyperlink" Target="https://www.facebook.com/jenifer.ponayo.3" TargetMode="External"/><Relationship Id="rId4206" Type="http://schemas.openxmlformats.org/officeDocument/2006/relationships/hyperlink" Target="https://www.facebook.com/rapplerdotcom/photos/a.317154781638645/5594954703858600/" TargetMode="External"/><Relationship Id="rId5538" Type="http://schemas.openxmlformats.org/officeDocument/2006/relationships/hyperlink" Target="https://www.facebook.com/escalante.diwata" TargetMode="External"/><Relationship Id="rId4205" Type="http://schemas.openxmlformats.org/officeDocument/2006/relationships/hyperlink" Target="https://www.facebook.com/antonio.monteverdeiii" TargetMode="External"/><Relationship Id="rId5539" Type="http://schemas.openxmlformats.org/officeDocument/2006/relationships/hyperlink" Target="https://www.facebook.com/rapplerdotcom/photos/a.317154781638645/5594453700575367/" TargetMode="External"/><Relationship Id="rId4208" Type="http://schemas.openxmlformats.org/officeDocument/2006/relationships/hyperlink" Target="https://www.facebook.com/rapplerdotcom/photos/a.317154781638645/5594954703858600/" TargetMode="External"/><Relationship Id="rId5536" Type="http://schemas.openxmlformats.org/officeDocument/2006/relationships/hyperlink" Target="https://www.facebook.com/hellbladesxiii" TargetMode="External"/><Relationship Id="rId4207" Type="http://schemas.openxmlformats.org/officeDocument/2006/relationships/hyperlink" Target="https://www.facebook.com/NGCD18" TargetMode="External"/><Relationship Id="rId5537" Type="http://schemas.openxmlformats.org/officeDocument/2006/relationships/hyperlink" Target="https://www.facebook.com/rapplerdotcom/photos/a.317154781638645/5594453700575367/" TargetMode="External"/><Relationship Id="rId590" Type="http://schemas.openxmlformats.org/officeDocument/2006/relationships/hyperlink" Target="https://www.facebook.com/rapplerdotcom/photos/a.317154781638645/5597874143566656" TargetMode="External"/><Relationship Id="rId4209" Type="http://schemas.openxmlformats.org/officeDocument/2006/relationships/hyperlink" Target="https://www.facebook.com/nayrb.zemog.5" TargetMode="External"/><Relationship Id="rId589" Type="http://schemas.openxmlformats.org/officeDocument/2006/relationships/hyperlink" Target="https://www.facebook.com/crisostomo.ibara.146" TargetMode="External"/><Relationship Id="rId588" Type="http://schemas.openxmlformats.org/officeDocument/2006/relationships/hyperlink" Target="https://www.facebook.com/rapplerdotcom/photos/a.317154781638645/5597874143566656" TargetMode="External"/><Relationship Id="rId583" Type="http://schemas.openxmlformats.org/officeDocument/2006/relationships/hyperlink" Target="https://www.facebook.com/brrianjooseph.31" TargetMode="External"/><Relationship Id="rId5530" Type="http://schemas.openxmlformats.org/officeDocument/2006/relationships/hyperlink" Target="https://www.facebook.com/melbie.carpentero.7" TargetMode="External"/><Relationship Id="rId582" Type="http://schemas.openxmlformats.org/officeDocument/2006/relationships/hyperlink" Target="https://www.facebook.com/rapplerdotcom/photos/a.317154781638645/5597874143566656" TargetMode="External"/><Relationship Id="rId5531" Type="http://schemas.openxmlformats.org/officeDocument/2006/relationships/hyperlink" Target="https://www.facebook.com/rapplerdotcom/photos/a.317154781638645/5594453700575367/" TargetMode="External"/><Relationship Id="rId581" Type="http://schemas.openxmlformats.org/officeDocument/2006/relationships/hyperlink" Target="https://www.facebook.com/brrianjooseph.31" TargetMode="External"/><Relationship Id="rId4200" Type="http://schemas.openxmlformats.org/officeDocument/2006/relationships/hyperlink" Target="https://www.facebook.com/rapplerdotcom/photos/a.317154781638645/5594954703858600/" TargetMode="External"/><Relationship Id="rId580" Type="http://schemas.openxmlformats.org/officeDocument/2006/relationships/hyperlink" Target="https://www.facebook.com/rapplerdotcom/photos/a.317154781638645/5597874143566656" TargetMode="External"/><Relationship Id="rId587" Type="http://schemas.openxmlformats.org/officeDocument/2006/relationships/hyperlink" Target="https://www.facebook.com/chazper21" TargetMode="External"/><Relationship Id="rId4202" Type="http://schemas.openxmlformats.org/officeDocument/2006/relationships/hyperlink" Target="https://www.facebook.com/rapplerdotcom/photos/a.317154781638645/5594954703858600/" TargetMode="External"/><Relationship Id="rId5534" Type="http://schemas.openxmlformats.org/officeDocument/2006/relationships/hyperlink" Target="https://www.facebook.com/kimkimmy.bautista" TargetMode="External"/><Relationship Id="rId586" Type="http://schemas.openxmlformats.org/officeDocument/2006/relationships/hyperlink" Target="https://www.facebook.com/rapplerdotcom/photos/a.317154781638645/5597874143566656" TargetMode="External"/><Relationship Id="rId4201" Type="http://schemas.openxmlformats.org/officeDocument/2006/relationships/hyperlink" Target="https://www.facebook.com/profile.php?id=100009202957672" TargetMode="External"/><Relationship Id="rId5535" Type="http://schemas.openxmlformats.org/officeDocument/2006/relationships/hyperlink" Target="https://www.facebook.com/rapplerdotcom/photos/a.317154781638645/5594453700575367/" TargetMode="External"/><Relationship Id="rId585" Type="http://schemas.openxmlformats.org/officeDocument/2006/relationships/hyperlink" Target="https://www.facebook.com/alexander.calub" TargetMode="External"/><Relationship Id="rId4204" Type="http://schemas.openxmlformats.org/officeDocument/2006/relationships/hyperlink" Target="https://www.facebook.com/rapplerdotcom/photos/a.317154781638645/5594954703858600/" TargetMode="External"/><Relationship Id="rId5532" Type="http://schemas.openxmlformats.org/officeDocument/2006/relationships/hyperlink" Target="https://www.facebook.com/januario.pascua.3" TargetMode="External"/><Relationship Id="rId584" Type="http://schemas.openxmlformats.org/officeDocument/2006/relationships/hyperlink" Target="https://www.facebook.com/rapplerdotcom/photos/a.317154781638645/5597874143566656" TargetMode="External"/><Relationship Id="rId4203" Type="http://schemas.openxmlformats.org/officeDocument/2006/relationships/hyperlink" Target="https://www.facebook.com/epal.aco.56" TargetMode="External"/><Relationship Id="rId5533" Type="http://schemas.openxmlformats.org/officeDocument/2006/relationships/hyperlink" Target="https://www.facebook.com/rapplerdotcom/photos/a.317154781638645/5594453700575367/" TargetMode="External"/><Relationship Id="rId5527" Type="http://schemas.openxmlformats.org/officeDocument/2006/relationships/hyperlink" Target="https://www.facebook.com/rapplerdotcom/photos/a.317154781638645/5594453700575367/" TargetMode="External"/><Relationship Id="rId5528" Type="http://schemas.openxmlformats.org/officeDocument/2006/relationships/hyperlink" Target="https://www.facebook.com/augustinatagaste" TargetMode="External"/><Relationship Id="rId5525" Type="http://schemas.openxmlformats.org/officeDocument/2006/relationships/hyperlink" Target="https://www.facebook.com/rapplerdotcom/photos/a.317154781638645/5594453700575367/" TargetMode="External"/><Relationship Id="rId5526" Type="http://schemas.openxmlformats.org/officeDocument/2006/relationships/hyperlink" Target="https://www.facebook.com/ampleidle" TargetMode="External"/><Relationship Id="rId5529" Type="http://schemas.openxmlformats.org/officeDocument/2006/relationships/hyperlink" Target="https://www.facebook.com/rapplerdotcom/photos/a.317154781638645/5594453700575367/" TargetMode="External"/><Relationship Id="rId579" Type="http://schemas.openxmlformats.org/officeDocument/2006/relationships/hyperlink" Target="https://www.facebook.com/alexander.calub" TargetMode="External"/><Relationship Id="rId578" Type="http://schemas.openxmlformats.org/officeDocument/2006/relationships/hyperlink" Target="https://www.facebook.com/rapplerdotcom/photos/a.317154781638645/5597874143566656" TargetMode="External"/><Relationship Id="rId577" Type="http://schemas.openxmlformats.org/officeDocument/2006/relationships/hyperlink" Target="https://www.facebook.com/brrianjooseph.31" TargetMode="External"/><Relationship Id="rId572" Type="http://schemas.openxmlformats.org/officeDocument/2006/relationships/hyperlink" Target="https://www.facebook.com/rapplerdotcom/photos/a.317154781638645/5597874143566656" TargetMode="External"/><Relationship Id="rId571" Type="http://schemas.openxmlformats.org/officeDocument/2006/relationships/hyperlink" Target="https://www.facebook.com/brrianjooseph.31" TargetMode="External"/><Relationship Id="rId5520" Type="http://schemas.openxmlformats.org/officeDocument/2006/relationships/hyperlink" Target="https://www.facebook.com/agnes.sanbuenaventura.9" TargetMode="External"/><Relationship Id="rId570" Type="http://schemas.openxmlformats.org/officeDocument/2006/relationships/hyperlink" Target="https://www.facebook.com/rapplerdotcom/photos/a.317154781638645/5597874143566656" TargetMode="External"/><Relationship Id="rId576" Type="http://schemas.openxmlformats.org/officeDocument/2006/relationships/hyperlink" Target="https://www.facebook.com/rapplerdotcom/photos/a.317154781638645/5597874143566656" TargetMode="External"/><Relationship Id="rId5523" Type="http://schemas.openxmlformats.org/officeDocument/2006/relationships/hyperlink" Target="https://www.facebook.com/rapplerdotcom/photos/a.317154781638645/5594453700575367/" TargetMode="External"/><Relationship Id="rId575" Type="http://schemas.openxmlformats.org/officeDocument/2006/relationships/hyperlink" Target="https://www.facebook.com/brrianjooseph.31" TargetMode="External"/><Relationship Id="rId5524" Type="http://schemas.openxmlformats.org/officeDocument/2006/relationships/hyperlink" Target="https://www.facebook.com/jude.romero.14" TargetMode="External"/><Relationship Id="rId574" Type="http://schemas.openxmlformats.org/officeDocument/2006/relationships/hyperlink" Target="https://www.facebook.com/rapplerdotcom/photos/a.317154781638645/5597874143566656" TargetMode="External"/><Relationship Id="rId5521" Type="http://schemas.openxmlformats.org/officeDocument/2006/relationships/hyperlink" Target="https://www.facebook.com/rapplerdotcom/photos/a.317154781638645/5594453700575367/" TargetMode="External"/><Relationship Id="rId573" Type="http://schemas.openxmlformats.org/officeDocument/2006/relationships/hyperlink" Target="https://www.facebook.com/NGCD18" TargetMode="External"/><Relationship Id="rId5522" Type="http://schemas.openxmlformats.org/officeDocument/2006/relationships/hyperlink" Target="https://www.facebook.com/tessie.domingo.7" TargetMode="External"/><Relationship Id="rId4228" Type="http://schemas.openxmlformats.org/officeDocument/2006/relationships/hyperlink" Target="https://www.facebook.com/rapplerdotcom/photos/a.317154781638645/5594954703858600/" TargetMode="External"/><Relationship Id="rId4227" Type="http://schemas.openxmlformats.org/officeDocument/2006/relationships/hyperlink" Target="https://www.facebook.com/vidsdpeche" TargetMode="External"/><Relationship Id="rId5558" Type="http://schemas.openxmlformats.org/officeDocument/2006/relationships/hyperlink" Target="https://www.facebook.com/eg.forondaheydarian" TargetMode="External"/><Relationship Id="rId4229" Type="http://schemas.openxmlformats.org/officeDocument/2006/relationships/hyperlink" Target="https://www.facebook.com/amaya.sabado" TargetMode="External"/><Relationship Id="rId5559" Type="http://schemas.openxmlformats.org/officeDocument/2006/relationships/hyperlink" Target="https://www.facebook.com/rapplerdotcom/photos/a.317154781638645/5594453700575367/" TargetMode="External"/><Relationship Id="rId4220" Type="http://schemas.openxmlformats.org/officeDocument/2006/relationships/hyperlink" Target="https://www.facebook.com/rapplerdotcom/photos/a.317154781638645/5594954703858600/" TargetMode="External"/><Relationship Id="rId5552" Type="http://schemas.openxmlformats.org/officeDocument/2006/relationships/hyperlink" Target="https://www.facebook.com/zuemelville101" TargetMode="External"/><Relationship Id="rId5553" Type="http://schemas.openxmlformats.org/officeDocument/2006/relationships/hyperlink" Target="https://www.facebook.com/rapplerdotcom/photos/a.317154781638645/5594453700575367/" TargetMode="External"/><Relationship Id="rId4222" Type="http://schemas.openxmlformats.org/officeDocument/2006/relationships/hyperlink" Target="https://www.facebook.com/rapplerdotcom/photos/a.317154781638645/5594954703858600/" TargetMode="External"/><Relationship Id="rId5550" Type="http://schemas.openxmlformats.org/officeDocument/2006/relationships/hyperlink" Target="https://www.facebook.com/ester.yu.7" TargetMode="External"/><Relationship Id="rId4221" Type="http://schemas.openxmlformats.org/officeDocument/2006/relationships/hyperlink" Target="https://www.facebook.com/janice.arroyo.98837" TargetMode="External"/><Relationship Id="rId5551" Type="http://schemas.openxmlformats.org/officeDocument/2006/relationships/hyperlink" Target="https://www.facebook.com/rapplerdotcom/photos/a.317154781638645/5594453700575367/" TargetMode="External"/><Relationship Id="rId4224" Type="http://schemas.openxmlformats.org/officeDocument/2006/relationships/hyperlink" Target="https://www.facebook.com/rapplerdotcom/photos/a.317154781638645/5594954703858600/" TargetMode="External"/><Relationship Id="rId5556" Type="http://schemas.openxmlformats.org/officeDocument/2006/relationships/hyperlink" Target="https://www.facebook.com/knavejoshuamarquez" TargetMode="External"/><Relationship Id="rId4223" Type="http://schemas.openxmlformats.org/officeDocument/2006/relationships/hyperlink" Target="https://www.facebook.com/joey.abella.507" TargetMode="External"/><Relationship Id="rId5557" Type="http://schemas.openxmlformats.org/officeDocument/2006/relationships/hyperlink" Target="https://www.facebook.com/rapplerdotcom/photos/a.317154781638645/5594453700575367/" TargetMode="External"/><Relationship Id="rId4226" Type="http://schemas.openxmlformats.org/officeDocument/2006/relationships/hyperlink" Target="https://www.facebook.com/rapplerdotcom/photos/a.317154781638645/5594954703858600/" TargetMode="External"/><Relationship Id="rId5554" Type="http://schemas.openxmlformats.org/officeDocument/2006/relationships/hyperlink" Target="https://www.facebook.com/akihiro.sato.940098" TargetMode="External"/><Relationship Id="rId4225" Type="http://schemas.openxmlformats.org/officeDocument/2006/relationships/hyperlink" Target="https://www.facebook.com/leahllane.llena.9" TargetMode="External"/><Relationship Id="rId5555" Type="http://schemas.openxmlformats.org/officeDocument/2006/relationships/hyperlink" Target="https://www.facebook.com/rapplerdotcom/photos/a.317154781638645/5594453700575367/" TargetMode="External"/><Relationship Id="rId4217" Type="http://schemas.openxmlformats.org/officeDocument/2006/relationships/hyperlink" Target="https://www.facebook.com/NGCD18" TargetMode="External"/><Relationship Id="rId5549" Type="http://schemas.openxmlformats.org/officeDocument/2006/relationships/hyperlink" Target="https://www.facebook.com/rapplerdotcom/photos/a.317154781638645/5594453700575367/" TargetMode="External"/><Relationship Id="rId4216" Type="http://schemas.openxmlformats.org/officeDocument/2006/relationships/hyperlink" Target="https://www.facebook.com/rapplerdotcom/photos/a.317154781638645/5594954703858600/" TargetMode="External"/><Relationship Id="rId4219" Type="http://schemas.openxmlformats.org/officeDocument/2006/relationships/hyperlink" Target="https://www.facebook.com/recheejhon.carlos.58" TargetMode="External"/><Relationship Id="rId5547" Type="http://schemas.openxmlformats.org/officeDocument/2006/relationships/hyperlink" Target="https://www.facebook.com/rapplerdotcom/photos/a.317154781638645/5594453700575367/" TargetMode="External"/><Relationship Id="rId4218" Type="http://schemas.openxmlformats.org/officeDocument/2006/relationships/hyperlink" Target="https://www.facebook.com/rapplerdotcom/photos/a.317154781638645/5594954703858600/" TargetMode="External"/><Relationship Id="rId5548" Type="http://schemas.openxmlformats.org/officeDocument/2006/relationships/hyperlink" Target="https://www.facebook.com/gloria.buaron" TargetMode="External"/><Relationship Id="rId599" Type="http://schemas.openxmlformats.org/officeDocument/2006/relationships/hyperlink" Target="https://www.facebook.com/hidalgojohnmark99" TargetMode="External"/><Relationship Id="rId594" Type="http://schemas.openxmlformats.org/officeDocument/2006/relationships/hyperlink" Target="https://www.facebook.com/rapplerdotcom/photos/a.317154781638645/5597874143566656" TargetMode="External"/><Relationship Id="rId5541" Type="http://schemas.openxmlformats.org/officeDocument/2006/relationships/hyperlink" Target="https://www.facebook.com/rapplerdotcom/photos/a.317154781638645/5594453700575367/" TargetMode="External"/><Relationship Id="rId593" Type="http://schemas.openxmlformats.org/officeDocument/2006/relationships/hyperlink" Target="https://www.facebook.com/bella.hermohenez" TargetMode="External"/><Relationship Id="rId5542" Type="http://schemas.openxmlformats.org/officeDocument/2006/relationships/hyperlink" Target="https://www.facebook.com/profile.php?id=100013129274631" TargetMode="External"/><Relationship Id="rId592" Type="http://schemas.openxmlformats.org/officeDocument/2006/relationships/hyperlink" Target="https://www.facebook.com/rapplerdotcom/photos/a.317154781638645/5597874143566656" TargetMode="External"/><Relationship Id="rId4211" Type="http://schemas.openxmlformats.org/officeDocument/2006/relationships/hyperlink" Target="https://www.facebook.com/recheejhon.carlos.58" TargetMode="External"/><Relationship Id="rId591" Type="http://schemas.openxmlformats.org/officeDocument/2006/relationships/hyperlink" Target="https://www.facebook.com/ameliaarana12345" TargetMode="External"/><Relationship Id="rId4210" Type="http://schemas.openxmlformats.org/officeDocument/2006/relationships/hyperlink" Target="https://www.facebook.com/rapplerdotcom/photos/a.317154781638645/5594954703858600/" TargetMode="External"/><Relationship Id="rId5540" Type="http://schemas.openxmlformats.org/officeDocument/2006/relationships/hyperlink" Target="https://www.facebook.com/TheWillsanity" TargetMode="External"/><Relationship Id="rId598" Type="http://schemas.openxmlformats.org/officeDocument/2006/relationships/hyperlink" Target="https://www.facebook.com/rapplerdotcom/photos/a.317154781638645/5597874143566656" TargetMode="External"/><Relationship Id="rId4213" Type="http://schemas.openxmlformats.org/officeDocument/2006/relationships/hyperlink" Target="https://www.facebook.com/NGCD18" TargetMode="External"/><Relationship Id="rId5545" Type="http://schemas.openxmlformats.org/officeDocument/2006/relationships/hyperlink" Target="https://www.facebook.com/rapplerdotcom/photos/a.317154781638645/5594453700575367/" TargetMode="External"/><Relationship Id="rId597" Type="http://schemas.openxmlformats.org/officeDocument/2006/relationships/hyperlink" Target="https://www.facebook.com/lalalalamd" TargetMode="External"/><Relationship Id="rId4212" Type="http://schemas.openxmlformats.org/officeDocument/2006/relationships/hyperlink" Target="https://www.facebook.com/rapplerdotcom/photos/a.317154781638645/5594954703858600/" TargetMode="External"/><Relationship Id="rId5546" Type="http://schemas.openxmlformats.org/officeDocument/2006/relationships/hyperlink" Target="https://www.facebook.com/profile.php?id=100075733818877" TargetMode="External"/><Relationship Id="rId596" Type="http://schemas.openxmlformats.org/officeDocument/2006/relationships/hyperlink" Target="https://www.facebook.com/rapplerdotcom/photos/a.317154781638645/5597874143566656" TargetMode="External"/><Relationship Id="rId4215" Type="http://schemas.openxmlformats.org/officeDocument/2006/relationships/hyperlink" Target="https://www.facebook.com/recheejhon.carlos.58" TargetMode="External"/><Relationship Id="rId5543" Type="http://schemas.openxmlformats.org/officeDocument/2006/relationships/hyperlink" Target="https://www.facebook.com/rapplerdotcom/photos/a.317154781638645/5594453700575367/" TargetMode="External"/><Relationship Id="rId595" Type="http://schemas.openxmlformats.org/officeDocument/2006/relationships/hyperlink" Target="https://www.facebook.com/christine.mamaclay" TargetMode="External"/><Relationship Id="rId4214" Type="http://schemas.openxmlformats.org/officeDocument/2006/relationships/hyperlink" Target="https://www.facebook.com/rapplerdotcom/photos/a.317154781638645/5594954703858600/" TargetMode="External"/><Relationship Id="rId5544" Type="http://schemas.openxmlformats.org/officeDocument/2006/relationships/hyperlink" Target="https://www.facebook.com/austinmarkmccree" TargetMode="External"/><Relationship Id="rId547" Type="http://schemas.openxmlformats.org/officeDocument/2006/relationships/hyperlink" Target="https://www.facebook.com/violeta.bodino" TargetMode="External"/><Relationship Id="rId546" Type="http://schemas.openxmlformats.org/officeDocument/2006/relationships/hyperlink" Target="https://www.facebook.com/rapplerdotcom/photos/a.317154781638645/5597874143566656" TargetMode="External"/><Relationship Id="rId545" Type="http://schemas.openxmlformats.org/officeDocument/2006/relationships/hyperlink" Target="https://www.facebook.com/profile.php?id=100009126387339" TargetMode="External"/><Relationship Id="rId544" Type="http://schemas.openxmlformats.org/officeDocument/2006/relationships/hyperlink" Target="https://www.facebook.com/rapplerdotcom/posts/pfbid09g5z1dR1p1muQ7q8d5o5ZrTJHCJBBtaAmV4kfjMWLeh83aGMXmHFcW9md81azR4al" TargetMode="External"/><Relationship Id="rId549" Type="http://schemas.openxmlformats.org/officeDocument/2006/relationships/hyperlink" Target="https://www.facebook.com/ken.chiz.393" TargetMode="External"/><Relationship Id="rId548" Type="http://schemas.openxmlformats.org/officeDocument/2006/relationships/hyperlink" Target="https://www.facebook.com/rapplerdotcom/photos/a.317154781638645/5597874143566656" TargetMode="External"/><Relationship Id="rId543" Type="http://schemas.openxmlformats.org/officeDocument/2006/relationships/hyperlink" Target="https://www.facebook.com/rapplerdotcom/photos/a.317154781638645/5598220220198715/" TargetMode="External"/><Relationship Id="rId542" Type="http://schemas.openxmlformats.org/officeDocument/2006/relationships/hyperlink" Target="https://www.facebook.com/paulpatrick.sapaden" TargetMode="External"/><Relationship Id="rId541" Type="http://schemas.openxmlformats.org/officeDocument/2006/relationships/hyperlink" Target="https://www.facebook.com/rapplerdotcom/photos/a.317154781638645/5598220220198715/" TargetMode="External"/><Relationship Id="rId540" Type="http://schemas.openxmlformats.org/officeDocument/2006/relationships/hyperlink" Target="https://www.facebook.com/pipip.tan" TargetMode="External"/><Relationship Id="rId536" Type="http://schemas.openxmlformats.org/officeDocument/2006/relationships/hyperlink" Target="https://www.facebook.com/PresLeni" TargetMode="External"/><Relationship Id="rId535" Type="http://schemas.openxmlformats.org/officeDocument/2006/relationships/hyperlink" Target="https://www.facebook.com/rapplerdotcom/photos/a.317154781638645/5598220220198715/" TargetMode="External"/><Relationship Id="rId534" Type="http://schemas.openxmlformats.org/officeDocument/2006/relationships/hyperlink" Target="https://www.facebook.com/profile.php?id=100075736004218" TargetMode="External"/><Relationship Id="rId533" Type="http://schemas.openxmlformats.org/officeDocument/2006/relationships/hyperlink" Target="https://www.facebook.com/rapplerdotcom/photos/a.317154781638645/5598220220198715/" TargetMode="External"/><Relationship Id="rId539" Type="http://schemas.openxmlformats.org/officeDocument/2006/relationships/hyperlink" Target="https://www.facebook.com/rapplerdotcom/photos/a.317154781638645/5598220220198715/" TargetMode="External"/><Relationship Id="rId538" Type="http://schemas.openxmlformats.org/officeDocument/2006/relationships/hyperlink" Target="https://www.facebook.com/aldoranada2012" TargetMode="External"/><Relationship Id="rId537" Type="http://schemas.openxmlformats.org/officeDocument/2006/relationships/hyperlink" Target="https://www.facebook.com/rapplerdotcom/photos/a.317154781638645/5598220220198715/" TargetMode="External"/><Relationship Id="rId532" Type="http://schemas.openxmlformats.org/officeDocument/2006/relationships/hyperlink" Target="https://www.facebook.com/antonio.amparado.52" TargetMode="External"/><Relationship Id="rId531" Type="http://schemas.openxmlformats.org/officeDocument/2006/relationships/hyperlink" Target="https://www.facebook.com/rapplerdotcom/photos/a.317154781638645/5598220220198715/" TargetMode="External"/><Relationship Id="rId530" Type="http://schemas.openxmlformats.org/officeDocument/2006/relationships/hyperlink" Target="https://www.facebook.com/pacita.comprado.3" TargetMode="External"/><Relationship Id="rId5516" Type="http://schemas.openxmlformats.org/officeDocument/2006/relationships/hyperlink" Target="https://www.facebook.com/sunsengnimkarina" TargetMode="External"/><Relationship Id="rId5517" Type="http://schemas.openxmlformats.org/officeDocument/2006/relationships/hyperlink" Target="https://www.facebook.com/rapplerdotcom/photos/a.317154781638645/5594453700575367/" TargetMode="External"/><Relationship Id="rId5514" Type="http://schemas.openxmlformats.org/officeDocument/2006/relationships/hyperlink" Target="https://www.facebook.com/melinda.santelices" TargetMode="External"/><Relationship Id="rId5515" Type="http://schemas.openxmlformats.org/officeDocument/2006/relationships/hyperlink" Target="https://www.facebook.com/rapplerdotcom/photos/a.317154781638645/5594453700575367/" TargetMode="External"/><Relationship Id="rId5518" Type="http://schemas.openxmlformats.org/officeDocument/2006/relationships/hyperlink" Target="https://www.facebook.com/agnes.sanbuenaventura.9" TargetMode="External"/><Relationship Id="rId5519" Type="http://schemas.openxmlformats.org/officeDocument/2006/relationships/hyperlink" Target="https://www.facebook.com/rapplerdotcom/photos/a.317154781638645/5594453700575367/" TargetMode="External"/><Relationship Id="rId569" Type="http://schemas.openxmlformats.org/officeDocument/2006/relationships/hyperlink" Target="https://www.facebook.com/alvin.echague.1" TargetMode="External"/><Relationship Id="rId568" Type="http://schemas.openxmlformats.org/officeDocument/2006/relationships/hyperlink" Target="https://www.facebook.com/rapplerdotcom/photos/a.317154781638645/5597874143566656" TargetMode="External"/><Relationship Id="rId567" Type="http://schemas.openxmlformats.org/officeDocument/2006/relationships/hyperlink" Target="https://www.facebook.com/ino.reyes.1441" TargetMode="External"/><Relationship Id="rId566" Type="http://schemas.openxmlformats.org/officeDocument/2006/relationships/hyperlink" Target="https://www.facebook.com/rapplerdotcom/photos/a.317154781638645/5597874143566656" TargetMode="External"/><Relationship Id="rId561" Type="http://schemas.openxmlformats.org/officeDocument/2006/relationships/hyperlink" Target="https://www.facebook.com/nedned.anobla" TargetMode="External"/><Relationship Id="rId560" Type="http://schemas.openxmlformats.org/officeDocument/2006/relationships/hyperlink" Target="https://www.facebook.com/rapplerdotcom/photos/a.317154781638645/5597874143566656" TargetMode="External"/><Relationship Id="rId565" Type="http://schemas.openxmlformats.org/officeDocument/2006/relationships/hyperlink" Target="https://www.facebook.com/erwina.bautista.1" TargetMode="External"/><Relationship Id="rId5512" Type="http://schemas.openxmlformats.org/officeDocument/2006/relationships/hyperlink" Target="https://www.facebook.com/ampleidle" TargetMode="External"/><Relationship Id="rId564" Type="http://schemas.openxmlformats.org/officeDocument/2006/relationships/hyperlink" Target="https://www.facebook.com/rapplerdotcom/photos/a.317154781638645/5597874143566656" TargetMode="External"/><Relationship Id="rId5513" Type="http://schemas.openxmlformats.org/officeDocument/2006/relationships/hyperlink" Target="https://www.facebook.com/rapplerdotcom/photos/a.317154781638645/5594453700575367/" TargetMode="External"/><Relationship Id="rId563" Type="http://schemas.openxmlformats.org/officeDocument/2006/relationships/hyperlink" Target="https://www.facebook.com/profile.php?id=100079289963212" TargetMode="External"/><Relationship Id="rId5510" Type="http://schemas.openxmlformats.org/officeDocument/2006/relationships/hyperlink" Target="https://www.facebook.com/celeste.dietert" TargetMode="External"/><Relationship Id="rId562" Type="http://schemas.openxmlformats.org/officeDocument/2006/relationships/hyperlink" Target="https://www.facebook.com/rapplerdotcom/photos/a.317154781638645/5597874143566656" TargetMode="External"/><Relationship Id="rId5511" Type="http://schemas.openxmlformats.org/officeDocument/2006/relationships/hyperlink" Target="https://www.facebook.com/rapplerdotcom/photos/a.317154781638645/5594453700575367/" TargetMode="External"/><Relationship Id="rId5505" Type="http://schemas.openxmlformats.org/officeDocument/2006/relationships/hyperlink" Target="https://www.facebook.com/rapplerdotcom/photos/a.317154781638645/5594453700575367/" TargetMode="External"/><Relationship Id="rId5506" Type="http://schemas.openxmlformats.org/officeDocument/2006/relationships/hyperlink" Target="https://www.facebook.com/narciso.corvera.549" TargetMode="External"/><Relationship Id="rId5503" Type="http://schemas.openxmlformats.org/officeDocument/2006/relationships/hyperlink" Target="https://www.facebook.com/rapplerdotcom/photos/a.317154781638645/5594453700575367/" TargetMode="External"/><Relationship Id="rId5504" Type="http://schemas.openxmlformats.org/officeDocument/2006/relationships/hyperlink" Target="https://www.facebook.com/profile.php?id=100075733818877" TargetMode="External"/><Relationship Id="rId5509" Type="http://schemas.openxmlformats.org/officeDocument/2006/relationships/hyperlink" Target="https://www.facebook.com/rapplerdotcom/photos/a.317154781638645/5594453700575367/" TargetMode="External"/><Relationship Id="rId5507" Type="http://schemas.openxmlformats.org/officeDocument/2006/relationships/hyperlink" Target="https://www.facebook.com/rapplerdotcom/photos/a.317154781638645/5594453700575367/" TargetMode="External"/><Relationship Id="rId5508" Type="http://schemas.openxmlformats.org/officeDocument/2006/relationships/hyperlink" Target="https://www.facebook.com/joshuadolor" TargetMode="External"/><Relationship Id="rId558" Type="http://schemas.openxmlformats.org/officeDocument/2006/relationships/hyperlink" Target="https://www.facebook.com/rapplerdotcom/photos/a.317154781638645/5597874143566656" TargetMode="External"/><Relationship Id="rId557" Type="http://schemas.openxmlformats.org/officeDocument/2006/relationships/hyperlink" Target="https://www.facebook.com/jacqueline.reynado" TargetMode="External"/><Relationship Id="rId556" Type="http://schemas.openxmlformats.org/officeDocument/2006/relationships/hyperlink" Target="https://www.facebook.com/rapplerdotcom/photos/a.317154781638645/5597874143566656" TargetMode="External"/><Relationship Id="rId555" Type="http://schemas.openxmlformats.org/officeDocument/2006/relationships/hyperlink" Target="https://www.facebook.com/jace.susara" TargetMode="External"/><Relationship Id="rId559" Type="http://schemas.openxmlformats.org/officeDocument/2006/relationships/hyperlink" Target="https://www.facebook.com/florentino.quimbo" TargetMode="External"/><Relationship Id="rId550" Type="http://schemas.openxmlformats.org/officeDocument/2006/relationships/hyperlink" Target="https://www.facebook.com/rapplerdotcom/photos/a.317154781638645/5597874143566656" TargetMode="External"/><Relationship Id="rId554" Type="http://schemas.openxmlformats.org/officeDocument/2006/relationships/hyperlink" Target="https://www.facebook.com/rapplerdotcom/photos/a.317154781638645/5597874143566656" TargetMode="External"/><Relationship Id="rId5501" Type="http://schemas.openxmlformats.org/officeDocument/2006/relationships/hyperlink" Target="https://www.facebook.com/rapplerdotcom/photos/a.317154781638645/5594453700575367/" TargetMode="External"/><Relationship Id="rId553" Type="http://schemas.openxmlformats.org/officeDocument/2006/relationships/hyperlink" Target="https://www.facebook.com/jacqueline.reynado" TargetMode="External"/><Relationship Id="rId5502" Type="http://schemas.openxmlformats.org/officeDocument/2006/relationships/hyperlink" Target="https://www.facebook.com/boyiya.david" TargetMode="External"/><Relationship Id="rId552" Type="http://schemas.openxmlformats.org/officeDocument/2006/relationships/hyperlink" Target="https://www.facebook.com/rapplerdotcom/photos/a.317154781638645/5597874143566656" TargetMode="External"/><Relationship Id="rId551" Type="http://schemas.openxmlformats.org/officeDocument/2006/relationships/hyperlink" Target="https://www.facebook.com/ness.lansang.1" TargetMode="External"/><Relationship Id="rId5500" Type="http://schemas.openxmlformats.org/officeDocument/2006/relationships/hyperlink" Target="https://www.facebook.com/bren.bernales" TargetMode="External"/><Relationship Id="rId4280" Type="http://schemas.openxmlformats.org/officeDocument/2006/relationships/hyperlink" Target="https://www.facebook.com/ronald.lojares" TargetMode="External"/><Relationship Id="rId4282" Type="http://schemas.openxmlformats.org/officeDocument/2006/relationships/hyperlink" Target="https://www.facebook.com/ronald.lojares" TargetMode="External"/><Relationship Id="rId4281" Type="http://schemas.openxmlformats.org/officeDocument/2006/relationships/hyperlink" Target="https://www.facebook.com/rapplerdotcom/photos/a.317154781638645/5594954703858600/" TargetMode="External"/><Relationship Id="rId4284" Type="http://schemas.openxmlformats.org/officeDocument/2006/relationships/hyperlink" Target="https://www.facebook.com/terry.galanza" TargetMode="External"/><Relationship Id="rId4283" Type="http://schemas.openxmlformats.org/officeDocument/2006/relationships/hyperlink" Target="https://www.facebook.com/rapplerdotcom/photos/a.317154781638645/5594954703858600/" TargetMode="External"/><Relationship Id="rId4286" Type="http://schemas.openxmlformats.org/officeDocument/2006/relationships/hyperlink" Target="https://www.facebook.com/drixsaydie" TargetMode="External"/><Relationship Id="rId4285" Type="http://schemas.openxmlformats.org/officeDocument/2006/relationships/hyperlink" Target="https://www.facebook.com/rapplerdotcom/photos/a.317154781638645/5594954703858600/" TargetMode="External"/><Relationship Id="rId4288" Type="http://schemas.openxmlformats.org/officeDocument/2006/relationships/hyperlink" Target="https://www.facebook.com/armin.manalastas" TargetMode="External"/><Relationship Id="rId4287" Type="http://schemas.openxmlformats.org/officeDocument/2006/relationships/hyperlink" Target="https://www.facebook.com/rapplerdotcom/photos/a.317154781638645/5594954703858600/" TargetMode="External"/><Relationship Id="rId4289" Type="http://schemas.openxmlformats.org/officeDocument/2006/relationships/hyperlink" Target="https://www.facebook.com/rapplerdotcom/photos/a.317154781638645/5594954703858600/" TargetMode="External"/><Relationship Id="rId4271" Type="http://schemas.openxmlformats.org/officeDocument/2006/relationships/hyperlink" Target="https://www.facebook.com/rapplerdotcom/photos/a.317154781638645/5594954703858600/" TargetMode="External"/><Relationship Id="rId4270" Type="http://schemas.openxmlformats.org/officeDocument/2006/relationships/hyperlink" Target="https://www.facebook.com/epal.aco.56" TargetMode="External"/><Relationship Id="rId4273" Type="http://schemas.openxmlformats.org/officeDocument/2006/relationships/hyperlink" Target="https://www.facebook.com/rapplerdotcom/photos/a.317154781638645/5594954703858600/" TargetMode="External"/><Relationship Id="rId4272" Type="http://schemas.openxmlformats.org/officeDocument/2006/relationships/hyperlink" Target="https://www.facebook.com/rome18erlano" TargetMode="External"/><Relationship Id="rId4275" Type="http://schemas.openxmlformats.org/officeDocument/2006/relationships/hyperlink" Target="https://www.facebook.com/rapplerdotcom/photos/a.317154781638645/5594954703858600/" TargetMode="External"/><Relationship Id="rId4274" Type="http://schemas.openxmlformats.org/officeDocument/2006/relationships/hyperlink" Target="https://www.facebook.com/frechy.ebas" TargetMode="External"/><Relationship Id="rId4277" Type="http://schemas.openxmlformats.org/officeDocument/2006/relationships/hyperlink" Target="https://www.facebook.com/rapplerdotcom/photos/a.317154781638645/5594954703858600/" TargetMode="External"/><Relationship Id="rId4276" Type="http://schemas.openxmlformats.org/officeDocument/2006/relationships/hyperlink" Target="https://www.facebook.com/nongbi" TargetMode="External"/><Relationship Id="rId4279" Type="http://schemas.openxmlformats.org/officeDocument/2006/relationships/hyperlink" Target="https://www.facebook.com/rapplerdotcom/photos/a.317154781638645/5594954703858600/" TargetMode="External"/><Relationship Id="rId4278" Type="http://schemas.openxmlformats.org/officeDocument/2006/relationships/hyperlink" Target="https://www.facebook.com/cayetano.cabello.3" TargetMode="External"/><Relationship Id="rId4291" Type="http://schemas.openxmlformats.org/officeDocument/2006/relationships/hyperlink" Target="https://www.facebook.com/rapplerdotcom/photos/a.317154781638645/5594954703858600/" TargetMode="External"/><Relationship Id="rId4290" Type="http://schemas.openxmlformats.org/officeDocument/2006/relationships/hyperlink" Target="https://www.facebook.com/joey.abella.507" TargetMode="External"/><Relationship Id="rId4293" Type="http://schemas.openxmlformats.org/officeDocument/2006/relationships/hyperlink" Target="https://www.facebook.com/rapplerdotcom/photos/a.317154781638645/5594954703858600/" TargetMode="External"/><Relationship Id="rId4292" Type="http://schemas.openxmlformats.org/officeDocument/2006/relationships/hyperlink" Target="https://www.facebook.com/drixsaydie" TargetMode="External"/><Relationship Id="rId4295" Type="http://schemas.openxmlformats.org/officeDocument/2006/relationships/hyperlink" Target="https://www.facebook.com/rapplerdotcom/photos/a.317154781638645/5594954703858600/" TargetMode="External"/><Relationship Id="rId4294" Type="http://schemas.openxmlformats.org/officeDocument/2006/relationships/hyperlink" Target="https://www.facebook.com/profile.php?id=100005805521954" TargetMode="External"/><Relationship Id="rId4297" Type="http://schemas.openxmlformats.org/officeDocument/2006/relationships/hyperlink" Target="https://www.facebook.com/rapplerdotcom/photos/a.317154781638645/5594954703858600/" TargetMode="External"/><Relationship Id="rId4296" Type="http://schemas.openxmlformats.org/officeDocument/2006/relationships/hyperlink" Target="https://www.facebook.com/bownie.abagatan" TargetMode="External"/><Relationship Id="rId4299" Type="http://schemas.openxmlformats.org/officeDocument/2006/relationships/hyperlink" Target="https://www.facebook.com/rapplerdotcom/photos/a.317154781638645/5594954703858600/" TargetMode="External"/><Relationship Id="rId4298" Type="http://schemas.openxmlformats.org/officeDocument/2006/relationships/hyperlink" Target="https://www.facebook.com/marvin.noche.1" TargetMode="External"/><Relationship Id="rId4249" Type="http://schemas.openxmlformats.org/officeDocument/2006/relationships/hyperlink" Target="https://www.facebook.com/rapplerdotcom/photos/a.317154781638645/5594954703858600/" TargetMode="External"/><Relationship Id="rId5570" Type="http://schemas.openxmlformats.org/officeDocument/2006/relationships/hyperlink" Target="https://www.facebook.com/czairr" TargetMode="External"/><Relationship Id="rId5571" Type="http://schemas.openxmlformats.org/officeDocument/2006/relationships/hyperlink" Target="https://www.facebook.com/rapplerdotcom/photos/a.317154781638645/5594453700575367/" TargetMode="External"/><Relationship Id="rId4240" Type="http://schemas.openxmlformats.org/officeDocument/2006/relationships/hyperlink" Target="https://www.facebook.com/epal.aco.56" TargetMode="External"/><Relationship Id="rId4242" Type="http://schemas.openxmlformats.org/officeDocument/2006/relationships/hyperlink" Target="https://www.facebook.com/epal.aco.56" TargetMode="External"/><Relationship Id="rId5574" Type="http://schemas.openxmlformats.org/officeDocument/2006/relationships/hyperlink" Target="https://www.facebook.com/carlos.alivio.5" TargetMode="External"/><Relationship Id="rId4241" Type="http://schemas.openxmlformats.org/officeDocument/2006/relationships/hyperlink" Target="https://www.facebook.com/rapplerdotcom/photos/a.317154781638645/5594954703858600/" TargetMode="External"/><Relationship Id="rId5575" Type="http://schemas.openxmlformats.org/officeDocument/2006/relationships/hyperlink" Target="https://www.facebook.com/rapplerdotcom/photos/a.317154781638645/5594453700575367/" TargetMode="External"/><Relationship Id="rId4244" Type="http://schemas.openxmlformats.org/officeDocument/2006/relationships/hyperlink" Target="https://www.facebook.com/loreta.ardaban.3" TargetMode="External"/><Relationship Id="rId5572" Type="http://schemas.openxmlformats.org/officeDocument/2006/relationships/hyperlink" Target="https://www.facebook.com/mar.briones.10" TargetMode="External"/><Relationship Id="rId4243" Type="http://schemas.openxmlformats.org/officeDocument/2006/relationships/hyperlink" Target="https://www.facebook.com/rapplerdotcom/photos/a.317154781638645/5594954703858600/" TargetMode="External"/><Relationship Id="rId5573" Type="http://schemas.openxmlformats.org/officeDocument/2006/relationships/hyperlink" Target="https://www.facebook.com/rapplerdotcom/photos/a.317154781638645/5594453700575367/" TargetMode="External"/><Relationship Id="rId4246" Type="http://schemas.openxmlformats.org/officeDocument/2006/relationships/hyperlink" Target="https://www.facebook.com/loreta.ardaban.3" TargetMode="External"/><Relationship Id="rId5578" Type="http://schemas.openxmlformats.org/officeDocument/2006/relationships/hyperlink" Target="https://www.facebook.com/joshuadolor" TargetMode="External"/><Relationship Id="rId4245" Type="http://schemas.openxmlformats.org/officeDocument/2006/relationships/hyperlink" Target="https://www.facebook.com/rapplerdotcom/photos/a.317154781638645/5594954703858600/" TargetMode="External"/><Relationship Id="rId5579" Type="http://schemas.openxmlformats.org/officeDocument/2006/relationships/hyperlink" Target="https://www.facebook.com/rapplerdotcom/photos/a.317154781638645/5594453700575367/" TargetMode="External"/><Relationship Id="rId4248" Type="http://schemas.openxmlformats.org/officeDocument/2006/relationships/hyperlink" Target="https://www.facebook.com/divina.chicano" TargetMode="External"/><Relationship Id="rId5576" Type="http://schemas.openxmlformats.org/officeDocument/2006/relationships/hyperlink" Target="https://www.facebook.com/markjoseph.vercial" TargetMode="External"/><Relationship Id="rId4247" Type="http://schemas.openxmlformats.org/officeDocument/2006/relationships/hyperlink" Target="https://www.facebook.com/rapplerdotcom/photos/a.317154781638645/5594954703858600/" TargetMode="External"/><Relationship Id="rId5577" Type="http://schemas.openxmlformats.org/officeDocument/2006/relationships/hyperlink" Target="https://www.facebook.com/rapplerdotcom/photos/a.317154781638645/5594453700575367/" TargetMode="External"/><Relationship Id="rId4239" Type="http://schemas.openxmlformats.org/officeDocument/2006/relationships/hyperlink" Target="https://www.facebook.com/rapplerdotcom/photos/a.317154781638645/5594954703858600/" TargetMode="External"/><Relationship Id="rId4238" Type="http://schemas.openxmlformats.org/officeDocument/2006/relationships/hyperlink" Target="https://www.facebook.com/CornerPrinter.ph" TargetMode="External"/><Relationship Id="rId5569" Type="http://schemas.openxmlformats.org/officeDocument/2006/relationships/hyperlink" Target="https://www.facebook.com/rapplerdotcom/photos/a.317154781638645/5594453700575367/" TargetMode="External"/><Relationship Id="rId5560" Type="http://schemas.openxmlformats.org/officeDocument/2006/relationships/hyperlink" Target="https://www.facebook.com/bonny.dimayuga" TargetMode="External"/><Relationship Id="rId495" Type="http://schemas.openxmlformats.org/officeDocument/2006/relationships/hyperlink" Target="https://www.facebook.com/rapplerdotcom/photos/a.317154781638645/5598220220198715/" TargetMode="External"/><Relationship Id="rId4231" Type="http://schemas.openxmlformats.org/officeDocument/2006/relationships/hyperlink" Target="https://www.facebook.com/yenflorida" TargetMode="External"/><Relationship Id="rId5563" Type="http://schemas.openxmlformats.org/officeDocument/2006/relationships/hyperlink" Target="https://www.facebook.com/rapplerdotcom/photos/a.317154781638645/5594453700575367/" TargetMode="External"/><Relationship Id="rId494" Type="http://schemas.openxmlformats.org/officeDocument/2006/relationships/hyperlink" Target="https://www.facebook.com/federico.condesa" TargetMode="External"/><Relationship Id="rId4230" Type="http://schemas.openxmlformats.org/officeDocument/2006/relationships/hyperlink" Target="https://www.facebook.com/rapplerdotcom/photos/a.317154781638645/5594954703858600/" TargetMode="External"/><Relationship Id="rId5564" Type="http://schemas.openxmlformats.org/officeDocument/2006/relationships/hyperlink" Target="https://www.facebook.com/jessie.villagracia.37" TargetMode="External"/><Relationship Id="rId493" Type="http://schemas.openxmlformats.org/officeDocument/2006/relationships/hyperlink" Target="https://www.facebook.com/rapplerdotcom/photos/a.317154781638645/5598220220198715/" TargetMode="External"/><Relationship Id="rId4233" Type="http://schemas.openxmlformats.org/officeDocument/2006/relationships/hyperlink" Target="https://www.facebook.com/rapplerdotcom/photos/a.317154781638645/5594954703858600/" TargetMode="External"/><Relationship Id="rId5561" Type="http://schemas.openxmlformats.org/officeDocument/2006/relationships/hyperlink" Target="https://www.facebook.com/rapplerdotcom/photos/a.317154781638645/5594453700575367/" TargetMode="External"/><Relationship Id="rId492" Type="http://schemas.openxmlformats.org/officeDocument/2006/relationships/hyperlink" Target="https://www.facebook.com/veronica.o.hadi" TargetMode="External"/><Relationship Id="rId4232" Type="http://schemas.openxmlformats.org/officeDocument/2006/relationships/hyperlink" Target="https://dilg.gov.ph/news/DILG-P3455-B-or-85-percent-Yolanda-funds-liquidated/NC-2019-1169" TargetMode="External"/><Relationship Id="rId5562" Type="http://schemas.openxmlformats.org/officeDocument/2006/relationships/hyperlink" Target="https://www.facebook.com/profile.php?id=100010227300304" TargetMode="External"/><Relationship Id="rId499" Type="http://schemas.openxmlformats.org/officeDocument/2006/relationships/hyperlink" Target="https://www.facebook.com/rapplerdotcom/photos/a.317154781638645/5598220220198715/" TargetMode="External"/><Relationship Id="rId4235" Type="http://schemas.openxmlformats.org/officeDocument/2006/relationships/hyperlink" Target="https://www.facebook.com/rapplerdotcom/photos/a.317154781638645/5594954703858600/" TargetMode="External"/><Relationship Id="rId5567" Type="http://schemas.openxmlformats.org/officeDocument/2006/relationships/hyperlink" Target="https://www.facebook.com/rapplerdotcom/photos/a.317154781638645/5594453700575367/" TargetMode="External"/><Relationship Id="rId498" Type="http://schemas.openxmlformats.org/officeDocument/2006/relationships/hyperlink" Target="https://www.facebook.com/hotaru.izanami" TargetMode="External"/><Relationship Id="rId4234" Type="http://schemas.openxmlformats.org/officeDocument/2006/relationships/hyperlink" Target="https://www.facebook.com/marianne.bautista.543" TargetMode="External"/><Relationship Id="rId5568" Type="http://schemas.openxmlformats.org/officeDocument/2006/relationships/hyperlink" Target="https://www.facebook.com/profile.php?id=100079722041118" TargetMode="External"/><Relationship Id="rId497" Type="http://schemas.openxmlformats.org/officeDocument/2006/relationships/hyperlink" Target="https://www.facebook.com/rapplerdotcom/photos/a.317154781638645/5598220220198715/" TargetMode="External"/><Relationship Id="rId4237" Type="http://schemas.openxmlformats.org/officeDocument/2006/relationships/hyperlink" Target="https://www.facebook.com/rapplerdotcom/photos/a.317154781638645/5594954703858600/" TargetMode="External"/><Relationship Id="rId5565" Type="http://schemas.openxmlformats.org/officeDocument/2006/relationships/hyperlink" Target="https://www.facebook.com/rapplerdotcom/photos/a.317154781638645/5594453700575367/" TargetMode="External"/><Relationship Id="rId496" Type="http://schemas.openxmlformats.org/officeDocument/2006/relationships/hyperlink" Target="https://www.facebook.com/eugarnlise.garcia27" TargetMode="External"/><Relationship Id="rId4236" Type="http://schemas.openxmlformats.org/officeDocument/2006/relationships/hyperlink" Target="https://www.facebook.com/honivmonts" TargetMode="External"/><Relationship Id="rId5566" Type="http://schemas.openxmlformats.org/officeDocument/2006/relationships/hyperlink" Target="https://www.facebook.com/agnes.sanbuenaventura.9" TargetMode="External"/><Relationship Id="rId4260" Type="http://schemas.openxmlformats.org/officeDocument/2006/relationships/hyperlink" Target="https://www.facebook.com/divina.chicano" TargetMode="External"/><Relationship Id="rId5592" Type="http://schemas.openxmlformats.org/officeDocument/2006/relationships/hyperlink" Target="https://www.facebook.com/carmi.paulino1" TargetMode="External"/><Relationship Id="rId5593" Type="http://schemas.openxmlformats.org/officeDocument/2006/relationships/hyperlink" Target="https://www.facebook.com/rapplerdotcom/photos/a.317154781638645/5594453700575367/" TargetMode="External"/><Relationship Id="rId4262" Type="http://schemas.openxmlformats.org/officeDocument/2006/relationships/hyperlink" Target="https://www.facebook.com/ping.deluna.50" TargetMode="External"/><Relationship Id="rId5590" Type="http://schemas.openxmlformats.org/officeDocument/2006/relationships/hyperlink" Target="https://www.facebook.com/rudysalazar61" TargetMode="External"/><Relationship Id="rId4261" Type="http://schemas.openxmlformats.org/officeDocument/2006/relationships/hyperlink" Target="https://www.facebook.com/rapplerdotcom/photos/a.317154781638645/5594954703858600/" TargetMode="External"/><Relationship Id="rId5591" Type="http://schemas.openxmlformats.org/officeDocument/2006/relationships/hyperlink" Target="https://www.facebook.com/rapplerdotcom/photos/a.317154781638645/5594453700575367/" TargetMode="External"/><Relationship Id="rId4264" Type="http://schemas.openxmlformats.org/officeDocument/2006/relationships/hyperlink" Target="https://www.facebook.com/CornerPrinter.ph" TargetMode="External"/><Relationship Id="rId5596" Type="http://schemas.openxmlformats.org/officeDocument/2006/relationships/hyperlink" Target="https://www.facebook.com/carmi.paulino1" TargetMode="External"/><Relationship Id="rId4263" Type="http://schemas.openxmlformats.org/officeDocument/2006/relationships/hyperlink" Target="https://www.facebook.com/rapplerdotcom/photos/a.317154781638645/5594954703858600/" TargetMode="External"/><Relationship Id="rId5597" Type="http://schemas.openxmlformats.org/officeDocument/2006/relationships/hyperlink" Target="https://www.facebook.com/rapplerdotcom/photos/a.317154781638645/5594453700575367/" TargetMode="External"/><Relationship Id="rId4266" Type="http://schemas.openxmlformats.org/officeDocument/2006/relationships/hyperlink" Target="https://www.facebook.com/cayetano.cabello.3" TargetMode="External"/><Relationship Id="rId5594" Type="http://schemas.openxmlformats.org/officeDocument/2006/relationships/hyperlink" Target="https://www.facebook.com/lorenzo.rianzares.7" TargetMode="External"/><Relationship Id="rId4265" Type="http://schemas.openxmlformats.org/officeDocument/2006/relationships/hyperlink" Target="https://www.facebook.com/rapplerdotcom/photos/a.317154781638645/5594954703858600/" TargetMode="External"/><Relationship Id="rId5595" Type="http://schemas.openxmlformats.org/officeDocument/2006/relationships/hyperlink" Target="https://www.facebook.com/rapplerdotcom/photos/a.317154781638645/5594453700575367/" TargetMode="External"/><Relationship Id="rId4268" Type="http://schemas.openxmlformats.org/officeDocument/2006/relationships/hyperlink" Target="https://www.facebook.com/razelett.sape" TargetMode="External"/><Relationship Id="rId4267" Type="http://schemas.openxmlformats.org/officeDocument/2006/relationships/hyperlink" Target="https://www.facebook.com/rapplerdotcom/photos/a.317154781638645/5594954703858600/" TargetMode="External"/><Relationship Id="rId5598" Type="http://schemas.openxmlformats.org/officeDocument/2006/relationships/hyperlink" Target="https://www.facebook.com/lorenzo.rianzares.7" TargetMode="External"/><Relationship Id="rId4269" Type="http://schemas.openxmlformats.org/officeDocument/2006/relationships/hyperlink" Target="https://www.facebook.com/rapplerdotcom/photos/a.317154781638645/5594954703858600/" TargetMode="External"/><Relationship Id="rId5599" Type="http://schemas.openxmlformats.org/officeDocument/2006/relationships/hyperlink" Target="https://www.facebook.com/rapplerdotcom/photos/a.317154781638645/5594453700575367/" TargetMode="External"/><Relationship Id="rId5581" Type="http://schemas.openxmlformats.org/officeDocument/2006/relationships/hyperlink" Target="https://www.facebook.com/rapplerdotcom/photos/a.317154781638645/5594453700575367/" TargetMode="External"/><Relationship Id="rId5582" Type="http://schemas.openxmlformats.org/officeDocument/2006/relationships/hyperlink" Target="https://www.facebook.com/joshuadolor" TargetMode="External"/><Relationship Id="rId4251" Type="http://schemas.openxmlformats.org/officeDocument/2006/relationships/hyperlink" Target="https://www.facebook.com/rapplerdotcom/photos/a.317154781638645/5594954703858600/" TargetMode="External"/><Relationship Id="rId4250" Type="http://schemas.openxmlformats.org/officeDocument/2006/relationships/hyperlink" Target="https://www.facebook.com/danilo.lansani.5" TargetMode="External"/><Relationship Id="rId5580" Type="http://schemas.openxmlformats.org/officeDocument/2006/relationships/hyperlink" Target="https://www.facebook.com/carlos.alivio.5" TargetMode="External"/><Relationship Id="rId4253" Type="http://schemas.openxmlformats.org/officeDocument/2006/relationships/hyperlink" Target="https://www.facebook.com/rapplerdotcom/photos/a.317154781638645/5594954703858600/" TargetMode="External"/><Relationship Id="rId5585" Type="http://schemas.openxmlformats.org/officeDocument/2006/relationships/hyperlink" Target="https://www.facebook.com/rapplerdotcom/photos/a.317154781638645/5594453700575367/" TargetMode="External"/><Relationship Id="rId4252" Type="http://schemas.openxmlformats.org/officeDocument/2006/relationships/hyperlink" Target="https://www.facebook.com/drixsaydie" TargetMode="External"/><Relationship Id="rId5586" Type="http://schemas.openxmlformats.org/officeDocument/2006/relationships/hyperlink" Target="https://www.facebook.com/profile.php?id=100008642138032" TargetMode="External"/><Relationship Id="rId4255" Type="http://schemas.openxmlformats.org/officeDocument/2006/relationships/hyperlink" Target="https://www.facebook.com/rapplerdotcom/photos/a.317154781638645/5594954703858600/" TargetMode="External"/><Relationship Id="rId5583" Type="http://schemas.openxmlformats.org/officeDocument/2006/relationships/hyperlink" Target="https://www.facebook.com/rapplerdotcom/photos/a.317154781638645/5594453700575367/" TargetMode="External"/><Relationship Id="rId4254" Type="http://schemas.openxmlformats.org/officeDocument/2006/relationships/hyperlink" Target="https://www.facebook.com/danilo.lansani.5" TargetMode="External"/><Relationship Id="rId5584" Type="http://schemas.openxmlformats.org/officeDocument/2006/relationships/hyperlink" Target="https://www.facebook.com/azucena.dumaop" TargetMode="External"/><Relationship Id="rId4257" Type="http://schemas.openxmlformats.org/officeDocument/2006/relationships/hyperlink" Target="https://www.facebook.com/rapplerdotcom/photos/a.317154781638645/5594954703858600/" TargetMode="External"/><Relationship Id="rId5589" Type="http://schemas.openxmlformats.org/officeDocument/2006/relationships/hyperlink" Target="https://www.facebook.com/rapplerdotcom/photos/a.317154781638645/5594453700575367/" TargetMode="External"/><Relationship Id="rId4256" Type="http://schemas.openxmlformats.org/officeDocument/2006/relationships/hyperlink" Target="https://www.facebook.com/divina.chicano" TargetMode="External"/><Relationship Id="rId4259" Type="http://schemas.openxmlformats.org/officeDocument/2006/relationships/hyperlink" Target="https://www.facebook.com/rapplerdotcom/photos/a.317154781638645/5594954703858600/" TargetMode="External"/><Relationship Id="rId5587" Type="http://schemas.openxmlformats.org/officeDocument/2006/relationships/hyperlink" Target="https://www.facebook.com/rapplerdotcom/photos/a.317154781638645/5594453700575367/" TargetMode="External"/><Relationship Id="rId4258" Type="http://schemas.openxmlformats.org/officeDocument/2006/relationships/hyperlink" Target="https://www.facebook.com/drixsaydie" TargetMode="External"/><Relationship Id="rId5588" Type="http://schemas.openxmlformats.org/officeDocument/2006/relationships/hyperlink" Target="https://www.facebook.com/joshuadolor" TargetMode="External"/><Relationship Id="rId409" Type="http://schemas.openxmlformats.org/officeDocument/2006/relationships/hyperlink" Target="https://www.facebook.com/rapplerdotcom/photos/a.317154781638645/5598220220198715/" TargetMode="External"/><Relationship Id="rId404" Type="http://schemas.openxmlformats.org/officeDocument/2006/relationships/hyperlink" Target="https://www.facebook.com/emele.maca.7" TargetMode="External"/><Relationship Id="rId403" Type="http://schemas.openxmlformats.org/officeDocument/2006/relationships/hyperlink" Target="https://www.facebook.com/rapplerdotcom/photos/a.317154781638645/5598220220198715/" TargetMode="External"/><Relationship Id="rId402" Type="http://schemas.openxmlformats.org/officeDocument/2006/relationships/hyperlink" Target="https://www.facebook.com/gonb.tibabs" TargetMode="External"/><Relationship Id="rId401" Type="http://schemas.openxmlformats.org/officeDocument/2006/relationships/hyperlink" Target="https://www.facebook.com/rapplerdotcom/photos/a.317154781638645/5598220220198715/" TargetMode="External"/><Relationship Id="rId408" Type="http://schemas.openxmlformats.org/officeDocument/2006/relationships/hyperlink" Target="https://www.facebook.com/PKMmatters" TargetMode="External"/><Relationship Id="rId407" Type="http://schemas.openxmlformats.org/officeDocument/2006/relationships/hyperlink" Target="https://www.facebook.com/rapplerdotcom/photos/a.317154781638645/5598220220198715/" TargetMode="External"/><Relationship Id="rId406" Type="http://schemas.openxmlformats.org/officeDocument/2006/relationships/hyperlink" Target="https://www.facebook.com/werdna.matugas" TargetMode="External"/><Relationship Id="rId405" Type="http://schemas.openxmlformats.org/officeDocument/2006/relationships/hyperlink" Target="https://www.facebook.com/rapplerdotcom/photos/a.317154781638645/5598220220198715/" TargetMode="External"/><Relationship Id="rId400" Type="http://schemas.openxmlformats.org/officeDocument/2006/relationships/hyperlink" Target="https://www.facebook.com/gonb.tibabs" TargetMode="External"/><Relationship Id="rId4327" Type="http://schemas.openxmlformats.org/officeDocument/2006/relationships/hyperlink" Target="https://www.facebook.com/rapplerdotcom/photos/a.317154781638645/5594954703858600/" TargetMode="External"/><Relationship Id="rId5659" Type="http://schemas.openxmlformats.org/officeDocument/2006/relationships/hyperlink" Target="https://www.facebook.com/rapplerdotcom/photos/a.317154781638645/5594453700575367/" TargetMode="External"/><Relationship Id="rId4326" Type="http://schemas.openxmlformats.org/officeDocument/2006/relationships/hyperlink" Target="https://www.facebook.com/stan.galang.3" TargetMode="External"/><Relationship Id="rId4329" Type="http://schemas.openxmlformats.org/officeDocument/2006/relationships/hyperlink" Target="https://www.facebook.com/rapplerdotcom/photos/a.317154781638645/5594954703858600/" TargetMode="External"/><Relationship Id="rId5657" Type="http://schemas.openxmlformats.org/officeDocument/2006/relationships/hyperlink" Target="https://www.facebook.com/rapplerdotcom/photos/a.317154781638645/5594453700575367/" TargetMode="External"/><Relationship Id="rId4328" Type="http://schemas.openxmlformats.org/officeDocument/2006/relationships/hyperlink" Target="https://www.facebook.com/profile.php?id=100011150311111" TargetMode="External"/><Relationship Id="rId5658" Type="http://schemas.openxmlformats.org/officeDocument/2006/relationships/hyperlink" Target="https://www.facebook.com/fepilia.giron.31" TargetMode="External"/><Relationship Id="rId469" Type="http://schemas.openxmlformats.org/officeDocument/2006/relationships/hyperlink" Target="https://www.facebook.com/rapplerdotcom/photos/a.317154781638645/5598220220198715/" TargetMode="External"/><Relationship Id="rId468" Type="http://schemas.openxmlformats.org/officeDocument/2006/relationships/hyperlink" Target="https://www.facebook.com/chona.piansay" TargetMode="External"/><Relationship Id="rId467" Type="http://schemas.openxmlformats.org/officeDocument/2006/relationships/hyperlink" Target="https://www.facebook.com/rapplerdotcom/photos/a.317154781638645/5598220220198715/" TargetMode="External"/><Relationship Id="rId462" Type="http://schemas.openxmlformats.org/officeDocument/2006/relationships/hyperlink" Target="https://www.facebook.com/jhing.lagrimas" TargetMode="External"/><Relationship Id="rId5651" Type="http://schemas.openxmlformats.org/officeDocument/2006/relationships/hyperlink" Target="https://www.facebook.com/rapplerdotcom/photos/a.317154781638645/5594453700575367/" TargetMode="External"/><Relationship Id="rId461" Type="http://schemas.openxmlformats.org/officeDocument/2006/relationships/hyperlink" Target="https://www.facebook.com/rapplerdotcom/photos/a.317154781638645/5598220220198715/" TargetMode="External"/><Relationship Id="rId5652" Type="http://schemas.openxmlformats.org/officeDocument/2006/relationships/hyperlink" Target="https://www.facebook.com/rocky.romero.1042" TargetMode="External"/><Relationship Id="rId460" Type="http://schemas.openxmlformats.org/officeDocument/2006/relationships/hyperlink" Target="https://www.facebook.com/edclino" TargetMode="External"/><Relationship Id="rId4321" Type="http://schemas.openxmlformats.org/officeDocument/2006/relationships/hyperlink" Target="https://www.facebook.com/rapplerdotcom/photos/a.317154781638645/5594954703858600/" TargetMode="External"/><Relationship Id="rId4320" Type="http://schemas.openxmlformats.org/officeDocument/2006/relationships/hyperlink" Target="https://www.facebook.com/CornerPrinter.ph" TargetMode="External"/><Relationship Id="rId5650" Type="http://schemas.openxmlformats.org/officeDocument/2006/relationships/hyperlink" Target="https://www.facebook.com/eliseo.calimlim" TargetMode="External"/><Relationship Id="rId466" Type="http://schemas.openxmlformats.org/officeDocument/2006/relationships/hyperlink" Target="https://www.facebook.com/jeroh.amis" TargetMode="External"/><Relationship Id="rId4323" Type="http://schemas.openxmlformats.org/officeDocument/2006/relationships/hyperlink" Target="https://www.facebook.com/rapplerdotcom/photos/a.317154781638645/5594954703858600/" TargetMode="External"/><Relationship Id="rId5655" Type="http://schemas.openxmlformats.org/officeDocument/2006/relationships/hyperlink" Target="https://www.facebook.com/rapplerdotcom/photos/a.317154781638645/5594453700575367/" TargetMode="External"/><Relationship Id="rId465" Type="http://schemas.openxmlformats.org/officeDocument/2006/relationships/hyperlink" Target="https://www.facebook.com/rapplerdotcom/photos/a.317154781638645/5598220220198715/" TargetMode="External"/><Relationship Id="rId4322" Type="http://schemas.openxmlformats.org/officeDocument/2006/relationships/hyperlink" Target="https://www.facebook.com/juliusryan.tuquero" TargetMode="External"/><Relationship Id="rId5656" Type="http://schemas.openxmlformats.org/officeDocument/2006/relationships/hyperlink" Target="https://www.facebook.com/bsc41" TargetMode="External"/><Relationship Id="rId464" Type="http://schemas.openxmlformats.org/officeDocument/2006/relationships/hyperlink" Target="https://www.facebook.com/rogerick.rovillos.ph" TargetMode="External"/><Relationship Id="rId4325" Type="http://schemas.openxmlformats.org/officeDocument/2006/relationships/hyperlink" Target="https://www.facebook.com/rapplerdotcom/photos/a.317154781638645/5594954703858600/" TargetMode="External"/><Relationship Id="rId5653" Type="http://schemas.openxmlformats.org/officeDocument/2006/relationships/hyperlink" Target="https://www.facebook.com/rapplerdotcom/photos/a.317154781638645/5594453700575367/" TargetMode="External"/><Relationship Id="rId463" Type="http://schemas.openxmlformats.org/officeDocument/2006/relationships/hyperlink" Target="https://www.facebook.com/rapplerdotcom/photos/a.317154781638645/5598220220198715/" TargetMode="External"/><Relationship Id="rId4324" Type="http://schemas.openxmlformats.org/officeDocument/2006/relationships/hyperlink" Target="https://www.facebook.com/galit.jerol" TargetMode="External"/><Relationship Id="rId5654" Type="http://schemas.openxmlformats.org/officeDocument/2006/relationships/hyperlink" Target="https://www.facebook.com/susan.sagario.56" TargetMode="External"/><Relationship Id="rId4316" Type="http://schemas.openxmlformats.org/officeDocument/2006/relationships/hyperlink" Target="https://www.facebook.com/karyata.gwapako" TargetMode="External"/><Relationship Id="rId5648" Type="http://schemas.openxmlformats.org/officeDocument/2006/relationships/hyperlink" Target="https://www.facebook.com/profile.php?id=100009601696045" TargetMode="External"/><Relationship Id="rId4315" Type="http://schemas.openxmlformats.org/officeDocument/2006/relationships/hyperlink" Target="https://www.facebook.com/rapplerdotcom/photos/a.317154781638645/5594954703858600/" TargetMode="External"/><Relationship Id="rId5649" Type="http://schemas.openxmlformats.org/officeDocument/2006/relationships/hyperlink" Target="https://www.facebook.com/rapplerdotcom/photos/a.317154781638645/5594453700575367/" TargetMode="External"/><Relationship Id="rId4318" Type="http://schemas.openxmlformats.org/officeDocument/2006/relationships/hyperlink" Target="https://www.facebook.com/phoebe.fernandez.12576" TargetMode="External"/><Relationship Id="rId5646" Type="http://schemas.openxmlformats.org/officeDocument/2006/relationships/hyperlink" Target="https://www.facebook.com/terense.zingapan" TargetMode="External"/><Relationship Id="rId4317" Type="http://schemas.openxmlformats.org/officeDocument/2006/relationships/hyperlink" Target="https://www.facebook.com/rapplerdotcom/photos/a.317154781638645/5594954703858600/" TargetMode="External"/><Relationship Id="rId5647" Type="http://schemas.openxmlformats.org/officeDocument/2006/relationships/hyperlink" Target="https://www.facebook.com/rapplerdotcom/photos/a.317154781638645/5594453700575367/" TargetMode="External"/><Relationship Id="rId4319" Type="http://schemas.openxmlformats.org/officeDocument/2006/relationships/hyperlink" Target="https://www.facebook.com/rapplerdotcom/photos/a.317154781638645/5594954703858600/" TargetMode="External"/><Relationship Id="rId459" Type="http://schemas.openxmlformats.org/officeDocument/2006/relationships/hyperlink" Target="https://www.facebook.com/rapplerdotcom/photos/a.317154781638645/5598220220198715/" TargetMode="External"/><Relationship Id="rId458" Type="http://schemas.openxmlformats.org/officeDocument/2006/relationships/hyperlink" Target="https://www.facebook.com/profile.php?id=100069959550032" TargetMode="External"/><Relationship Id="rId457" Type="http://schemas.openxmlformats.org/officeDocument/2006/relationships/hyperlink" Target="https://www.facebook.com/rapplerdotcom/photos/a.317154781638645/5598220220198715/" TargetMode="External"/><Relationship Id="rId456" Type="http://schemas.openxmlformats.org/officeDocument/2006/relationships/hyperlink" Target="https://www.facebook.com/gail.llait.9" TargetMode="External"/><Relationship Id="rId451" Type="http://schemas.openxmlformats.org/officeDocument/2006/relationships/hyperlink" Target="https://www.facebook.com/rapplerdotcom/photos/a.317154781638645/5598220220198715/" TargetMode="External"/><Relationship Id="rId5640" Type="http://schemas.openxmlformats.org/officeDocument/2006/relationships/hyperlink" Target="https://www.facebook.com/profile.php?id=100010227300304" TargetMode="External"/><Relationship Id="rId450" Type="http://schemas.openxmlformats.org/officeDocument/2006/relationships/hyperlink" Target="https://www.facebook.com/profile.php?id=100007771848864" TargetMode="External"/><Relationship Id="rId5641" Type="http://schemas.openxmlformats.org/officeDocument/2006/relationships/hyperlink" Target="https://www.facebook.com/rapplerdotcom/photos/a.317154781638645/5594453700575367/" TargetMode="External"/><Relationship Id="rId4310" Type="http://schemas.openxmlformats.org/officeDocument/2006/relationships/hyperlink" Target="https://www.facebook.com/noscire.padilla" TargetMode="External"/><Relationship Id="rId455" Type="http://schemas.openxmlformats.org/officeDocument/2006/relationships/hyperlink" Target="https://www.facebook.com/rapplerdotcom/photos/a.317154781638645/5598220220198715/" TargetMode="External"/><Relationship Id="rId4312" Type="http://schemas.openxmlformats.org/officeDocument/2006/relationships/hyperlink" Target="https://www.facebook.com/nrgatdula" TargetMode="External"/><Relationship Id="rId5644" Type="http://schemas.openxmlformats.org/officeDocument/2006/relationships/hyperlink" Target="https://www.facebook.com/alex.bacarro" TargetMode="External"/><Relationship Id="rId454" Type="http://schemas.openxmlformats.org/officeDocument/2006/relationships/hyperlink" Target="https://www.facebook.com/scott.dejitomccall" TargetMode="External"/><Relationship Id="rId4311" Type="http://schemas.openxmlformats.org/officeDocument/2006/relationships/hyperlink" Target="https://www.facebook.com/rapplerdotcom/photos/a.317154781638645/5594954703858600/" TargetMode="External"/><Relationship Id="rId5645" Type="http://schemas.openxmlformats.org/officeDocument/2006/relationships/hyperlink" Target="https://www.facebook.com/rapplerdotcom/photos/a.317154781638645/5594453700575367/" TargetMode="External"/><Relationship Id="rId453" Type="http://schemas.openxmlformats.org/officeDocument/2006/relationships/hyperlink" Target="https://www.facebook.com/rapplerdotcom/photos/a.317154781638645/5598220220198715/" TargetMode="External"/><Relationship Id="rId4314" Type="http://schemas.openxmlformats.org/officeDocument/2006/relationships/hyperlink" Target="https://www.facebook.com/ulyssesleodegario.lim" TargetMode="External"/><Relationship Id="rId5642" Type="http://schemas.openxmlformats.org/officeDocument/2006/relationships/hyperlink" Target="https://www.facebook.com/marvz.mendoza.5" TargetMode="External"/><Relationship Id="rId452" Type="http://schemas.openxmlformats.org/officeDocument/2006/relationships/hyperlink" Target="https://www.facebook.com/geneilyn.amanduron" TargetMode="External"/><Relationship Id="rId4313" Type="http://schemas.openxmlformats.org/officeDocument/2006/relationships/hyperlink" Target="https://www.facebook.com/rapplerdotcom/photos/a.317154781638645/5594954703858600/" TargetMode="External"/><Relationship Id="rId5643" Type="http://schemas.openxmlformats.org/officeDocument/2006/relationships/hyperlink" Target="https://www.facebook.com/rapplerdotcom/photos/a.317154781638645/5594453700575367/" TargetMode="External"/><Relationship Id="rId3018" Type="http://schemas.openxmlformats.org/officeDocument/2006/relationships/hyperlink" Target="https://www.facebook.com/watch/live/?ref=watch_permalink&amp;v=360307549312104" TargetMode="External"/><Relationship Id="rId4349" Type="http://schemas.openxmlformats.org/officeDocument/2006/relationships/hyperlink" Target="https://www.facebook.com/rapplerdotcom/photos/a.317154781638645/5594954703858600/" TargetMode="External"/><Relationship Id="rId3017" Type="http://schemas.openxmlformats.org/officeDocument/2006/relationships/hyperlink" Target="https://www.facebook.com/riooochaaan" TargetMode="External"/><Relationship Id="rId4348" Type="http://schemas.openxmlformats.org/officeDocument/2006/relationships/hyperlink" Target="https://www.facebook.com/rick.capunihan" TargetMode="External"/><Relationship Id="rId5679" Type="http://schemas.openxmlformats.org/officeDocument/2006/relationships/hyperlink" Target="https://www.facebook.com/rapplerdotcom/photos/a.317154781638645/5594453700575367/" TargetMode="External"/><Relationship Id="rId3019" Type="http://schemas.openxmlformats.org/officeDocument/2006/relationships/hyperlink" Target="https://www.facebook.com/albert.erebito" TargetMode="External"/><Relationship Id="rId491" Type="http://schemas.openxmlformats.org/officeDocument/2006/relationships/hyperlink" Target="https://www.facebook.com/rapplerdotcom/photos/a.317154781638645/5598220220198715/" TargetMode="External"/><Relationship Id="rId490" Type="http://schemas.openxmlformats.org/officeDocument/2006/relationships/hyperlink" Target="https://www.facebook.com/philip.casapao" TargetMode="External"/><Relationship Id="rId489" Type="http://schemas.openxmlformats.org/officeDocument/2006/relationships/hyperlink" Target="https://www.facebook.com/rapplerdotcom/photos/a.317154781638645/5598220220198715/" TargetMode="External"/><Relationship Id="rId5670" Type="http://schemas.openxmlformats.org/officeDocument/2006/relationships/hyperlink" Target="https://www.facebook.com/joyteopengco" TargetMode="External"/><Relationship Id="rId484" Type="http://schemas.openxmlformats.org/officeDocument/2006/relationships/hyperlink" Target="https://www.facebook.com/jeff.hubero" TargetMode="External"/><Relationship Id="rId3010" Type="http://schemas.openxmlformats.org/officeDocument/2006/relationships/hyperlink" Target="https://www.facebook.com/watch/live/?ref=watch_permalink&amp;v=360307549312104" TargetMode="External"/><Relationship Id="rId4341" Type="http://schemas.openxmlformats.org/officeDocument/2006/relationships/hyperlink" Target="https://www.facebook.com/rapplerdotcom/photos/a.317154781638645/5594954703858600/" TargetMode="External"/><Relationship Id="rId5673" Type="http://schemas.openxmlformats.org/officeDocument/2006/relationships/hyperlink" Target="https://www.facebook.com/rapplerdotcom/photos/a.317154781638645/5594453700575367/" TargetMode="External"/><Relationship Id="rId483" Type="http://schemas.openxmlformats.org/officeDocument/2006/relationships/hyperlink" Target="https://www.facebook.com/rapplerdotcom/photos/a.317154781638645/5598220220198715/" TargetMode="External"/><Relationship Id="rId4340" Type="http://schemas.openxmlformats.org/officeDocument/2006/relationships/hyperlink" Target="https://www.facebook.com/areumdawoyo" TargetMode="External"/><Relationship Id="rId5674" Type="http://schemas.openxmlformats.org/officeDocument/2006/relationships/hyperlink" Target="https://www.facebook.com/Ninja.Kugmo" TargetMode="External"/><Relationship Id="rId482" Type="http://schemas.openxmlformats.org/officeDocument/2006/relationships/hyperlink" Target="https://www.facebook.com/grace.lucila.33" TargetMode="External"/><Relationship Id="rId3012" Type="http://schemas.openxmlformats.org/officeDocument/2006/relationships/hyperlink" Target="https://www.facebook.com/watch/live/?ref=watch_permalink&amp;v=360307549312104" TargetMode="External"/><Relationship Id="rId4343" Type="http://schemas.openxmlformats.org/officeDocument/2006/relationships/hyperlink" Target="https://www.facebook.com/rapplerdotcom/photos/a.317154781638645/5594954703858600/" TargetMode="External"/><Relationship Id="rId5671" Type="http://schemas.openxmlformats.org/officeDocument/2006/relationships/hyperlink" Target="https://www.facebook.com/rapplerdotcom/photos/a.317154781638645/5594453700575367/" TargetMode="External"/><Relationship Id="rId481" Type="http://schemas.openxmlformats.org/officeDocument/2006/relationships/hyperlink" Target="https://www.facebook.com/rapplerdotcom/photos/a.317154781638645/5598220220198715/" TargetMode="External"/><Relationship Id="rId3011" Type="http://schemas.openxmlformats.org/officeDocument/2006/relationships/hyperlink" Target="https://www.facebook.com/samantha.luiz.92" TargetMode="External"/><Relationship Id="rId4342" Type="http://schemas.openxmlformats.org/officeDocument/2006/relationships/hyperlink" Target="https://www.facebook.com/jefferson.parrocha.3" TargetMode="External"/><Relationship Id="rId5672" Type="http://schemas.openxmlformats.org/officeDocument/2006/relationships/hyperlink" Target="https://www.facebook.com/dennisdheus" TargetMode="External"/><Relationship Id="rId488" Type="http://schemas.openxmlformats.org/officeDocument/2006/relationships/hyperlink" Target="https://www.facebook.com/rodelio.cohay.3" TargetMode="External"/><Relationship Id="rId3014" Type="http://schemas.openxmlformats.org/officeDocument/2006/relationships/hyperlink" Target="https://www.facebook.com/watch/live/?ref=watch_permalink&amp;v=360307549312104" TargetMode="External"/><Relationship Id="rId4345" Type="http://schemas.openxmlformats.org/officeDocument/2006/relationships/hyperlink" Target="https://www.facebook.com/rapplerdotcom/photos/a.317154781638645/5594954703858600/" TargetMode="External"/><Relationship Id="rId5677" Type="http://schemas.openxmlformats.org/officeDocument/2006/relationships/hyperlink" Target="https://www.facebook.com/rapplerdotcom/photos/a.317154781638645/5594453700575367/" TargetMode="External"/><Relationship Id="rId487" Type="http://schemas.openxmlformats.org/officeDocument/2006/relationships/hyperlink" Target="https://www.facebook.com/rapplerdotcom/photos/a.317154781638645/5598220220198715/" TargetMode="External"/><Relationship Id="rId3013" Type="http://schemas.openxmlformats.org/officeDocument/2006/relationships/hyperlink" Target="https://www.facebook.com/profile.php?id=100010223315744" TargetMode="External"/><Relationship Id="rId4344" Type="http://schemas.openxmlformats.org/officeDocument/2006/relationships/hyperlink" Target="https://www.facebook.com/rick.capunihan" TargetMode="External"/><Relationship Id="rId5678" Type="http://schemas.openxmlformats.org/officeDocument/2006/relationships/hyperlink" Target="https://www.facebook.com/austinmarkmccree" TargetMode="External"/><Relationship Id="rId486" Type="http://schemas.openxmlformats.org/officeDocument/2006/relationships/hyperlink" Target="https://www.facebook.com/maria.carl.77" TargetMode="External"/><Relationship Id="rId3016" Type="http://schemas.openxmlformats.org/officeDocument/2006/relationships/hyperlink" Target="https://www.facebook.com/watch/live/?ref=watch_permalink&amp;v=360307549312104" TargetMode="External"/><Relationship Id="rId4347" Type="http://schemas.openxmlformats.org/officeDocument/2006/relationships/hyperlink" Target="https://www.facebook.com/rapplerdotcom/photos/a.317154781638645/5594954703858600/" TargetMode="External"/><Relationship Id="rId5675" Type="http://schemas.openxmlformats.org/officeDocument/2006/relationships/hyperlink" Target="https://www.facebook.com/rapplerdotcom/photos/a.317154781638645/5594453700575367/" TargetMode="External"/><Relationship Id="rId485" Type="http://schemas.openxmlformats.org/officeDocument/2006/relationships/hyperlink" Target="https://www.facebook.com/rapplerdotcom/photos/a.317154781638645/5598220220198715/" TargetMode="External"/><Relationship Id="rId3015" Type="http://schemas.openxmlformats.org/officeDocument/2006/relationships/hyperlink" Target="https://www.facebook.com/nelia.alfonso" TargetMode="External"/><Relationship Id="rId4346" Type="http://schemas.openxmlformats.org/officeDocument/2006/relationships/hyperlink" Target="https://www.facebook.com/nora.montejo.925" TargetMode="External"/><Relationship Id="rId5676" Type="http://schemas.openxmlformats.org/officeDocument/2006/relationships/hyperlink" Target="https://www.facebook.com/danilo.onggona.16" TargetMode="External"/><Relationship Id="rId3007" Type="http://schemas.openxmlformats.org/officeDocument/2006/relationships/hyperlink" Target="https://www.facebook.com/rottenlittlecog" TargetMode="External"/><Relationship Id="rId4338" Type="http://schemas.openxmlformats.org/officeDocument/2006/relationships/hyperlink" Target="https://www.facebook.com/smooch.dash.3" TargetMode="External"/><Relationship Id="rId3006" Type="http://schemas.openxmlformats.org/officeDocument/2006/relationships/hyperlink" Target="https://www.facebook.com/watch/live/?ref=watch_permalink&amp;v=360307549312104" TargetMode="External"/><Relationship Id="rId4337" Type="http://schemas.openxmlformats.org/officeDocument/2006/relationships/hyperlink" Target="https://www.facebook.com/rapplerdotcom/photos/a.317154781638645/5594954703858600/" TargetMode="External"/><Relationship Id="rId3009" Type="http://schemas.openxmlformats.org/officeDocument/2006/relationships/hyperlink" Target="https://www.facebook.com/john.tayone.56" TargetMode="External"/><Relationship Id="rId5668" Type="http://schemas.openxmlformats.org/officeDocument/2006/relationships/hyperlink" Target="https://www.facebook.com/jovito.tamayo.7" TargetMode="External"/><Relationship Id="rId3008" Type="http://schemas.openxmlformats.org/officeDocument/2006/relationships/hyperlink" Target="https://www.facebook.com/watch/live/?ref=watch_permalink&amp;v=360307549312104" TargetMode="External"/><Relationship Id="rId4339" Type="http://schemas.openxmlformats.org/officeDocument/2006/relationships/hyperlink" Target="https://www.facebook.com/rapplerdotcom/photos/a.317154781638645/5594954703858600/" TargetMode="External"/><Relationship Id="rId5669" Type="http://schemas.openxmlformats.org/officeDocument/2006/relationships/hyperlink" Target="https://www.facebook.com/rapplerdotcom/photos/a.317154781638645/5594453700575367/" TargetMode="External"/><Relationship Id="rId480" Type="http://schemas.openxmlformats.org/officeDocument/2006/relationships/hyperlink" Target="https://www.facebook.com/ayan.delan" TargetMode="External"/><Relationship Id="rId479" Type="http://schemas.openxmlformats.org/officeDocument/2006/relationships/hyperlink" Target="https://www.facebook.com/rapplerdotcom/photos/a.317154781638645/5598220220198715/" TargetMode="External"/><Relationship Id="rId478" Type="http://schemas.openxmlformats.org/officeDocument/2006/relationships/hyperlink" Target="https://www.facebook.com/mal.esquivel" TargetMode="External"/><Relationship Id="rId473" Type="http://schemas.openxmlformats.org/officeDocument/2006/relationships/hyperlink" Target="https://www.facebook.com/rapplerdotcom/photos/a.317154781638645/5598220220198715/" TargetMode="External"/><Relationship Id="rId4330" Type="http://schemas.openxmlformats.org/officeDocument/2006/relationships/hyperlink" Target="https://www.facebook.com/edgar.basibas.1" TargetMode="External"/><Relationship Id="rId5662" Type="http://schemas.openxmlformats.org/officeDocument/2006/relationships/hyperlink" Target="https://www.facebook.com/emviray" TargetMode="External"/><Relationship Id="rId472" Type="http://schemas.openxmlformats.org/officeDocument/2006/relationships/hyperlink" Target="https://www.facebook.com/topeabarca98" TargetMode="External"/><Relationship Id="rId5663" Type="http://schemas.openxmlformats.org/officeDocument/2006/relationships/hyperlink" Target="https://www.facebook.com/rapplerdotcom/photos/a.317154781638645/5594453700575367/" TargetMode="External"/><Relationship Id="rId471" Type="http://schemas.openxmlformats.org/officeDocument/2006/relationships/hyperlink" Target="https://www.facebook.com/rapplerdotcom/photos/a.317154781638645/5598220220198715/" TargetMode="External"/><Relationship Id="rId3001" Type="http://schemas.openxmlformats.org/officeDocument/2006/relationships/hyperlink" Target="https://www.facebook.com/jowel.geroy" TargetMode="External"/><Relationship Id="rId4332" Type="http://schemas.openxmlformats.org/officeDocument/2006/relationships/hyperlink" Target="https://www.facebook.com/sayunara.lisura" TargetMode="External"/><Relationship Id="rId5660" Type="http://schemas.openxmlformats.org/officeDocument/2006/relationships/hyperlink" Target="https://www.facebook.com/juliustigley.perater" TargetMode="External"/><Relationship Id="rId470" Type="http://schemas.openxmlformats.org/officeDocument/2006/relationships/hyperlink" Target="https://www.facebook.com/janna.bahinteng" TargetMode="External"/><Relationship Id="rId3000" Type="http://schemas.openxmlformats.org/officeDocument/2006/relationships/hyperlink" Target="https://www.facebook.com/watch/live/?ref=watch_permalink&amp;v=360307549312104" TargetMode="External"/><Relationship Id="rId4331" Type="http://schemas.openxmlformats.org/officeDocument/2006/relationships/hyperlink" Target="https://www.facebook.com/rapplerdotcom/photos/a.317154781638645/5594954703858600/" TargetMode="External"/><Relationship Id="rId5661" Type="http://schemas.openxmlformats.org/officeDocument/2006/relationships/hyperlink" Target="https://www.facebook.com/rapplerdotcom/photos/a.317154781638645/5594453700575367/" TargetMode="External"/><Relationship Id="rId477" Type="http://schemas.openxmlformats.org/officeDocument/2006/relationships/hyperlink" Target="https://www.facebook.com/rapplerdotcom/photos/a.317154781638645/5598220220198715/" TargetMode="External"/><Relationship Id="rId3003" Type="http://schemas.openxmlformats.org/officeDocument/2006/relationships/hyperlink" Target="https://www.facebook.com/silvana.kagura" TargetMode="External"/><Relationship Id="rId4334" Type="http://schemas.openxmlformats.org/officeDocument/2006/relationships/hyperlink" Target="https://www.facebook.com/kenneth.cauntay" TargetMode="External"/><Relationship Id="rId5666" Type="http://schemas.openxmlformats.org/officeDocument/2006/relationships/hyperlink" Target="https://www.facebook.com/sam.zamudio.946" TargetMode="External"/><Relationship Id="rId476" Type="http://schemas.openxmlformats.org/officeDocument/2006/relationships/hyperlink" Target="https://www.facebook.com/profile.php?id=100069842802277" TargetMode="External"/><Relationship Id="rId3002" Type="http://schemas.openxmlformats.org/officeDocument/2006/relationships/hyperlink" Target="https://www.facebook.com/watch/live/?ref=watch_permalink&amp;v=360307549312104" TargetMode="External"/><Relationship Id="rId4333" Type="http://schemas.openxmlformats.org/officeDocument/2006/relationships/hyperlink" Target="https://www.facebook.com/rapplerdotcom/photos/a.317154781638645/5594954703858600/" TargetMode="External"/><Relationship Id="rId5667" Type="http://schemas.openxmlformats.org/officeDocument/2006/relationships/hyperlink" Target="https://www.facebook.com/rapplerdotcom/photos/a.317154781638645/5594453700575367/" TargetMode="External"/><Relationship Id="rId475" Type="http://schemas.openxmlformats.org/officeDocument/2006/relationships/hyperlink" Target="https://www.facebook.com/rapplerdotcom/photos/a.317154781638645/5598220220198715/" TargetMode="External"/><Relationship Id="rId3005" Type="http://schemas.openxmlformats.org/officeDocument/2006/relationships/hyperlink" Target="https://www.facebook.com/jowel.geroy" TargetMode="External"/><Relationship Id="rId4336" Type="http://schemas.openxmlformats.org/officeDocument/2006/relationships/hyperlink" Target="https://www.facebook.com/rachillecagwin" TargetMode="External"/><Relationship Id="rId5664" Type="http://schemas.openxmlformats.org/officeDocument/2006/relationships/hyperlink" Target="https://www.facebook.com/cris.caligtan.5" TargetMode="External"/><Relationship Id="rId474" Type="http://schemas.openxmlformats.org/officeDocument/2006/relationships/hyperlink" Target="https://www.facebook.com/profile.php?id=100009725222253" TargetMode="External"/><Relationship Id="rId3004" Type="http://schemas.openxmlformats.org/officeDocument/2006/relationships/hyperlink" Target="https://www.facebook.com/watch/live/?ref=watch_permalink&amp;v=360307549312104" TargetMode="External"/><Relationship Id="rId4335" Type="http://schemas.openxmlformats.org/officeDocument/2006/relationships/hyperlink" Target="https://www.facebook.com/rapplerdotcom/photos/a.317154781638645/5594954703858600/" TargetMode="External"/><Relationship Id="rId5665" Type="http://schemas.openxmlformats.org/officeDocument/2006/relationships/hyperlink" Target="https://www.facebook.com/rapplerdotcom/photos/a.317154781638645/5594453700575367/" TargetMode="External"/><Relationship Id="rId5615" Type="http://schemas.openxmlformats.org/officeDocument/2006/relationships/hyperlink" Target="https://www.facebook.com/rapplerdotcom/photos/a.317154781638645/5594453700575367/" TargetMode="External"/><Relationship Id="rId5616" Type="http://schemas.openxmlformats.org/officeDocument/2006/relationships/hyperlink" Target="https://www.facebook.com/milanituda" TargetMode="External"/><Relationship Id="rId5613" Type="http://schemas.openxmlformats.org/officeDocument/2006/relationships/hyperlink" Target="https://www.facebook.com/rapplerdotcom/photos/a.317154781638645/5594453700575367/" TargetMode="External"/><Relationship Id="rId5614" Type="http://schemas.openxmlformats.org/officeDocument/2006/relationships/hyperlink" Target="https://www.facebook.com/BimBirimBimBim" TargetMode="External"/><Relationship Id="rId5619" Type="http://schemas.openxmlformats.org/officeDocument/2006/relationships/hyperlink" Target="https://www.facebook.com/rapplerdotcom/photos/a.317154781638645/5594453700575367/" TargetMode="External"/><Relationship Id="rId5617" Type="http://schemas.openxmlformats.org/officeDocument/2006/relationships/hyperlink" Target="https://www.facebook.com/rapplerdotcom/photos/a.317154781638645/5594453700575367/" TargetMode="External"/><Relationship Id="rId5618" Type="http://schemas.openxmlformats.org/officeDocument/2006/relationships/hyperlink" Target="https://www.facebook.com/sha.karon" TargetMode="External"/><Relationship Id="rId426" Type="http://schemas.openxmlformats.org/officeDocument/2006/relationships/hyperlink" Target="https://www.facebook.com/myinspireducation.587606" TargetMode="External"/><Relationship Id="rId425" Type="http://schemas.openxmlformats.org/officeDocument/2006/relationships/hyperlink" Target="https://www.facebook.com/rapplerdotcom/photos/a.317154781638645/5598220220198715/" TargetMode="External"/><Relationship Id="rId424" Type="http://schemas.openxmlformats.org/officeDocument/2006/relationships/hyperlink" Target="https://www.facebook.com/elmer.gabini" TargetMode="External"/><Relationship Id="rId423" Type="http://schemas.openxmlformats.org/officeDocument/2006/relationships/hyperlink" Target="https://www.facebook.com/rapplerdotcom/photos/a.317154781638645/5598220220198715/" TargetMode="External"/><Relationship Id="rId429" Type="http://schemas.openxmlformats.org/officeDocument/2006/relationships/hyperlink" Target="https://www.facebook.com/rapplerdotcom/photos/a.317154781638645/5598220220198715/" TargetMode="External"/><Relationship Id="rId428" Type="http://schemas.openxmlformats.org/officeDocument/2006/relationships/hyperlink" Target="https://www.facebook.com/judyann.aruta" TargetMode="External"/><Relationship Id="rId427" Type="http://schemas.openxmlformats.org/officeDocument/2006/relationships/hyperlink" Target="https://www.facebook.com/rapplerdotcom/photos/a.317154781638645/5598220220198715/" TargetMode="External"/><Relationship Id="rId422" Type="http://schemas.openxmlformats.org/officeDocument/2006/relationships/hyperlink" Target="https://www.facebook.com/asean.briones" TargetMode="External"/><Relationship Id="rId5611" Type="http://schemas.openxmlformats.org/officeDocument/2006/relationships/hyperlink" Target="https://www.facebook.com/rapplerdotcom/photos/a.317154781638645/5594453700575367/" TargetMode="External"/><Relationship Id="rId421" Type="http://schemas.openxmlformats.org/officeDocument/2006/relationships/hyperlink" Target="https://www.facebook.com/rapplerdotcom/photos/a.317154781638645/5598220220198715/" TargetMode="External"/><Relationship Id="rId5612" Type="http://schemas.openxmlformats.org/officeDocument/2006/relationships/hyperlink" Target="https://www.facebook.com/milanituda" TargetMode="External"/><Relationship Id="rId420" Type="http://schemas.openxmlformats.org/officeDocument/2006/relationships/hyperlink" Target="https://www.facebook.com/versusversi" TargetMode="External"/><Relationship Id="rId5610" Type="http://schemas.openxmlformats.org/officeDocument/2006/relationships/hyperlink" Target="https://www.facebook.com/BimBirimBimBim" TargetMode="External"/><Relationship Id="rId5604" Type="http://schemas.openxmlformats.org/officeDocument/2006/relationships/hyperlink" Target="https://www.facebook.com/herbert.jose.mnl" TargetMode="External"/><Relationship Id="rId5605" Type="http://schemas.openxmlformats.org/officeDocument/2006/relationships/hyperlink" Target="https://www.facebook.com/rapplerdotcom/photos/a.317154781638645/5594453700575367/" TargetMode="External"/><Relationship Id="rId5602" Type="http://schemas.openxmlformats.org/officeDocument/2006/relationships/hyperlink" Target="https://www.facebook.com/milanituda" TargetMode="External"/><Relationship Id="rId5603" Type="http://schemas.openxmlformats.org/officeDocument/2006/relationships/hyperlink" Target="https://www.facebook.com/rapplerdotcom/photos/a.317154781638645/5594453700575367/" TargetMode="External"/><Relationship Id="rId5608" Type="http://schemas.openxmlformats.org/officeDocument/2006/relationships/hyperlink" Target="https://www.facebook.com/rocky.romero.1042" TargetMode="External"/><Relationship Id="rId5609" Type="http://schemas.openxmlformats.org/officeDocument/2006/relationships/hyperlink" Target="https://www.facebook.com/rapplerdotcom/photos/a.317154781638645/5594453700575367/" TargetMode="External"/><Relationship Id="rId5606" Type="http://schemas.openxmlformats.org/officeDocument/2006/relationships/hyperlink" Target="https://www.facebook.com/jude.romero.14" TargetMode="External"/><Relationship Id="rId5607" Type="http://schemas.openxmlformats.org/officeDocument/2006/relationships/hyperlink" Target="https://www.facebook.com/rapplerdotcom/photos/a.317154781638645/5594453700575367/" TargetMode="External"/><Relationship Id="rId415" Type="http://schemas.openxmlformats.org/officeDocument/2006/relationships/hyperlink" Target="https://www.facebook.com/rapplerdotcom/photos/a.317154781638645/5598220220198715/" TargetMode="External"/><Relationship Id="rId414" Type="http://schemas.openxmlformats.org/officeDocument/2006/relationships/hyperlink" Target="https://www.facebook.com/catalino.onquit" TargetMode="External"/><Relationship Id="rId413" Type="http://schemas.openxmlformats.org/officeDocument/2006/relationships/hyperlink" Target="https://www.facebook.com/rapplerdotcom/photos/a.317154781638645/5598220220198715/" TargetMode="External"/><Relationship Id="rId412" Type="http://schemas.openxmlformats.org/officeDocument/2006/relationships/hyperlink" Target="https://www.facebook.com/eduardo.arboleda.1257" TargetMode="External"/><Relationship Id="rId419" Type="http://schemas.openxmlformats.org/officeDocument/2006/relationships/hyperlink" Target="https://www.facebook.com/rapplerdotcom/photos/a.317154781638645/5598220220198715/" TargetMode="External"/><Relationship Id="rId418" Type="http://schemas.openxmlformats.org/officeDocument/2006/relationships/hyperlink" Target="https://www.facebook.com/gilbert.cabacoy" TargetMode="External"/><Relationship Id="rId417" Type="http://schemas.openxmlformats.org/officeDocument/2006/relationships/hyperlink" Target="https://www.facebook.com/rapplerdotcom/photos/a.317154781638645/5598220220198715/" TargetMode="External"/><Relationship Id="rId416" Type="http://schemas.openxmlformats.org/officeDocument/2006/relationships/hyperlink" Target="https://www.facebook.com/profile.php?id=100069055685563" TargetMode="External"/><Relationship Id="rId411" Type="http://schemas.openxmlformats.org/officeDocument/2006/relationships/hyperlink" Target="https://www.facebook.com/rapplerdotcom/photos/a.317154781638645/5598220220198715/" TargetMode="External"/><Relationship Id="rId5600" Type="http://schemas.openxmlformats.org/officeDocument/2006/relationships/hyperlink" Target="https://www.facebook.com/rosendo.delatorre.50" TargetMode="External"/><Relationship Id="rId410" Type="http://schemas.openxmlformats.org/officeDocument/2006/relationships/hyperlink" Target="https://www.facebook.com/sweetverni" TargetMode="External"/><Relationship Id="rId5601" Type="http://schemas.openxmlformats.org/officeDocument/2006/relationships/hyperlink" Target="https://www.facebook.com/rapplerdotcom/photos/a.317154781638645/5594453700575367/" TargetMode="External"/><Relationship Id="rId4305" Type="http://schemas.openxmlformats.org/officeDocument/2006/relationships/hyperlink" Target="https://www.facebook.com/rapplerdotcom/photos/a.317154781638645/5594954703858600/" TargetMode="External"/><Relationship Id="rId5637" Type="http://schemas.openxmlformats.org/officeDocument/2006/relationships/hyperlink" Target="https://www.facebook.com/rapplerdotcom/photos/a.317154781638645/5594453700575367/" TargetMode="External"/><Relationship Id="rId4304" Type="http://schemas.openxmlformats.org/officeDocument/2006/relationships/hyperlink" Target="https://www.facebook.com/gener.satsatin" TargetMode="External"/><Relationship Id="rId5638" Type="http://schemas.openxmlformats.org/officeDocument/2006/relationships/hyperlink" Target="https://www.facebook.com/odad.aucsap" TargetMode="External"/><Relationship Id="rId4307" Type="http://schemas.openxmlformats.org/officeDocument/2006/relationships/hyperlink" Target="https://www.facebook.com/rapplerdotcom/photos/a.317154781638645/5594954703858600/" TargetMode="External"/><Relationship Id="rId5635" Type="http://schemas.openxmlformats.org/officeDocument/2006/relationships/hyperlink" Target="https://www.facebook.com/rapplerdotcom/photos/a.317154781638645/5594453700575367/" TargetMode="External"/><Relationship Id="rId4306" Type="http://schemas.openxmlformats.org/officeDocument/2006/relationships/hyperlink" Target="https://www.facebook.com/yolanda.villegas.92167" TargetMode="External"/><Relationship Id="rId5636" Type="http://schemas.openxmlformats.org/officeDocument/2006/relationships/hyperlink" Target="https://www.facebook.com/servidadjohnpaul" TargetMode="External"/><Relationship Id="rId4309" Type="http://schemas.openxmlformats.org/officeDocument/2006/relationships/hyperlink" Target="https://www.facebook.com/rapplerdotcom/photos/a.317154781638645/5594954703858600/" TargetMode="External"/><Relationship Id="rId4308" Type="http://schemas.openxmlformats.org/officeDocument/2006/relationships/hyperlink" Target="https://www.facebook.com/alex.lanestosa.7" TargetMode="External"/><Relationship Id="rId5639" Type="http://schemas.openxmlformats.org/officeDocument/2006/relationships/hyperlink" Target="https://www.facebook.com/rapplerdotcom/photos/a.317154781638645/5594453700575367/" TargetMode="External"/><Relationship Id="rId448" Type="http://schemas.openxmlformats.org/officeDocument/2006/relationships/hyperlink" Target="https://www.facebook.com/profile.php?id=100022498132149" TargetMode="External"/><Relationship Id="rId447" Type="http://schemas.openxmlformats.org/officeDocument/2006/relationships/hyperlink" Target="https://www.facebook.com/rapplerdotcom/photos/a.317154781638645/5598220220198715/" TargetMode="External"/><Relationship Id="rId446" Type="http://schemas.openxmlformats.org/officeDocument/2006/relationships/hyperlink" Target="https://www.facebook.com/venass.mercado.1" TargetMode="External"/><Relationship Id="rId445" Type="http://schemas.openxmlformats.org/officeDocument/2006/relationships/hyperlink" Target="https://www.facebook.com/rapplerdotcom/photos/a.317154781638645/5598220220198715/" TargetMode="External"/><Relationship Id="rId449" Type="http://schemas.openxmlformats.org/officeDocument/2006/relationships/hyperlink" Target="https://www.facebook.com/rapplerdotcom/photos/a.317154781638645/5598220220198715/" TargetMode="External"/><Relationship Id="rId440" Type="http://schemas.openxmlformats.org/officeDocument/2006/relationships/hyperlink" Target="https://www.facebook.com/jameson.beljica" TargetMode="External"/><Relationship Id="rId5630" Type="http://schemas.openxmlformats.org/officeDocument/2006/relationships/hyperlink" Target="https://www.facebook.com/narciso.corvera.549" TargetMode="External"/><Relationship Id="rId444" Type="http://schemas.openxmlformats.org/officeDocument/2006/relationships/hyperlink" Target="https://www.facebook.com/thomas.french.52" TargetMode="External"/><Relationship Id="rId4301" Type="http://schemas.openxmlformats.org/officeDocument/2006/relationships/hyperlink" Target="https://www.facebook.com/rapplerdotcom/photos/a.317154781638645/5594954703858600/" TargetMode="External"/><Relationship Id="rId5633" Type="http://schemas.openxmlformats.org/officeDocument/2006/relationships/hyperlink" Target="https://www.facebook.com/rapplerdotcom/photos/a.317154781638645/5594453700575367/" TargetMode="External"/><Relationship Id="rId443" Type="http://schemas.openxmlformats.org/officeDocument/2006/relationships/hyperlink" Target="https://www.facebook.com/rapplerdotcom/photos/a.317154781638645/5598220220198715/" TargetMode="External"/><Relationship Id="rId4300" Type="http://schemas.openxmlformats.org/officeDocument/2006/relationships/hyperlink" Target="https://www.facebook.com/rose.cadavicio" TargetMode="External"/><Relationship Id="rId5634" Type="http://schemas.openxmlformats.org/officeDocument/2006/relationships/hyperlink" Target="https://www.facebook.com/RichestDad" TargetMode="External"/><Relationship Id="rId442" Type="http://schemas.openxmlformats.org/officeDocument/2006/relationships/hyperlink" Target="https://www.facebook.com/jameson.beljica" TargetMode="External"/><Relationship Id="rId4303" Type="http://schemas.openxmlformats.org/officeDocument/2006/relationships/hyperlink" Target="https://www.facebook.com/rapplerdotcom/photos/a.317154781638645/5594954703858600/" TargetMode="External"/><Relationship Id="rId5631" Type="http://schemas.openxmlformats.org/officeDocument/2006/relationships/hyperlink" Target="https://www.facebook.com/rapplerdotcom/photos/a.317154781638645/5594453700575367/" TargetMode="External"/><Relationship Id="rId441" Type="http://schemas.openxmlformats.org/officeDocument/2006/relationships/hyperlink" Target="https://www.facebook.com/rapplerdotcom/photos/a.317154781638645/5598220220198715/" TargetMode="External"/><Relationship Id="rId4302" Type="http://schemas.openxmlformats.org/officeDocument/2006/relationships/hyperlink" Target="https://www.facebook.com/epal.aco.56" TargetMode="External"/><Relationship Id="rId5632" Type="http://schemas.openxmlformats.org/officeDocument/2006/relationships/hyperlink" Target="https://www.facebook.com/cornelio.albino1" TargetMode="External"/><Relationship Id="rId5626" Type="http://schemas.openxmlformats.org/officeDocument/2006/relationships/hyperlink" Target="https://www.facebook.com/ricky.yanong.37" TargetMode="External"/><Relationship Id="rId5627" Type="http://schemas.openxmlformats.org/officeDocument/2006/relationships/hyperlink" Target="https://www.facebook.com/rapplerdotcom/photos/a.317154781638645/5594453700575367/" TargetMode="External"/><Relationship Id="rId5624" Type="http://schemas.openxmlformats.org/officeDocument/2006/relationships/hyperlink" Target="https://www.facebook.com/close728/" TargetMode="External"/><Relationship Id="rId5625" Type="http://schemas.openxmlformats.org/officeDocument/2006/relationships/hyperlink" Target="https://www.facebook.com/rapplerdotcom/photos/a.317154781638645/5594453700575367/" TargetMode="External"/><Relationship Id="rId5628" Type="http://schemas.openxmlformats.org/officeDocument/2006/relationships/hyperlink" Target="https://www.facebook.com/angelica.magcamit" TargetMode="External"/><Relationship Id="rId5629" Type="http://schemas.openxmlformats.org/officeDocument/2006/relationships/hyperlink" Target="https://www.facebook.com/rapplerdotcom/photos/a.317154781638645/5594453700575367/" TargetMode="External"/><Relationship Id="rId437" Type="http://schemas.openxmlformats.org/officeDocument/2006/relationships/hyperlink" Target="https://www.facebook.com/rapplerdotcom/photos/a.317154781638645/5598220220198715/" TargetMode="External"/><Relationship Id="rId436" Type="http://schemas.openxmlformats.org/officeDocument/2006/relationships/hyperlink" Target="https://www.facebook.com/palos.reblando" TargetMode="External"/><Relationship Id="rId435" Type="http://schemas.openxmlformats.org/officeDocument/2006/relationships/hyperlink" Target="https://www.facebook.com/rapplerdotcom/photos/a.317154781638645/5598220220198715/" TargetMode="External"/><Relationship Id="rId434" Type="http://schemas.openxmlformats.org/officeDocument/2006/relationships/hyperlink" Target="https://www.facebook.com/tony.deguzman.104" TargetMode="External"/><Relationship Id="rId439" Type="http://schemas.openxmlformats.org/officeDocument/2006/relationships/hyperlink" Target="https://www.facebook.com/rapplerdotcom/photos/a.317154781638645/5598220220198715/" TargetMode="External"/><Relationship Id="rId438" Type="http://schemas.openxmlformats.org/officeDocument/2006/relationships/hyperlink" Target="https://www.facebook.com/palos.reblando" TargetMode="External"/><Relationship Id="rId433" Type="http://schemas.openxmlformats.org/officeDocument/2006/relationships/hyperlink" Target="https://www.facebook.com/rapplerdotcom/photos/a.317154781638645/5598220220198715/" TargetMode="External"/><Relationship Id="rId5622" Type="http://schemas.openxmlformats.org/officeDocument/2006/relationships/hyperlink" Target="https://www.facebook.com/carina.constantino.754" TargetMode="External"/><Relationship Id="rId432" Type="http://schemas.openxmlformats.org/officeDocument/2006/relationships/hyperlink" Target="https://www.facebook.com/joey.ibe.7" TargetMode="External"/><Relationship Id="rId5623" Type="http://schemas.openxmlformats.org/officeDocument/2006/relationships/hyperlink" Target="https://www.facebook.com/rapplerdotcom/photos/a.317154781638645/5594453700575367/" TargetMode="External"/><Relationship Id="rId431" Type="http://schemas.openxmlformats.org/officeDocument/2006/relationships/hyperlink" Target="https://www.facebook.com/rapplerdotcom/photos/a.317154781638645/5598220220198715/" TargetMode="External"/><Relationship Id="rId5620" Type="http://schemas.openxmlformats.org/officeDocument/2006/relationships/hyperlink" Target="https://www.facebook.com/minda.amen" TargetMode="External"/><Relationship Id="rId430" Type="http://schemas.openxmlformats.org/officeDocument/2006/relationships/hyperlink" Target="https://www.facebook.com/narciso.corvera.549" TargetMode="External"/><Relationship Id="rId5621" Type="http://schemas.openxmlformats.org/officeDocument/2006/relationships/hyperlink" Target="https://www.facebook.com/rapplerdotcom/photos/a.317154781638645/5594453700575367/" TargetMode="External"/><Relationship Id="rId6108" Type="http://schemas.openxmlformats.org/officeDocument/2006/relationships/hyperlink" Target="https://www.facebook.com/merly.vederas" TargetMode="External"/><Relationship Id="rId6109" Type="http://schemas.openxmlformats.org/officeDocument/2006/relationships/hyperlink" Target="https://www.facebook.com/rapplerdotcom/photos/a.317154781638645/5594359700584767/" TargetMode="External"/><Relationship Id="rId6102" Type="http://schemas.openxmlformats.org/officeDocument/2006/relationships/hyperlink" Target="https://www.facebook.com/sue.idaloy" TargetMode="External"/><Relationship Id="rId6103" Type="http://schemas.openxmlformats.org/officeDocument/2006/relationships/hyperlink" Target="https://www.facebook.com/rapplerdotcom/photos/a.317154781638645/5594359700584767/" TargetMode="External"/><Relationship Id="rId6100" Type="http://schemas.openxmlformats.org/officeDocument/2006/relationships/hyperlink" Target="https://www.facebook.com/eusebiobutchgarcia" TargetMode="External"/><Relationship Id="rId6101" Type="http://schemas.openxmlformats.org/officeDocument/2006/relationships/hyperlink" Target="https://www.facebook.com/rapplerdotcom/photos/a.317154781638645/5594359700584767/" TargetMode="External"/><Relationship Id="rId6106" Type="http://schemas.openxmlformats.org/officeDocument/2006/relationships/hyperlink" Target="https://www.facebook.com/jake.arceno.new" TargetMode="External"/><Relationship Id="rId6107" Type="http://schemas.openxmlformats.org/officeDocument/2006/relationships/hyperlink" Target="https://www.facebook.com/rapplerdotcom/photos/a.317154781638645/5594359700584767/" TargetMode="External"/><Relationship Id="rId6104" Type="http://schemas.openxmlformats.org/officeDocument/2006/relationships/hyperlink" Target="https://www.facebook.com/phol.sanchez05" TargetMode="External"/><Relationship Id="rId6105" Type="http://schemas.openxmlformats.org/officeDocument/2006/relationships/hyperlink" Target="https://www.facebook.com/rapplerdotcom/photos/a.317154781638645/5594359700584767/" TargetMode="External"/><Relationship Id="rId6120" Type="http://schemas.openxmlformats.org/officeDocument/2006/relationships/hyperlink" Target="https://www.facebook.com/profile.php?id=100077431578233" TargetMode="External"/><Relationship Id="rId6121" Type="http://schemas.openxmlformats.org/officeDocument/2006/relationships/hyperlink" Target="https://www.facebook.com/rapplerdotcom/posts/pfbid0JJW97xH5fR5tDSLUQ8AnEgkPMU9Aigs9CgcNy2Q7AzJY4R8mRoicBgu3PLdqpf2Tl" TargetMode="External"/><Relationship Id="rId6124" Type="http://schemas.openxmlformats.org/officeDocument/2006/relationships/hyperlink" Target="https://www.facebook.com/bin.abdulmalikimam" TargetMode="External"/><Relationship Id="rId6125" Type="http://schemas.openxmlformats.org/officeDocument/2006/relationships/hyperlink" Target="https://www.facebook.com/rapplerdotcom/posts/pfbid0JJW97xH5fR5tDSLUQ8AnEgkPMU9Aigs9CgcNy2Q7AzJY4R8mRoicBgu3PLdqpf2Tl" TargetMode="External"/><Relationship Id="rId6122" Type="http://schemas.openxmlformats.org/officeDocument/2006/relationships/hyperlink" Target="https://www.facebook.com/vsalmario" TargetMode="External"/><Relationship Id="rId6123" Type="http://schemas.openxmlformats.org/officeDocument/2006/relationships/hyperlink" Target="https://www.facebook.com/rapplerdotcom/posts/pfbid0JJW97xH5fR5tDSLUQ8AnEgkPMU9Aigs9CgcNy2Q7AzJY4R8mRoicBgu3PLdqpf2Tl" TargetMode="External"/><Relationship Id="rId6128" Type="http://schemas.openxmlformats.org/officeDocument/2006/relationships/hyperlink" Target="https://www.facebook.com/profile.php?id=100077170219530" TargetMode="External"/><Relationship Id="rId6129" Type="http://schemas.openxmlformats.org/officeDocument/2006/relationships/hyperlink" Target="https://www.facebook.com/rapplerdotcom/posts/pfbid0JJW97xH5fR5tDSLUQ8AnEgkPMU9Aigs9CgcNy2Q7AzJY4R8mRoicBgu3PLdqpf2Tl" TargetMode="External"/><Relationship Id="rId6126" Type="http://schemas.openxmlformats.org/officeDocument/2006/relationships/hyperlink" Target="https://www.facebook.com/mariajovitzzz" TargetMode="External"/><Relationship Id="rId6127" Type="http://schemas.openxmlformats.org/officeDocument/2006/relationships/hyperlink" Target="https://www.facebook.com/rapplerdotcom/posts/pfbid0JJW97xH5fR5tDSLUQ8AnEgkPMU9Aigs9CgcNy2Q7AzJY4R8mRoicBgu3PLdqpf2Tl" TargetMode="External"/><Relationship Id="rId6119" Type="http://schemas.openxmlformats.org/officeDocument/2006/relationships/hyperlink" Target="https://www.facebook.com/rapplerdotcom/posts/pfbid0JJW97xH5fR5tDSLUQ8AnEgkPMU9Aigs9CgcNy2Q7AzJY4R8mRoicBgu3PLdqpf2Tl" TargetMode="External"/><Relationship Id="rId6110" Type="http://schemas.openxmlformats.org/officeDocument/2006/relationships/hyperlink" Target="https://www.facebook.com/ces.lopez" TargetMode="External"/><Relationship Id="rId6113" Type="http://schemas.openxmlformats.org/officeDocument/2006/relationships/hyperlink" Target="https://www.facebook.com/rapplerdotcom/photos/a.317154781638645/5594359700584767/" TargetMode="External"/><Relationship Id="rId6114" Type="http://schemas.openxmlformats.org/officeDocument/2006/relationships/hyperlink" Target="https://www.facebook.com/profile.php?id=100078610847597" TargetMode="External"/><Relationship Id="rId6111" Type="http://schemas.openxmlformats.org/officeDocument/2006/relationships/hyperlink" Target="https://www.facebook.com/rapplerdotcom/photos/a.317154781638645/5594359700584767/" TargetMode="External"/><Relationship Id="rId6112" Type="http://schemas.openxmlformats.org/officeDocument/2006/relationships/hyperlink" Target="https://www.facebook.com/jenny.o.lew" TargetMode="External"/><Relationship Id="rId6117" Type="http://schemas.openxmlformats.org/officeDocument/2006/relationships/hyperlink" Target="https://www.facebook.com/rapplerdotcom/posts/pfbid0JJW97xH5fR5tDSLUQ8AnEgkPMU9Aigs9CgcNy2Q7AzJY4R8mRoicBgu3PLdqpf2Tl" TargetMode="External"/><Relationship Id="rId6118" Type="http://schemas.openxmlformats.org/officeDocument/2006/relationships/hyperlink" Target="https://www.facebook.com/profile.php?id=100078424016875" TargetMode="External"/><Relationship Id="rId6115" Type="http://schemas.openxmlformats.org/officeDocument/2006/relationships/hyperlink" Target="https://www.facebook.com/rapplerdotcom/posts/pfbid0JJW97xH5fR5tDSLUQ8AnEgkPMU9Aigs9CgcNy2Q7AzJY4R8mRoicBgu3PLdqpf2Tl" TargetMode="External"/><Relationship Id="rId6116" Type="http://schemas.openxmlformats.org/officeDocument/2006/relationships/hyperlink" Target="https://www.facebook.com/profile.php?id=100078704860464" TargetMode="External"/><Relationship Id="rId1" Type="http://schemas.openxmlformats.org/officeDocument/2006/relationships/hyperlink" Target="https://www.facebook.com/angie.t.carlsen" TargetMode="External"/><Relationship Id="rId2" Type="http://schemas.openxmlformats.org/officeDocument/2006/relationships/hyperlink" Target="https://www.facebook.com/rapplerdotcom/posts/pfbid0DUh4iFcrxZuR1UbiGhcAHcMdzsaV29GSeHCY1HabtqcnUWkjStX9TDaVqzzt92GDl" TargetMode="External"/><Relationship Id="rId3" Type="http://schemas.openxmlformats.org/officeDocument/2006/relationships/hyperlink" Target="https://www.facebook.com/agripina.timbrezabellobrillantes" TargetMode="External"/><Relationship Id="rId4" Type="http://schemas.openxmlformats.org/officeDocument/2006/relationships/hyperlink" Target="https://www.facebook.com/rapplerdotcom/posts/pfbid0DUh4iFcrxZuR1UbiGhcAHcMdzsaV29GSeHCY1HabtqcnUWkjStX9TDaVqzzt92GDl" TargetMode="External"/><Relationship Id="rId9" Type="http://schemas.openxmlformats.org/officeDocument/2006/relationships/hyperlink" Target="https://www.facebook.com/aqoucii.makmak" TargetMode="External"/><Relationship Id="rId5" Type="http://schemas.openxmlformats.org/officeDocument/2006/relationships/hyperlink" Target="https://www.facebook.com/janjan.sugang" TargetMode="External"/><Relationship Id="rId6" Type="http://schemas.openxmlformats.org/officeDocument/2006/relationships/hyperlink" Target="https://www.facebook.com/rapplerdotcom/posts/pfbid0DUh4iFcrxZuR1UbiGhcAHcMdzsaV29GSeHCY1HabtqcnUWkjStX9TDaVqzzt92GDl" TargetMode="External"/><Relationship Id="rId7" Type="http://schemas.openxmlformats.org/officeDocument/2006/relationships/hyperlink" Target="https://www.facebook.com/rico.sanyo.7" TargetMode="External"/><Relationship Id="rId8" Type="http://schemas.openxmlformats.org/officeDocument/2006/relationships/hyperlink" Target="https://www.facebook.com/rapplerdotcom/posts/pfbid0DUh4iFcrxZuR1UbiGhcAHcMdzsaV29GSeHCY1HabtqcnUWkjStX9TDaVqzzt92GDl" TargetMode="External"/><Relationship Id="rId3911" Type="http://schemas.openxmlformats.org/officeDocument/2006/relationships/hyperlink" Target="https://www.facebook.com/danixdejesus" TargetMode="External"/><Relationship Id="rId3910" Type="http://schemas.openxmlformats.org/officeDocument/2006/relationships/hyperlink" Target="https://www.facebook.com/rapplerdotcom/posts/pfbid0dyWpzxim3h4Z2SYriGakwQw85p7BCAgct7KU5EiMX1bmmgNHDD8nmES8rjrADsrPl" TargetMode="External"/><Relationship Id="rId3913" Type="http://schemas.openxmlformats.org/officeDocument/2006/relationships/hyperlink" Target="https://www.facebook.com/kristinejane.ramos.10" TargetMode="External"/><Relationship Id="rId3912" Type="http://schemas.openxmlformats.org/officeDocument/2006/relationships/hyperlink" Target="https://www.facebook.com/rapplerdotcom/posts/pfbid0dyWpzxim3h4Z2SYriGakwQw85p7BCAgct7KU5EiMX1bmmgNHDD8nmES8rjrADsrPl" TargetMode="External"/><Relationship Id="rId3915" Type="http://schemas.openxmlformats.org/officeDocument/2006/relationships/hyperlink" Target="https://www.facebook.com/profile.php?id=1669143901" TargetMode="External"/><Relationship Id="rId3914" Type="http://schemas.openxmlformats.org/officeDocument/2006/relationships/hyperlink" Target="https://www.facebook.com/rapplerdotcom/posts/pfbid0dyWpzxim3h4Z2SYriGakwQw85p7BCAgct7KU5EiMX1bmmgNHDD8nmES8rjrADsrPl" TargetMode="External"/><Relationship Id="rId3917" Type="http://schemas.openxmlformats.org/officeDocument/2006/relationships/hyperlink" Target="https://www.facebook.com/noel.buhia" TargetMode="External"/><Relationship Id="rId3916" Type="http://schemas.openxmlformats.org/officeDocument/2006/relationships/hyperlink" Target="https://www.facebook.com/rapplerdotcom/posts/pfbid0dyWpzxim3h4Z2SYriGakwQw85p7BCAgct7KU5EiMX1bmmgNHDD8nmES8rjrADsrPl" TargetMode="External"/><Relationship Id="rId3919" Type="http://schemas.openxmlformats.org/officeDocument/2006/relationships/hyperlink" Target="https://www.facebook.com/iyos.bautistapilar" TargetMode="External"/><Relationship Id="rId3918" Type="http://schemas.openxmlformats.org/officeDocument/2006/relationships/hyperlink" Target="https://www.facebook.com/rapplerdotcom/posts/pfbid0dyWpzxim3h4Z2SYriGakwQw85p7BCAgct7KU5EiMX1bmmgNHDD8nmES8rjrADsrPl" TargetMode="External"/><Relationship Id="rId6190" Type="http://schemas.openxmlformats.org/officeDocument/2006/relationships/hyperlink" Target="https://www.facebook.com/profile.php?id=100008940702894" TargetMode="External"/><Relationship Id="rId6182" Type="http://schemas.openxmlformats.org/officeDocument/2006/relationships/hyperlink" Target="https://www.facebook.com/geronima.hansen" TargetMode="External"/><Relationship Id="rId6183" Type="http://schemas.openxmlformats.org/officeDocument/2006/relationships/hyperlink" Target="https://www.facebook.com/watch/?v=684555919511830" TargetMode="External"/><Relationship Id="rId6180" Type="http://schemas.openxmlformats.org/officeDocument/2006/relationships/hyperlink" Target="https://www.facebook.com/irisbadinas" TargetMode="External"/><Relationship Id="rId6181" Type="http://schemas.openxmlformats.org/officeDocument/2006/relationships/hyperlink" Target="https://www.facebook.com/watch/?v=684555919511830" TargetMode="External"/><Relationship Id="rId6186" Type="http://schemas.openxmlformats.org/officeDocument/2006/relationships/hyperlink" Target="https://www.facebook.com/profile.php?id=100079559509251" TargetMode="External"/><Relationship Id="rId6187" Type="http://schemas.openxmlformats.org/officeDocument/2006/relationships/hyperlink" Target="https://www.facebook.com/watch/?v=684555919511830" TargetMode="External"/><Relationship Id="rId6184" Type="http://schemas.openxmlformats.org/officeDocument/2006/relationships/hyperlink" Target="https://www.facebook.com/mary.magaling.583" TargetMode="External"/><Relationship Id="rId6185" Type="http://schemas.openxmlformats.org/officeDocument/2006/relationships/hyperlink" Target="https://www.facebook.com/watch/?v=684555919511830" TargetMode="External"/><Relationship Id="rId6188" Type="http://schemas.openxmlformats.org/officeDocument/2006/relationships/hyperlink" Target="https://www.facebook.com/olracyer.nadneba.3" TargetMode="External"/><Relationship Id="rId6189" Type="http://schemas.openxmlformats.org/officeDocument/2006/relationships/hyperlink" Target="https://www.facebook.com/watch/?v=684555919511830" TargetMode="External"/><Relationship Id="rId3900" Type="http://schemas.openxmlformats.org/officeDocument/2006/relationships/hyperlink" Target="https://www.facebook.com/rapplerdotcom/posts/pfbid0dyWpzxim3h4Z2SYriGakwQw85p7BCAgct7KU5EiMX1bmmgNHDD8nmES8rjrADsrPl" TargetMode="External"/><Relationship Id="rId3902" Type="http://schemas.openxmlformats.org/officeDocument/2006/relationships/hyperlink" Target="https://www.facebook.com/rapplerdotcom/posts/pfbid0dyWpzxim3h4Z2SYriGakwQw85p7BCAgct7KU5EiMX1bmmgNHDD8nmES8rjrADsrPl" TargetMode="External"/><Relationship Id="rId3901" Type="http://schemas.openxmlformats.org/officeDocument/2006/relationships/hyperlink" Target="https://www.facebook.com/celine.avila.50" TargetMode="External"/><Relationship Id="rId3904" Type="http://schemas.openxmlformats.org/officeDocument/2006/relationships/hyperlink" Target="https://www.facebook.com/rapplerdotcom/posts/pfbid0dyWpzxim3h4Z2SYriGakwQw85p7BCAgct7KU5EiMX1bmmgNHDD8nmES8rjrADsrPl" TargetMode="External"/><Relationship Id="rId3903" Type="http://schemas.openxmlformats.org/officeDocument/2006/relationships/hyperlink" Target="https://www.facebook.com/LigayaNiOwen" TargetMode="External"/><Relationship Id="rId3906" Type="http://schemas.openxmlformats.org/officeDocument/2006/relationships/hyperlink" Target="https://www.facebook.com/rapplerdotcom/posts/pfbid0dyWpzxim3h4Z2SYriGakwQw85p7BCAgct7KU5EiMX1bmmgNHDD8nmES8rjrADsrPl" TargetMode="External"/><Relationship Id="rId3905" Type="http://schemas.openxmlformats.org/officeDocument/2006/relationships/hyperlink" Target="https://www.facebook.com/julycabaleslablab" TargetMode="External"/><Relationship Id="rId3908" Type="http://schemas.openxmlformats.org/officeDocument/2006/relationships/hyperlink" Target="https://www.facebook.com/rapplerdotcom/posts/pfbid0dyWpzxim3h4Z2SYriGakwQw85p7BCAgct7KU5EiMX1bmmgNHDD8nmES8rjrADsrPl" TargetMode="External"/><Relationship Id="rId3907" Type="http://schemas.openxmlformats.org/officeDocument/2006/relationships/hyperlink" Target="https://www.facebook.com/BangChristopherChan97" TargetMode="External"/><Relationship Id="rId3909" Type="http://schemas.openxmlformats.org/officeDocument/2006/relationships/hyperlink" Target="https://www.facebook.com/mbaliat" TargetMode="External"/><Relationship Id="rId6171" Type="http://schemas.openxmlformats.org/officeDocument/2006/relationships/hyperlink" Target="https://www.facebook.com/watch/?v=684555919511830" TargetMode="External"/><Relationship Id="rId6172" Type="http://schemas.openxmlformats.org/officeDocument/2006/relationships/hyperlink" Target="https://www.facebook.com/mary.magaling.583" TargetMode="External"/><Relationship Id="rId6170" Type="http://schemas.openxmlformats.org/officeDocument/2006/relationships/hyperlink" Target="https://www.facebook.com/julio.quian" TargetMode="External"/><Relationship Id="rId6175" Type="http://schemas.openxmlformats.org/officeDocument/2006/relationships/hyperlink" Target="https://www.facebook.com/watch/?v=684555919511830" TargetMode="External"/><Relationship Id="rId6176" Type="http://schemas.openxmlformats.org/officeDocument/2006/relationships/hyperlink" Target="https://www.facebook.com/tony.deguzman.104" TargetMode="External"/><Relationship Id="rId6173" Type="http://schemas.openxmlformats.org/officeDocument/2006/relationships/hyperlink" Target="https://www.facebook.com/watch/?v=684555919511830" TargetMode="External"/><Relationship Id="rId6174" Type="http://schemas.openxmlformats.org/officeDocument/2006/relationships/hyperlink" Target="https://www.facebook.com/addie.arano" TargetMode="External"/><Relationship Id="rId6179" Type="http://schemas.openxmlformats.org/officeDocument/2006/relationships/hyperlink" Target="https://www.facebook.com/watch/?v=684555919511830" TargetMode="External"/><Relationship Id="rId6177" Type="http://schemas.openxmlformats.org/officeDocument/2006/relationships/hyperlink" Target="https://www.facebook.com/watch/?v=684555919511830" TargetMode="External"/><Relationship Id="rId6178" Type="http://schemas.openxmlformats.org/officeDocument/2006/relationships/hyperlink" Target="https://www.facebook.com/tambay.lang.7792" TargetMode="External"/><Relationship Id="rId3931" Type="http://schemas.openxmlformats.org/officeDocument/2006/relationships/hyperlink" Target="https://www.facebook.com/Valladoresjude1988" TargetMode="External"/><Relationship Id="rId2600" Type="http://schemas.openxmlformats.org/officeDocument/2006/relationships/hyperlink" Target="https://www.facebook.com/rapplerdotcom/photos/a.317154781638645/5595733810447356/" TargetMode="External"/><Relationship Id="rId3930" Type="http://schemas.openxmlformats.org/officeDocument/2006/relationships/hyperlink" Target="https://www.facebook.com/rapplerdotcom/posts/pfbid0dyWpzxim3h4Z2SYriGakwQw85p7BCAgct7KU5EiMX1bmmgNHDD8nmES8rjrADsrPl" TargetMode="External"/><Relationship Id="rId2601" Type="http://schemas.openxmlformats.org/officeDocument/2006/relationships/hyperlink" Target="https://www.facebook.com/migsaquino" TargetMode="External"/><Relationship Id="rId3933" Type="http://schemas.openxmlformats.org/officeDocument/2006/relationships/hyperlink" Target="https://www.facebook.com/henardino" TargetMode="External"/><Relationship Id="rId2602" Type="http://schemas.openxmlformats.org/officeDocument/2006/relationships/hyperlink" Target="https://www.facebook.com/rapplerdotcom/photos/a.317154781638645/5595733810447356/" TargetMode="External"/><Relationship Id="rId3932" Type="http://schemas.openxmlformats.org/officeDocument/2006/relationships/hyperlink" Target="https://www.facebook.com/rapplerdotcom/posts/pfbid0dyWpzxim3h4Z2SYriGakwQw85p7BCAgct7KU5EiMX1bmmgNHDD8nmES8rjrADsrPl" TargetMode="External"/><Relationship Id="rId2603" Type="http://schemas.openxmlformats.org/officeDocument/2006/relationships/hyperlink" Target="https://www.facebook.com/IamRoselleBaltazar" TargetMode="External"/><Relationship Id="rId3935" Type="http://schemas.openxmlformats.org/officeDocument/2006/relationships/hyperlink" Target="https://www.facebook.com/Valladoresjude1988" TargetMode="External"/><Relationship Id="rId2604" Type="http://schemas.openxmlformats.org/officeDocument/2006/relationships/hyperlink" Target="https://www.facebook.com/rapplerdotcom/photos/a.317154781638645/5595733810447356/" TargetMode="External"/><Relationship Id="rId3934" Type="http://schemas.openxmlformats.org/officeDocument/2006/relationships/hyperlink" Target="https://www.facebook.com/rapplerdotcom/posts/pfbid0dyWpzxim3h4Z2SYriGakwQw85p7BCAgct7KU5EiMX1bmmgNHDD8nmES8rjrADsrPl" TargetMode="External"/><Relationship Id="rId2605" Type="http://schemas.openxmlformats.org/officeDocument/2006/relationships/hyperlink" Target="https://www.facebook.com/richard.delacruz.75033" TargetMode="External"/><Relationship Id="rId3937" Type="http://schemas.openxmlformats.org/officeDocument/2006/relationships/hyperlink" Target="https://www.facebook.com/henardino" TargetMode="External"/><Relationship Id="rId2606" Type="http://schemas.openxmlformats.org/officeDocument/2006/relationships/hyperlink" Target="https://www.facebook.com/rapplerdotcom/photos/a.317154781638645/5595733810447356/" TargetMode="External"/><Relationship Id="rId3936" Type="http://schemas.openxmlformats.org/officeDocument/2006/relationships/hyperlink" Target="https://www.facebook.com/rapplerdotcom/posts/pfbid0dyWpzxim3h4Z2SYriGakwQw85p7BCAgct7KU5EiMX1bmmgNHDD8nmES8rjrADsrPl" TargetMode="External"/><Relationship Id="rId808" Type="http://schemas.openxmlformats.org/officeDocument/2006/relationships/hyperlink" Target="https://www.facebook.com/rapplerdotcom/photos/a.317154781638645/5597612220259515/" TargetMode="External"/><Relationship Id="rId2607" Type="http://schemas.openxmlformats.org/officeDocument/2006/relationships/hyperlink" Target="https://www.facebook.com/profile.php?id=100009637215034" TargetMode="External"/><Relationship Id="rId3939" Type="http://schemas.openxmlformats.org/officeDocument/2006/relationships/hyperlink" Target="https://www.facebook.com/Valladoresjude1988" TargetMode="External"/><Relationship Id="rId807" Type="http://schemas.openxmlformats.org/officeDocument/2006/relationships/hyperlink" Target="https://www.facebook.com/racquel.andres.908" TargetMode="External"/><Relationship Id="rId2608" Type="http://schemas.openxmlformats.org/officeDocument/2006/relationships/hyperlink" Target="https://www.facebook.com/rapplerdotcom/photos/a.317154781638645/5595733810447356/" TargetMode="External"/><Relationship Id="rId3938" Type="http://schemas.openxmlformats.org/officeDocument/2006/relationships/hyperlink" Target="https://www.facebook.com/rapplerdotcom/posts/pfbid0dyWpzxim3h4Z2SYriGakwQw85p7BCAgct7KU5EiMX1bmmgNHDD8nmES8rjrADsrPl" TargetMode="External"/><Relationship Id="rId806" Type="http://schemas.openxmlformats.org/officeDocument/2006/relationships/hyperlink" Target="https://www.facebook.com/rapplerdotcom/photos/a.317154781638645/5597612220259515/" TargetMode="External"/><Relationship Id="rId2609" Type="http://schemas.openxmlformats.org/officeDocument/2006/relationships/hyperlink" Target="https://www.facebook.com/cat.carrot.50" TargetMode="External"/><Relationship Id="rId805" Type="http://schemas.openxmlformats.org/officeDocument/2006/relationships/hyperlink" Target="https://www.facebook.com/divina.callado" TargetMode="External"/><Relationship Id="rId809" Type="http://schemas.openxmlformats.org/officeDocument/2006/relationships/hyperlink" Target="https://www.facebook.com/cielo.dupayamendiola" TargetMode="External"/><Relationship Id="rId800" Type="http://schemas.openxmlformats.org/officeDocument/2006/relationships/hyperlink" Target="https://www.facebook.com/rapplerdotcom/photos/a.317154781638645/5597612220259515/" TargetMode="External"/><Relationship Id="rId804" Type="http://schemas.openxmlformats.org/officeDocument/2006/relationships/hyperlink" Target="https://www.facebook.com/rapplerdotcom/photos/a.317154781638645/5597612220259515/" TargetMode="External"/><Relationship Id="rId803" Type="http://schemas.openxmlformats.org/officeDocument/2006/relationships/hyperlink" Target="https://www.facebook.com/angela.romanos.14" TargetMode="External"/><Relationship Id="rId802" Type="http://schemas.openxmlformats.org/officeDocument/2006/relationships/hyperlink" Target="https://www.facebook.com/rapplerdotcom/photos/a.317154781638645/5597612220259515/" TargetMode="External"/><Relationship Id="rId801" Type="http://schemas.openxmlformats.org/officeDocument/2006/relationships/hyperlink" Target="https://www.facebook.com/lourdes.tobias.16" TargetMode="External"/><Relationship Id="rId3920" Type="http://schemas.openxmlformats.org/officeDocument/2006/relationships/hyperlink" Target="https://www.facebook.com/rapplerdotcom/posts/pfbid0dyWpzxim3h4Z2SYriGakwQw85p7BCAgct7KU5EiMX1bmmgNHDD8nmES8rjrADsrPl" TargetMode="External"/><Relationship Id="rId3922" Type="http://schemas.openxmlformats.org/officeDocument/2006/relationships/hyperlink" Target="https://www.facebook.com/rapplerdotcom/posts/pfbid0dyWpzxim3h4Z2SYriGakwQw85p7BCAgct7KU5EiMX1bmmgNHDD8nmES8rjrADsrPl" TargetMode="External"/><Relationship Id="rId3921" Type="http://schemas.openxmlformats.org/officeDocument/2006/relationships/hyperlink" Target="https://www.facebook.com/dinnis.bastatas" TargetMode="External"/><Relationship Id="rId3924" Type="http://schemas.openxmlformats.org/officeDocument/2006/relationships/hyperlink" Target="https://www.facebook.com/rapplerdotcom/posts/pfbid0dyWpzxim3h4Z2SYriGakwQw85p7BCAgct7KU5EiMX1bmmgNHDD8nmES8rjrADsrPl" TargetMode="External"/><Relationship Id="rId3923" Type="http://schemas.openxmlformats.org/officeDocument/2006/relationships/hyperlink" Target="https://www.facebook.com/ellessir.setnallude" TargetMode="External"/><Relationship Id="rId3926" Type="http://schemas.openxmlformats.org/officeDocument/2006/relationships/hyperlink" Target="https://www.facebook.com/rapplerdotcom/posts/pfbid0dyWpzxim3h4Z2SYriGakwQw85p7BCAgct7KU5EiMX1bmmgNHDD8nmES8rjrADsrPl" TargetMode="External"/><Relationship Id="rId3925" Type="http://schemas.openxmlformats.org/officeDocument/2006/relationships/hyperlink" Target="https://www.facebook.com/samuel.peralta310" TargetMode="External"/><Relationship Id="rId3928" Type="http://schemas.openxmlformats.org/officeDocument/2006/relationships/hyperlink" Target="https://www.facebook.com/rapplerdotcom/posts/pfbid0dyWpzxim3h4Z2SYriGakwQw85p7BCAgct7KU5EiMX1bmmgNHDD8nmES8rjrADsrPl" TargetMode="External"/><Relationship Id="rId3927" Type="http://schemas.openxmlformats.org/officeDocument/2006/relationships/hyperlink" Target="https://www.facebook.com/juliza.gulandrina.56" TargetMode="External"/><Relationship Id="rId3929" Type="http://schemas.openxmlformats.org/officeDocument/2006/relationships/hyperlink" Target="https://www.facebook.com/donna.dee.37017" TargetMode="External"/><Relationship Id="rId6193" Type="http://schemas.openxmlformats.org/officeDocument/2006/relationships/hyperlink" Target="https://www.facebook.com/watch/?v=684555919511830" TargetMode="External"/><Relationship Id="rId6194" Type="http://schemas.openxmlformats.org/officeDocument/2006/relationships/hyperlink" Target="https://www.facebook.com/mayette.miranda.9" TargetMode="External"/><Relationship Id="rId6191" Type="http://schemas.openxmlformats.org/officeDocument/2006/relationships/hyperlink" Target="https://www.facebook.com/watch/?v=684555919511830" TargetMode="External"/><Relationship Id="rId6192" Type="http://schemas.openxmlformats.org/officeDocument/2006/relationships/hyperlink" Target="https://www.facebook.com/argen.azarcon.7" TargetMode="External"/><Relationship Id="rId6197" Type="http://schemas.openxmlformats.org/officeDocument/2006/relationships/hyperlink" Target="https://www.facebook.com/watch/?v=684555919511830" TargetMode="External"/><Relationship Id="rId6198" Type="http://schemas.openxmlformats.org/officeDocument/2006/relationships/hyperlink" Target="https://www.facebook.com/angeles.soriben" TargetMode="External"/><Relationship Id="rId6195" Type="http://schemas.openxmlformats.org/officeDocument/2006/relationships/hyperlink" Target="https://www.facebook.com/watch/?v=684555919511830" TargetMode="External"/><Relationship Id="rId6196" Type="http://schemas.openxmlformats.org/officeDocument/2006/relationships/hyperlink" Target="https://www.facebook.com/profile.php?id=100045960874317" TargetMode="External"/><Relationship Id="rId6199" Type="http://schemas.openxmlformats.org/officeDocument/2006/relationships/hyperlink" Target="https://www.facebook.com/watch/?v=684555919511830" TargetMode="External"/><Relationship Id="rId6142" Type="http://schemas.openxmlformats.org/officeDocument/2006/relationships/hyperlink" Target="https://www.facebook.com/profile.php?id=100078791799526" TargetMode="External"/><Relationship Id="rId6143" Type="http://schemas.openxmlformats.org/officeDocument/2006/relationships/hyperlink" Target="https://www.facebook.com/rapplerdotcom/posts/pfbid0JJW97xH5fR5tDSLUQ8AnEgkPMU9Aigs9CgcNy2Q7AzJY4R8mRoicBgu3PLdqpf2Tl" TargetMode="External"/><Relationship Id="rId6140" Type="http://schemas.openxmlformats.org/officeDocument/2006/relationships/hyperlink" Target="https://www.facebook.com/profile.php?id=100078958080591" TargetMode="External"/><Relationship Id="rId6141" Type="http://schemas.openxmlformats.org/officeDocument/2006/relationships/hyperlink" Target="https://www.facebook.com/rapplerdotcom/posts/pfbid0JJW97xH5fR5tDSLUQ8AnEgkPMU9Aigs9CgcNy2Q7AzJY4R8mRoicBgu3PLdqpf2Tl" TargetMode="External"/><Relationship Id="rId6146" Type="http://schemas.openxmlformats.org/officeDocument/2006/relationships/hyperlink" Target="https://www.facebook.com/profile.php?id=100078431061985" TargetMode="External"/><Relationship Id="rId6147" Type="http://schemas.openxmlformats.org/officeDocument/2006/relationships/hyperlink" Target="https://www.facebook.com/rapplerdotcom/posts/pfbid0JJW97xH5fR5tDSLUQ8AnEgkPMU9Aigs9CgcNy2Q7AzJY4R8mRoicBgu3PLdqpf2Tl" TargetMode="External"/><Relationship Id="rId6144" Type="http://schemas.openxmlformats.org/officeDocument/2006/relationships/hyperlink" Target="https://www.facebook.com/profile.php?id=100078910084321" TargetMode="External"/><Relationship Id="rId6145" Type="http://schemas.openxmlformats.org/officeDocument/2006/relationships/hyperlink" Target="https://www.facebook.com/rapplerdotcom/posts/pfbid0JJW97xH5fR5tDSLUQ8AnEgkPMU9Aigs9CgcNy2Q7AzJY4R8mRoicBgu3PLdqpf2Tl" TargetMode="External"/><Relationship Id="rId6148" Type="http://schemas.openxmlformats.org/officeDocument/2006/relationships/hyperlink" Target="https://www.facebook.com/profile.php?id=100078847867707" TargetMode="External"/><Relationship Id="rId6149" Type="http://schemas.openxmlformats.org/officeDocument/2006/relationships/hyperlink" Target="https://www.facebook.com/rapplerdotcom/posts/pfbid0JJW97xH5fR5tDSLUQ8AnEgkPMU9Aigs9CgcNy2Q7AzJY4R8mRoicBgu3PLdqpf2Tl" TargetMode="External"/><Relationship Id="rId6131" Type="http://schemas.openxmlformats.org/officeDocument/2006/relationships/hyperlink" Target="https://www.facebook.com/rapplerdotcom/posts/pfbid0JJW97xH5fR5tDSLUQ8AnEgkPMU9Aigs9CgcNy2Q7AzJY4R8mRoicBgu3PLdqpf2Tl" TargetMode="External"/><Relationship Id="rId6132" Type="http://schemas.openxmlformats.org/officeDocument/2006/relationships/hyperlink" Target="https://www.facebook.com/profile.php?id=100078360290135" TargetMode="External"/><Relationship Id="rId6130" Type="http://schemas.openxmlformats.org/officeDocument/2006/relationships/hyperlink" Target="https://www.facebook.com/profile.php?id=100075805955471" TargetMode="External"/><Relationship Id="rId6135" Type="http://schemas.openxmlformats.org/officeDocument/2006/relationships/hyperlink" Target="https://www.facebook.com/rapplerdotcom/posts/pfbid0JJW97xH5fR5tDSLUQ8AnEgkPMU9Aigs9CgcNy2Q7AzJY4R8mRoicBgu3PLdqpf2Tl" TargetMode="External"/><Relationship Id="rId6136" Type="http://schemas.openxmlformats.org/officeDocument/2006/relationships/hyperlink" Target="https://www.facebook.com/profile.php?id=100077311853138" TargetMode="External"/><Relationship Id="rId6133" Type="http://schemas.openxmlformats.org/officeDocument/2006/relationships/hyperlink" Target="https://www.facebook.com/rapplerdotcom/posts/pfbid0JJW97xH5fR5tDSLUQ8AnEgkPMU9Aigs9CgcNy2Q7AzJY4R8mRoicBgu3PLdqpf2Tl" TargetMode="External"/><Relationship Id="rId6134" Type="http://schemas.openxmlformats.org/officeDocument/2006/relationships/hyperlink" Target="https://www.facebook.com/profile.php?id=100078889116529" TargetMode="External"/><Relationship Id="rId6139" Type="http://schemas.openxmlformats.org/officeDocument/2006/relationships/hyperlink" Target="https://www.facebook.com/rapplerdotcom/posts/pfbid0JJW97xH5fR5tDSLUQ8AnEgkPMU9Aigs9CgcNy2Q7AzJY4R8mRoicBgu3PLdqpf2Tl" TargetMode="External"/><Relationship Id="rId6137" Type="http://schemas.openxmlformats.org/officeDocument/2006/relationships/hyperlink" Target="https://www.facebook.com/rapplerdotcom/posts/pfbid0JJW97xH5fR5tDSLUQ8AnEgkPMU9Aigs9CgcNy2Q7AzJY4R8mRoicBgu3PLdqpf2Tl" TargetMode="External"/><Relationship Id="rId6138" Type="http://schemas.openxmlformats.org/officeDocument/2006/relationships/hyperlink" Target="https://www.facebook.com/profile.php?id=100078635051322" TargetMode="External"/><Relationship Id="rId6160" Type="http://schemas.openxmlformats.org/officeDocument/2006/relationships/hyperlink" Target="https://www.facebook.com/jed.alegado" TargetMode="External"/><Relationship Id="rId6161" Type="http://schemas.openxmlformats.org/officeDocument/2006/relationships/hyperlink" Target="https://www.facebook.com/rapplerdotcom/posts/pfbid0JJW97xH5fR5tDSLUQ8AnEgkPMU9Aigs9CgcNy2Q7AzJY4R8mRoicBgu3PLdqpf2Tl" TargetMode="External"/><Relationship Id="rId6164" Type="http://schemas.openxmlformats.org/officeDocument/2006/relationships/hyperlink" Target="https://www.facebook.com/johndiazcortez" TargetMode="External"/><Relationship Id="rId6165" Type="http://schemas.openxmlformats.org/officeDocument/2006/relationships/hyperlink" Target="https://www.facebook.com/watch/?v=684555919511830" TargetMode="External"/><Relationship Id="rId6162" Type="http://schemas.openxmlformats.org/officeDocument/2006/relationships/hyperlink" Target="https://www.facebook.com/gobi.castle.9" TargetMode="External"/><Relationship Id="rId6163" Type="http://schemas.openxmlformats.org/officeDocument/2006/relationships/hyperlink" Target="https://www.facebook.com/rapplerdotcom/posts/pfbid0JJW97xH5fR5tDSLUQ8AnEgkPMU9Aigs9CgcNy2Q7AzJY4R8mRoicBgu3PLdqpf2Tl" TargetMode="External"/><Relationship Id="rId6168" Type="http://schemas.openxmlformats.org/officeDocument/2006/relationships/hyperlink" Target="https://www.facebook.com/mayette.miranda.9" TargetMode="External"/><Relationship Id="rId6169" Type="http://schemas.openxmlformats.org/officeDocument/2006/relationships/hyperlink" Target="https://www.facebook.com/watch/?v=684555919511830" TargetMode="External"/><Relationship Id="rId6166" Type="http://schemas.openxmlformats.org/officeDocument/2006/relationships/hyperlink" Target="https://www.facebook.com/honesto.pabilando.7" TargetMode="External"/><Relationship Id="rId6167" Type="http://schemas.openxmlformats.org/officeDocument/2006/relationships/hyperlink" Target="https://www.facebook.com/watch/?v=684555919511830" TargetMode="External"/><Relationship Id="rId6150" Type="http://schemas.openxmlformats.org/officeDocument/2006/relationships/hyperlink" Target="https://www.facebook.com/rey.delabe.988" TargetMode="External"/><Relationship Id="rId6153" Type="http://schemas.openxmlformats.org/officeDocument/2006/relationships/hyperlink" Target="https://www.facebook.com/rapplerdotcom/posts/pfbid0JJW97xH5fR5tDSLUQ8AnEgkPMU9Aigs9CgcNy2Q7AzJY4R8mRoicBgu3PLdqpf2Tl" TargetMode="External"/><Relationship Id="rId6154" Type="http://schemas.openxmlformats.org/officeDocument/2006/relationships/hyperlink" Target="https://www.facebook.com/bin.abdulmalikimam" TargetMode="External"/><Relationship Id="rId6151" Type="http://schemas.openxmlformats.org/officeDocument/2006/relationships/hyperlink" Target="https://www.facebook.com/rapplerdotcom/posts/pfbid0JJW97xH5fR5tDSLUQ8AnEgkPMU9Aigs9CgcNy2Q7AzJY4R8mRoicBgu3PLdqpf2Tl" TargetMode="External"/><Relationship Id="rId6152" Type="http://schemas.openxmlformats.org/officeDocument/2006/relationships/hyperlink" Target="https://www.facebook.com/profile.php?id=100078672788984" TargetMode="External"/><Relationship Id="rId6157" Type="http://schemas.openxmlformats.org/officeDocument/2006/relationships/hyperlink" Target="https://www.facebook.com/rapplerdotcom/posts/pfbid0JJW97xH5fR5tDSLUQ8AnEgkPMU9Aigs9CgcNy2Q7AzJY4R8mRoicBgu3PLdqpf2Tl" TargetMode="External"/><Relationship Id="rId6158" Type="http://schemas.openxmlformats.org/officeDocument/2006/relationships/hyperlink" Target="https://www.facebook.com/profile.php?id=100074253206798" TargetMode="External"/><Relationship Id="rId6155" Type="http://schemas.openxmlformats.org/officeDocument/2006/relationships/hyperlink" Target="https://www.facebook.com/rapplerdotcom/posts/pfbid0JJW97xH5fR5tDSLUQ8AnEgkPMU9Aigs9CgcNy2Q7AzJY4R8mRoicBgu3PLdqpf2Tl" TargetMode="External"/><Relationship Id="rId6156" Type="http://schemas.openxmlformats.org/officeDocument/2006/relationships/hyperlink" Target="https://www.facebook.com/dennismanaladd" TargetMode="External"/><Relationship Id="rId6159" Type="http://schemas.openxmlformats.org/officeDocument/2006/relationships/hyperlink" Target="https://www.facebook.com/rapplerdotcom/posts/pfbid0JJW97xH5fR5tDSLUQ8AnEgkPMU9Aigs9CgcNy2Q7AzJY4R8mRoicBgu3PLdqpf2Tl" TargetMode="External"/><Relationship Id="rId1334" Type="http://schemas.openxmlformats.org/officeDocument/2006/relationships/hyperlink" Target="https://www.facebook.com/rapplerdotcom/photos/a.317154781638645/5597116770309060/" TargetMode="External"/><Relationship Id="rId2665" Type="http://schemas.openxmlformats.org/officeDocument/2006/relationships/hyperlink" Target="https://www.facebook.com/saldy.herrera.73" TargetMode="External"/><Relationship Id="rId3997" Type="http://schemas.openxmlformats.org/officeDocument/2006/relationships/hyperlink" Target="https://www.facebook.com/noel.isorena.7" TargetMode="External"/><Relationship Id="rId1335" Type="http://schemas.openxmlformats.org/officeDocument/2006/relationships/hyperlink" Target="https://www.facebook.com/ino.reyes.1441" TargetMode="External"/><Relationship Id="rId2666" Type="http://schemas.openxmlformats.org/officeDocument/2006/relationships/hyperlink" Target="https://www.facebook.com/rapplerdotcom/photos/a.317154781638645/5595733810447356/" TargetMode="External"/><Relationship Id="rId3996" Type="http://schemas.openxmlformats.org/officeDocument/2006/relationships/hyperlink" Target="https://www.facebook.com/rapplerdotcom/posts/pfbid0dyWpzxim3h4Z2SYriGakwQw85p7BCAgct7KU5EiMX1bmmgNHDD8nmES8rjrADsrPl" TargetMode="External"/><Relationship Id="rId1336" Type="http://schemas.openxmlformats.org/officeDocument/2006/relationships/hyperlink" Target="https://www.facebook.com/rapplerdotcom/photos/a.317154781638645/5597116770309060/" TargetMode="External"/><Relationship Id="rId2667" Type="http://schemas.openxmlformats.org/officeDocument/2006/relationships/hyperlink" Target="https://www.facebook.com/romel.palcis" TargetMode="External"/><Relationship Id="rId3999" Type="http://schemas.openxmlformats.org/officeDocument/2006/relationships/hyperlink" Target="https://www.facebook.com/noel.isorena.7" TargetMode="External"/><Relationship Id="rId1337" Type="http://schemas.openxmlformats.org/officeDocument/2006/relationships/hyperlink" Target="https://www.facebook.com/frandy.arondaing" TargetMode="External"/><Relationship Id="rId2668" Type="http://schemas.openxmlformats.org/officeDocument/2006/relationships/hyperlink" Target="https://www.facebook.com/rapplerdotcom/photos/a.317154781638645/5595733810447356/" TargetMode="External"/><Relationship Id="rId3998" Type="http://schemas.openxmlformats.org/officeDocument/2006/relationships/hyperlink" Target="https://www.facebook.com/rapplerdotcom/posts/pfbid0dyWpzxim3h4Z2SYriGakwQw85p7BCAgct7KU5EiMX1bmmgNHDD8nmES8rjrADsrPl" TargetMode="External"/><Relationship Id="rId1338" Type="http://schemas.openxmlformats.org/officeDocument/2006/relationships/hyperlink" Target="https://www.facebook.com/rapplerdotcom/photos/a.317154781638645/5597116770309060/" TargetMode="External"/><Relationship Id="rId2669" Type="http://schemas.openxmlformats.org/officeDocument/2006/relationships/hyperlink" Target="https://www.facebook.com/celia.santos.397501" TargetMode="External"/><Relationship Id="rId1339" Type="http://schemas.openxmlformats.org/officeDocument/2006/relationships/hyperlink" Target="https://www.facebook.com/ken.chiz.393" TargetMode="External"/><Relationship Id="rId745" Type="http://schemas.openxmlformats.org/officeDocument/2006/relationships/hyperlink" Target="https://www.facebook.com/chito.say.9" TargetMode="External"/><Relationship Id="rId744" Type="http://schemas.openxmlformats.org/officeDocument/2006/relationships/hyperlink" Target="https://www.facebook.com/rapplerdotcom/photos/a.317154781638645/5597612220259515/" TargetMode="External"/><Relationship Id="rId743" Type="http://schemas.openxmlformats.org/officeDocument/2006/relationships/hyperlink" Target="https://www.facebook.com/nelson.figueroa.1048" TargetMode="External"/><Relationship Id="rId742" Type="http://schemas.openxmlformats.org/officeDocument/2006/relationships/hyperlink" Target="https://www.facebook.com/rapplerdotcom/photos/a.317154781638645/5597612220259515/" TargetMode="External"/><Relationship Id="rId749" Type="http://schemas.openxmlformats.org/officeDocument/2006/relationships/hyperlink" Target="https://www.facebook.com/jocelyn.mendoza.5437" TargetMode="External"/><Relationship Id="rId748" Type="http://schemas.openxmlformats.org/officeDocument/2006/relationships/hyperlink" Target="https://www.facebook.com/rapplerdotcom/photos/a.317154781638645/5597612220259515/" TargetMode="External"/><Relationship Id="rId747" Type="http://schemas.openxmlformats.org/officeDocument/2006/relationships/hyperlink" Target="https://www.facebook.com/wilbert.favor" TargetMode="External"/><Relationship Id="rId746" Type="http://schemas.openxmlformats.org/officeDocument/2006/relationships/hyperlink" Target="https://www.facebook.com/rapplerdotcom/photos/a.317154781638645/5597612220259515/" TargetMode="External"/><Relationship Id="rId3991" Type="http://schemas.openxmlformats.org/officeDocument/2006/relationships/hyperlink" Target="https://www.facebook.com/profile.php?id=100076726444381" TargetMode="External"/><Relationship Id="rId2660" Type="http://schemas.openxmlformats.org/officeDocument/2006/relationships/hyperlink" Target="https://www.facebook.com/rapplerdotcom/photos/a.317154781638645/5595733810447356/" TargetMode="External"/><Relationship Id="rId3990" Type="http://schemas.openxmlformats.org/officeDocument/2006/relationships/hyperlink" Target="https://www.facebook.com/rapplerdotcom/posts/pfbid0dyWpzxim3h4Z2SYriGakwQw85p7BCAgct7KU5EiMX1bmmgNHDD8nmES8rjrADsrPl" TargetMode="External"/><Relationship Id="rId741" Type="http://schemas.openxmlformats.org/officeDocument/2006/relationships/hyperlink" Target="https://www.facebook.com/zenaida.laguio.75" TargetMode="External"/><Relationship Id="rId1330" Type="http://schemas.openxmlformats.org/officeDocument/2006/relationships/hyperlink" Target="https://www.facebook.com/rapplerdotcom/photos/a.317154781638645/5597116770309060/" TargetMode="External"/><Relationship Id="rId2661" Type="http://schemas.openxmlformats.org/officeDocument/2006/relationships/hyperlink" Target="https://www.facebook.com/alonso.severo.5" TargetMode="External"/><Relationship Id="rId3993" Type="http://schemas.openxmlformats.org/officeDocument/2006/relationships/hyperlink" Target="https://www.facebook.com/noel.isorena.7" TargetMode="External"/><Relationship Id="rId740" Type="http://schemas.openxmlformats.org/officeDocument/2006/relationships/hyperlink" Target="https://www.facebook.com/rapplerdotcom/photos/a.317154781638645/5597612220259515/" TargetMode="External"/><Relationship Id="rId1331" Type="http://schemas.openxmlformats.org/officeDocument/2006/relationships/hyperlink" Target="https://www.facebook.com/We-Chose-Common-Sense-We-Voted-for-Leni-Kiko-2022-100975789090665/" TargetMode="External"/><Relationship Id="rId2662" Type="http://schemas.openxmlformats.org/officeDocument/2006/relationships/hyperlink" Target="https://www.facebook.com/rapplerdotcom/photos/a.317154781638645/5595733810447356/" TargetMode="External"/><Relationship Id="rId3992" Type="http://schemas.openxmlformats.org/officeDocument/2006/relationships/hyperlink" Target="https://www.facebook.com/rapplerdotcom/posts/pfbid0dyWpzxim3h4Z2SYriGakwQw85p7BCAgct7KU5EiMX1bmmgNHDD8nmES8rjrADsrPl" TargetMode="External"/><Relationship Id="rId1332" Type="http://schemas.openxmlformats.org/officeDocument/2006/relationships/hyperlink" Target="https://www.facebook.com/rapplerdotcom/photos/a.317154781638645/5597116770309060/" TargetMode="External"/><Relationship Id="rId2663" Type="http://schemas.openxmlformats.org/officeDocument/2006/relationships/hyperlink" Target="https://www.facebook.com/michelle.eslit" TargetMode="External"/><Relationship Id="rId3995" Type="http://schemas.openxmlformats.org/officeDocument/2006/relationships/hyperlink" Target="https://www.facebook.com/noel.isorena.7" TargetMode="External"/><Relationship Id="rId1333" Type="http://schemas.openxmlformats.org/officeDocument/2006/relationships/hyperlink" Target="https://www.facebook.com/roderick.reonal.7" TargetMode="External"/><Relationship Id="rId2664" Type="http://schemas.openxmlformats.org/officeDocument/2006/relationships/hyperlink" Target="https://www.facebook.com/rapplerdotcom/photos/a.317154781638645/5595733810447356/" TargetMode="External"/><Relationship Id="rId3994" Type="http://schemas.openxmlformats.org/officeDocument/2006/relationships/hyperlink" Target="https://www.facebook.com/rapplerdotcom/posts/pfbid0dyWpzxim3h4Z2SYriGakwQw85p7BCAgct7KU5EiMX1bmmgNHDD8nmES8rjrADsrPl" TargetMode="External"/><Relationship Id="rId1323" Type="http://schemas.openxmlformats.org/officeDocument/2006/relationships/hyperlink" Target="https://www.facebook.com/BimBirimBimBim" TargetMode="External"/><Relationship Id="rId2654" Type="http://schemas.openxmlformats.org/officeDocument/2006/relationships/hyperlink" Target="https://www.facebook.com/rapplerdotcom/photos/a.317154781638645/5595733810447356/" TargetMode="External"/><Relationship Id="rId3986" Type="http://schemas.openxmlformats.org/officeDocument/2006/relationships/hyperlink" Target="https://www.facebook.com/rapplerdotcom/posts/pfbid0dyWpzxim3h4Z2SYriGakwQw85p7BCAgct7KU5EiMX1bmmgNHDD8nmES8rjrADsrPl" TargetMode="External"/><Relationship Id="rId1324" Type="http://schemas.openxmlformats.org/officeDocument/2006/relationships/hyperlink" Target="https://www.facebook.com/rapplerdotcom/photos/a.317154781638645/5597116770309060/" TargetMode="External"/><Relationship Id="rId2655" Type="http://schemas.openxmlformats.org/officeDocument/2006/relationships/hyperlink" Target="https://www.facebook.com/profile.php?id=100009637215034" TargetMode="External"/><Relationship Id="rId3985" Type="http://schemas.openxmlformats.org/officeDocument/2006/relationships/hyperlink" Target="https://www.facebook.com/aries.raphael" TargetMode="External"/><Relationship Id="rId1325" Type="http://schemas.openxmlformats.org/officeDocument/2006/relationships/hyperlink" Target="https://www.facebook.com/sec.anning" TargetMode="External"/><Relationship Id="rId2656" Type="http://schemas.openxmlformats.org/officeDocument/2006/relationships/hyperlink" Target="https://www.facebook.com/rapplerdotcom/photos/a.317154781638645/5595733810447356/" TargetMode="External"/><Relationship Id="rId3988" Type="http://schemas.openxmlformats.org/officeDocument/2006/relationships/hyperlink" Target="https://www.facebook.com/rapplerdotcom/posts/pfbid0dyWpzxim3h4Z2SYriGakwQw85p7BCAgct7KU5EiMX1bmmgNHDD8nmES8rjrADsrPl" TargetMode="External"/><Relationship Id="rId1326" Type="http://schemas.openxmlformats.org/officeDocument/2006/relationships/hyperlink" Target="https://www.facebook.com/rapplerdotcom/photos/a.317154781638645/5597116770309060/" TargetMode="External"/><Relationship Id="rId2657" Type="http://schemas.openxmlformats.org/officeDocument/2006/relationships/hyperlink" Target="https://www.facebook.com/kttykrsh" TargetMode="External"/><Relationship Id="rId3987" Type="http://schemas.openxmlformats.org/officeDocument/2006/relationships/hyperlink" Target="https://www.facebook.com/jobic.aquino" TargetMode="External"/><Relationship Id="rId1327" Type="http://schemas.openxmlformats.org/officeDocument/2006/relationships/hyperlink" Target="https://www.facebook.com/BimBirimBimBim" TargetMode="External"/><Relationship Id="rId2658" Type="http://schemas.openxmlformats.org/officeDocument/2006/relationships/hyperlink" Target="https://www.facebook.com/rapplerdotcom/photos/a.317154781638645/5595733810447356/" TargetMode="External"/><Relationship Id="rId1328" Type="http://schemas.openxmlformats.org/officeDocument/2006/relationships/hyperlink" Target="https://www.facebook.com/rapplerdotcom/photos/a.317154781638645/5597116770309060/" TargetMode="External"/><Relationship Id="rId2659" Type="http://schemas.openxmlformats.org/officeDocument/2006/relationships/hyperlink" Target="https://www.facebook.com/christina.aranda.188" TargetMode="External"/><Relationship Id="rId3989" Type="http://schemas.openxmlformats.org/officeDocument/2006/relationships/hyperlink" Target="https://www.facebook.com/athaliecruzedez" TargetMode="External"/><Relationship Id="rId1329" Type="http://schemas.openxmlformats.org/officeDocument/2006/relationships/hyperlink" Target="https://www.facebook.com/beverly.dalton.161" TargetMode="External"/><Relationship Id="rId739" Type="http://schemas.openxmlformats.org/officeDocument/2006/relationships/hyperlink" Target="https://www.facebook.com/hector.t.padilla" TargetMode="External"/><Relationship Id="rId734" Type="http://schemas.openxmlformats.org/officeDocument/2006/relationships/hyperlink" Target="https://www.facebook.com/rapplerdotcom/photos/a.317154781638645/5597612220259515/" TargetMode="External"/><Relationship Id="rId733" Type="http://schemas.openxmlformats.org/officeDocument/2006/relationships/hyperlink" Target="https://www.facebook.com/angelo.amistoso.5" TargetMode="External"/><Relationship Id="rId732" Type="http://schemas.openxmlformats.org/officeDocument/2006/relationships/hyperlink" Target="https://www.facebook.com/rapplerdotcom/photos/a.317154781638645/5597612220259515/" TargetMode="External"/><Relationship Id="rId731" Type="http://schemas.openxmlformats.org/officeDocument/2006/relationships/hyperlink" Target="https://www.facebook.com/profile.php?id=100005697048693" TargetMode="External"/><Relationship Id="rId738" Type="http://schemas.openxmlformats.org/officeDocument/2006/relationships/hyperlink" Target="https://www.facebook.com/rapplerdotcom/photos/a.317154781638645/5597612220259515/" TargetMode="External"/><Relationship Id="rId737" Type="http://schemas.openxmlformats.org/officeDocument/2006/relationships/hyperlink" Target="https://www.facebook.com/babettemendelebar" TargetMode="External"/><Relationship Id="rId736" Type="http://schemas.openxmlformats.org/officeDocument/2006/relationships/hyperlink" Target="https://www.facebook.com/rapplerdotcom/photos/a.317154781638645/5597612220259515/" TargetMode="External"/><Relationship Id="rId735" Type="http://schemas.openxmlformats.org/officeDocument/2006/relationships/hyperlink" Target="https://www.facebook.com/ocir18" TargetMode="External"/><Relationship Id="rId3980" Type="http://schemas.openxmlformats.org/officeDocument/2006/relationships/hyperlink" Target="https://www.facebook.com/rapplerdotcom/posts/pfbid0dyWpzxim3h4Z2SYriGakwQw85p7BCAgct7KU5EiMX1bmmgNHDD8nmES8rjrADsrPl" TargetMode="External"/><Relationship Id="rId730" Type="http://schemas.openxmlformats.org/officeDocument/2006/relationships/hyperlink" Target="https://www.facebook.com/rapplerdotcom/photos/a.317154781638645/5597612220259515/" TargetMode="External"/><Relationship Id="rId2650" Type="http://schemas.openxmlformats.org/officeDocument/2006/relationships/hyperlink" Target="https://www.facebook.com/rapplerdotcom/photos/a.317154781638645/5595733810447356/" TargetMode="External"/><Relationship Id="rId3982" Type="http://schemas.openxmlformats.org/officeDocument/2006/relationships/hyperlink" Target="https://www.facebook.com/rapplerdotcom/posts/pfbid0dyWpzxim3h4Z2SYriGakwQw85p7BCAgct7KU5EiMX1bmmgNHDD8nmES8rjrADsrPl" TargetMode="External"/><Relationship Id="rId1320" Type="http://schemas.openxmlformats.org/officeDocument/2006/relationships/hyperlink" Target="https://www.facebook.com/rapplerdotcom/photos/a.317154781638645/5597116770309060/" TargetMode="External"/><Relationship Id="rId2651" Type="http://schemas.openxmlformats.org/officeDocument/2006/relationships/hyperlink" Target="https://www.facebook.com/jeffrey.alfaro.10" TargetMode="External"/><Relationship Id="rId3981" Type="http://schemas.openxmlformats.org/officeDocument/2006/relationships/hyperlink" Target="https://www.facebook.com/heng.shield" TargetMode="External"/><Relationship Id="rId1321" Type="http://schemas.openxmlformats.org/officeDocument/2006/relationships/hyperlink" Target="https://www.facebook.com/sec.anning" TargetMode="External"/><Relationship Id="rId2652" Type="http://schemas.openxmlformats.org/officeDocument/2006/relationships/hyperlink" Target="https://www.facebook.com/rapplerdotcom/photos/a.317154781638645/5595733810447356/" TargetMode="External"/><Relationship Id="rId3984" Type="http://schemas.openxmlformats.org/officeDocument/2006/relationships/hyperlink" Target="https://www.facebook.com/rapplerdotcom/posts/pfbid0dyWpzxim3h4Z2SYriGakwQw85p7BCAgct7KU5EiMX1bmmgNHDD8nmES8rjrADsrPl" TargetMode="External"/><Relationship Id="rId1322" Type="http://schemas.openxmlformats.org/officeDocument/2006/relationships/hyperlink" Target="https://www.facebook.com/rapplerdotcom/photos/a.317154781638645/5597116770309060/" TargetMode="External"/><Relationship Id="rId2653" Type="http://schemas.openxmlformats.org/officeDocument/2006/relationships/hyperlink" Target="https://www.facebook.com/profile.php?id=100010524198327" TargetMode="External"/><Relationship Id="rId3983" Type="http://schemas.openxmlformats.org/officeDocument/2006/relationships/hyperlink" Target="https://www.facebook.com/nathan.deguzman.520900" TargetMode="External"/><Relationship Id="rId1356" Type="http://schemas.openxmlformats.org/officeDocument/2006/relationships/hyperlink" Target="https://www.facebook.com/rapplerdotcom/photos/a.317154781638645/5597116770309060/" TargetMode="External"/><Relationship Id="rId2687" Type="http://schemas.openxmlformats.org/officeDocument/2006/relationships/hyperlink" Target="https://www.facebook.com/obiso.clarissa" TargetMode="External"/><Relationship Id="rId1357" Type="http://schemas.openxmlformats.org/officeDocument/2006/relationships/hyperlink" Target="https://www.facebook.com/liezl.malinao.1" TargetMode="External"/><Relationship Id="rId2688" Type="http://schemas.openxmlformats.org/officeDocument/2006/relationships/hyperlink" Target="https://www.facebook.com/rapplerdotcom/photos/a.317154781638645/5595733810447356/" TargetMode="External"/><Relationship Id="rId1358" Type="http://schemas.openxmlformats.org/officeDocument/2006/relationships/hyperlink" Target="https://www.facebook.com/rapplerdotcom/photos/a.317154781638645/5597116770309060/" TargetMode="External"/><Relationship Id="rId2689" Type="http://schemas.openxmlformats.org/officeDocument/2006/relationships/hyperlink" Target="https://www.facebook.com/benjamin.naces.3" TargetMode="External"/><Relationship Id="rId1359" Type="http://schemas.openxmlformats.org/officeDocument/2006/relationships/hyperlink" Target="https://www.facebook.com/pete.villena" TargetMode="External"/><Relationship Id="rId767" Type="http://schemas.openxmlformats.org/officeDocument/2006/relationships/hyperlink" Target="https://www.facebook.com/leonallent" TargetMode="External"/><Relationship Id="rId766" Type="http://schemas.openxmlformats.org/officeDocument/2006/relationships/hyperlink" Target="https://www.facebook.com/rapplerdotcom/photos/a.317154781638645/5597612220259515/" TargetMode="External"/><Relationship Id="rId765" Type="http://schemas.openxmlformats.org/officeDocument/2006/relationships/hyperlink" Target="https://www.facebook.com/dominador.lopez2" TargetMode="External"/><Relationship Id="rId764" Type="http://schemas.openxmlformats.org/officeDocument/2006/relationships/hyperlink" Target="https://www.facebook.com/rapplerdotcom/photos/a.317154781638645/5597612220259515/" TargetMode="External"/><Relationship Id="rId769" Type="http://schemas.openxmlformats.org/officeDocument/2006/relationships/hyperlink" Target="https://www.facebook.com/lito.watiwat" TargetMode="External"/><Relationship Id="rId768" Type="http://schemas.openxmlformats.org/officeDocument/2006/relationships/hyperlink" Target="https://www.facebook.com/rapplerdotcom/photos/a.317154781638645/5597612220259515/" TargetMode="External"/><Relationship Id="rId2680" Type="http://schemas.openxmlformats.org/officeDocument/2006/relationships/hyperlink" Target="https://www.facebook.com/rapplerdotcom/photos/a.317154781638645/5595733810447356/" TargetMode="External"/><Relationship Id="rId1350" Type="http://schemas.openxmlformats.org/officeDocument/2006/relationships/hyperlink" Target="https://www.facebook.com/rapplerdotcom/photos/a.317154781638645/5597116770309060/" TargetMode="External"/><Relationship Id="rId2681" Type="http://schemas.openxmlformats.org/officeDocument/2006/relationships/hyperlink" Target="https://www.facebook.com/profile.php?id=100073431611450" TargetMode="External"/><Relationship Id="rId1351" Type="http://schemas.openxmlformats.org/officeDocument/2006/relationships/hyperlink" Target="https://www.facebook.com/liezl.malinao.1" TargetMode="External"/><Relationship Id="rId2682" Type="http://schemas.openxmlformats.org/officeDocument/2006/relationships/hyperlink" Target="https://www.facebook.com/rapplerdotcom/photos/a.317154781638645/5595733810447356/" TargetMode="External"/><Relationship Id="rId763" Type="http://schemas.openxmlformats.org/officeDocument/2006/relationships/hyperlink" Target="https://www.facebook.com/debbie.garcia.71216141" TargetMode="External"/><Relationship Id="rId1352" Type="http://schemas.openxmlformats.org/officeDocument/2006/relationships/hyperlink" Target="https://www.facebook.com/rapplerdotcom/photos/a.317154781638645/5597116770309060/" TargetMode="External"/><Relationship Id="rId2683" Type="http://schemas.openxmlformats.org/officeDocument/2006/relationships/hyperlink" Target="https://www.facebook.com/renato.francisco.16503" TargetMode="External"/><Relationship Id="rId762" Type="http://schemas.openxmlformats.org/officeDocument/2006/relationships/hyperlink" Target="https://www.facebook.com/rapplerdotcom/photos/a.317154781638645/5597612220259515/" TargetMode="External"/><Relationship Id="rId1353" Type="http://schemas.openxmlformats.org/officeDocument/2006/relationships/hyperlink" Target="https://www.facebook.com/marjorie.vidad" TargetMode="External"/><Relationship Id="rId2684" Type="http://schemas.openxmlformats.org/officeDocument/2006/relationships/hyperlink" Target="https://www.facebook.com/rapplerdotcom/photos/a.317154781638645/5595733810447356/" TargetMode="External"/><Relationship Id="rId761" Type="http://schemas.openxmlformats.org/officeDocument/2006/relationships/hyperlink" Target="https://www.facebook.com/viviana.ceracas.31" TargetMode="External"/><Relationship Id="rId1354" Type="http://schemas.openxmlformats.org/officeDocument/2006/relationships/hyperlink" Target="https://www.facebook.com/rapplerdotcom/photos/a.317154781638645/5597116770309060/" TargetMode="External"/><Relationship Id="rId2685" Type="http://schemas.openxmlformats.org/officeDocument/2006/relationships/hyperlink" Target="https://www.facebook.com/dindo.ducay" TargetMode="External"/><Relationship Id="rId760" Type="http://schemas.openxmlformats.org/officeDocument/2006/relationships/hyperlink" Target="https://www.facebook.com/rapplerdotcom/photos/a.317154781638645/5597612220259515/" TargetMode="External"/><Relationship Id="rId1355" Type="http://schemas.openxmlformats.org/officeDocument/2006/relationships/hyperlink" Target="https://www.facebook.com/concesa.orecul" TargetMode="External"/><Relationship Id="rId2686" Type="http://schemas.openxmlformats.org/officeDocument/2006/relationships/hyperlink" Target="https://www.facebook.com/rapplerdotcom/photos/a.317154781638645/5595733810447356/" TargetMode="External"/><Relationship Id="rId1345" Type="http://schemas.openxmlformats.org/officeDocument/2006/relationships/hyperlink" Target="https://www.facebook.com/alexis.bacquiran" TargetMode="External"/><Relationship Id="rId2676" Type="http://schemas.openxmlformats.org/officeDocument/2006/relationships/hyperlink" Target="https://www.facebook.com/rapplerdotcom/photos/a.317154781638645/5595733810447356/" TargetMode="External"/><Relationship Id="rId1346" Type="http://schemas.openxmlformats.org/officeDocument/2006/relationships/hyperlink" Target="https://www.facebook.com/rapplerdotcom/photos/a.317154781638645/5597116770309060/" TargetMode="External"/><Relationship Id="rId2677" Type="http://schemas.openxmlformats.org/officeDocument/2006/relationships/hyperlink" Target="https://www.facebook.com/profile.php?id=100012992791715" TargetMode="External"/><Relationship Id="rId1347" Type="http://schemas.openxmlformats.org/officeDocument/2006/relationships/hyperlink" Target="https://www.facebook.com/profile.php?id=100009111409816" TargetMode="External"/><Relationship Id="rId2678" Type="http://schemas.openxmlformats.org/officeDocument/2006/relationships/hyperlink" Target="https://www.facebook.com/rapplerdotcom/photos/a.317154781638645/5595733810447356/" TargetMode="External"/><Relationship Id="rId1348" Type="http://schemas.openxmlformats.org/officeDocument/2006/relationships/hyperlink" Target="https://www.facebook.com/rapplerdotcom/photos/a.317154781638645/5597116770309060/" TargetMode="External"/><Relationship Id="rId2679" Type="http://schemas.openxmlformats.org/officeDocument/2006/relationships/hyperlink" Target="https://www.facebook.com/profile.php?id=100079988850982" TargetMode="External"/><Relationship Id="rId1349" Type="http://schemas.openxmlformats.org/officeDocument/2006/relationships/hyperlink" Target="https://www.facebook.com/celyn.guazon" TargetMode="External"/><Relationship Id="rId756" Type="http://schemas.openxmlformats.org/officeDocument/2006/relationships/hyperlink" Target="https://www.facebook.com/rapplerdotcom/photos/a.317154781638645/5597612220259515/" TargetMode="External"/><Relationship Id="rId755" Type="http://schemas.openxmlformats.org/officeDocument/2006/relationships/hyperlink" Target="https://www.facebook.com/cristyherreralu" TargetMode="External"/><Relationship Id="rId754" Type="http://schemas.openxmlformats.org/officeDocument/2006/relationships/hyperlink" Target="https://www.facebook.com/rapplerdotcom/photos/a.317154781638645/5597612220259515/" TargetMode="External"/><Relationship Id="rId753" Type="http://schemas.openxmlformats.org/officeDocument/2006/relationships/hyperlink" Target="https://www.facebook.com/profile.php?id=100072561709675" TargetMode="External"/><Relationship Id="rId759" Type="http://schemas.openxmlformats.org/officeDocument/2006/relationships/hyperlink" Target="https://www.facebook.com/lizabcede.bana" TargetMode="External"/><Relationship Id="rId758" Type="http://schemas.openxmlformats.org/officeDocument/2006/relationships/hyperlink" Target="https://www.facebook.com/rapplerdotcom/photos/a.317154781638645/5597612220259515/" TargetMode="External"/><Relationship Id="rId757" Type="http://schemas.openxmlformats.org/officeDocument/2006/relationships/hyperlink" Target="https://www.facebook.com/arman.soliveres.5" TargetMode="External"/><Relationship Id="rId2670" Type="http://schemas.openxmlformats.org/officeDocument/2006/relationships/hyperlink" Target="https://www.facebook.com/rapplerdotcom/photos/a.317154781638645/5595733810447356/" TargetMode="External"/><Relationship Id="rId1340" Type="http://schemas.openxmlformats.org/officeDocument/2006/relationships/hyperlink" Target="https://www.facebook.com/rapplerdotcom/photos/a.317154781638645/5597116770309060/" TargetMode="External"/><Relationship Id="rId2671" Type="http://schemas.openxmlformats.org/officeDocument/2006/relationships/hyperlink" Target="https://www.facebook.com/geobert.osma" TargetMode="External"/><Relationship Id="rId752" Type="http://schemas.openxmlformats.org/officeDocument/2006/relationships/hyperlink" Target="https://www.facebook.com/rapplerdotcom/photos/a.317154781638645/5597612220259515/" TargetMode="External"/><Relationship Id="rId1341" Type="http://schemas.openxmlformats.org/officeDocument/2006/relationships/hyperlink" Target="https://www.facebook.com/marvin.andasan.5" TargetMode="External"/><Relationship Id="rId2672" Type="http://schemas.openxmlformats.org/officeDocument/2006/relationships/hyperlink" Target="https://www.facebook.com/rapplerdotcom/photos/a.317154781638645/5595733810447356/" TargetMode="External"/><Relationship Id="rId751" Type="http://schemas.openxmlformats.org/officeDocument/2006/relationships/hyperlink" Target="https://www.facebook.com/abelardo.l.cruz" TargetMode="External"/><Relationship Id="rId1342" Type="http://schemas.openxmlformats.org/officeDocument/2006/relationships/hyperlink" Target="https://www.facebook.com/rapplerdotcom/photos/a.317154781638645/5597116770309060/" TargetMode="External"/><Relationship Id="rId2673" Type="http://schemas.openxmlformats.org/officeDocument/2006/relationships/hyperlink" Target="https://www.facebook.com/profile.php?id=100078911753810" TargetMode="External"/><Relationship Id="rId750" Type="http://schemas.openxmlformats.org/officeDocument/2006/relationships/hyperlink" Target="https://www.facebook.com/rapplerdotcom/photos/a.317154781638645/5597612220259515/" TargetMode="External"/><Relationship Id="rId1343" Type="http://schemas.openxmlformats.org/officeDocument/2006/relationships/hyperlink" Target="https://www.facebook.com/judith.baricuatro" TargetMode="External"/><Relationship Id="rId2674" Type="http://schemas.openxmlformats.org/officeDocument/2006/relationships/hyperlink" Target="https://www.facebook.com/rapplerdotcom/photos/a.317154781638645/5595733810447356/" TargetMode="External"/><Relationship Id="rId1344" Type="http://schemas.openxmlformats.org/officeDocument/2006/relationships/hyperlink" Target="https://www.facebook.com/rapplerdotcom/photos/a.317154781638645/5597116770309060/" TargetMode="External"/><Relationship Id="rId2675" Type="http://schemas.openxmlformats.org/officeDocument/2006/relationships/hyperlink" Target="https://www.facebook.com/profile.php?id=100076597585055" TargetMode="External"/><Relationship Id="rId2621" Type="http://schemas.openxmlformats.org/officeDocument/2006/relationships/hyperlink" Target="https://www.facebook.com/sunday.dugong" TargetMode="External"/><Relationship Id="rId3953" Type="http://schemas.openxmlformats.org/officeDocument/2006/relationships/hyperlink" Target="https://www.facebook.com/Valladoresjude1988" TargetMode="External"/><Relationship Id="rId2622" Type="http://schemas.openxmlformats.org/officeDocument/2006/relationships/hyperlink" Target="https://www.facebook.com/rapplerdotcom/photos/a.317154781638645/5595733810447356/" TargetMode="External"/><Relationship Id="rId3952" Type="http://schemas.openxmlformats.org/officeDocument/2006/relationships/hyperlink" Target="https://www.facebook.com/rapplerdotcom/posts/pfbid0dyWpzxim3h4Z2SYriGakwQw85p7BCAgct7KU5EiMX1bmmgNHDD8nmES8rjrADsrPl" TargetMode="External"/><Relationship Id="rId2623" Type="http://schemas.openxmlformats.org/officeDocument/2006/relationships/hyperlink" Target="https://www.facebook.com/edison.lagota.1" TargetMode="External"/><Relationship Id="rId3955" Type="http://schemas.openxmlformats.org/officeDocument/2006/relationships/hyperlink" Target="https://www.facebook.com/rey.cuizon.90" TargetMode="External"/><Relationship Id="rId2624" Type="http://schemas.openxmlformats.org/officeDocument/2006/relationships/hyperlink" Target="https://www.facebook.com/rapplerdotcom/photos/a.317154781638645/5595733810447356/" TargetMode="External"/><Relationship Id="rId3954" Type="http://schemas.openxmlformats.org/officeDocument/2006/relationships/hyperlink" Target="https://www.facebook.com/rapplerdotcom/posts/pfbid0dyWpzxim3h4Z2SYriGakwQw85p7BCAgct7KU5EiMX1bmmgNHDD8nmES8rjrADsrPl" TargetMode="External"/><Relationship Id="rId2625" Type="http://schemas.openxmlformats.org/officeDocument/2006/relationships/hyperlink" Target="https://www.facebook.com/aila0726" TargetMode="External"/><Relationship Id="rId3957" Type="http://schemas.openxmlformats.org/officeDocument/2006/relationships/hyperlink" Target="https://www.facebook.com/dhoy.mamarinta" TargetMode="External"/><Relationship Id="rId2626" Type="http://schemas.openxmlformats.org/officeDocument/2006/relationships/hyperlink" Target="https://www.facebook.com/rapplerdotcom/photos/a.317154781638645/5595733810447356/" TargetMode="External"/><Relationship Id="rId3956" Type="http://schemas.openxmlformats.org/officeDocument/2006/relationships/hyperlink" Target="https://www.facebook.com/rapplerdotcom/posts/pfbid0dyWpzxim3h4Z2SYriGakwQw85p7BCAgct7KU5EiMX1bmmgNHDD8nmES8rjrADsrPl" TargetMode="External"/><Relationship Id="rId2627" Type="http://schemas.openxmlformats.org/officeDocument/2006/relationships/hyperlink" Target="https://www.facebook.com/melay.rosales" TargetMode="External"/><Relationship Id="rId3959" Type="http://schemas.openxmlformats.org/officeDocument/2006/relationships/hyperlink" Target="https://www.facebook.com/jayjay.paras.10" TargetMode="External"/><Relationship Id="rId2628" Type="http://schemas.openxmlformats.org/officeDocument/2006/relationships/hyperlink" Target="https://www.facebook.com/rapplerdotcom/photos/a.317154781638645/5595733810447356/" TargetMode="External"/><Relationship Id="rId3958" Type="http://schemas.openxmlformats.org/officeDocument/2006/relationships/hyperlink" Target="https://www.facebook.com/rapplerdotcom/posts/pfbid0dyWpzxim3h4Z2SYriGakwQw85p7BCAgct7KU5EiMX1bmmgNHDD8nmES8rjrADsrPl" TargetMode="External"/><Relationship Id="rId709" Type="http://schemas.openxmlformats.org/officeDocument/2006/relationships/hyperlink" Target="https://www.facebook.com/nilo.seda" TargetMode="External"/><Relationship Id="rId2629" Type="http://schemas.openxmlformats.org/officeDocument/2006/relationships/hyperlink" Target="https://www.facebook.com/rdoroon1" TargetMode="External"/><Relationship Id="rId708" Type="http://schemas.openxmlformats.org/officeDocument/2006/relationships/hyperlink" Target="https://www.facebook.com/rapplerdotcom/photos/a.317154781638645/5597612220259515/" TargetMode="External"/><Relationship Id="rId707" Type="http://schemas.openxmlformats.org/officeDocument/2006/relationships/hyperlink" Target="https://www.facebook.com/profile.php?id=100014625901344" TargetMode="External"/><Relationship Id="rId706" Type="http://schemas.openxmlformats.org/officeDocument/2006/relationships/hyperlink" Target="https://www.facebook.com/rapplerdotcom/photos/a.317154781638645/5597612220259515/" TargetMode="External"/><Relationship Id="rId701" Type="http://schemas.openxmlformats.org/officeDocument/2006/relationships/hyperlink" Target="https://www.facebook.com/arsenio.tan.104418" TargetMode="External"/><Relationship Id="rId700" Type="http://schemas.openxmlformats.org/officeDocument/2006/relationships/hyperlink" Target="https://www.facebook.com/rapplerdotcom/photos/a.317154781638645/5597612220259515/" TargetMode="External"/><Relationship Id="rId705" Type="http://schemas.openxmlformats.org/officeDocument/2006/relationships/hyperlink" Target="https://www.facebook.com/nikolo.romeo" TargetMode="External"/><Relationship Id="rId704" Type="http://schemas.openxmlformats.org/officeDocument/2006/relationships/hyperlink" Target="https://www.facebook.com/rapplerdotcom/photos/a.317154781638645/5597612220259515/" TargetMode="External"/><Relationship Id="rId703" Type="http://schemas.openxmlformats.org/officeDocument/2006/relationships/hyperlink" Target="https://www.facebook.com/profile.php?id=100049952135179" TargetMode="External"/><Relationship Id="rId702" Type="http://schemas.openxmlformats.org/officeDocument/2006/relationships/hyperlink" Target="https://www.facebook.com/rapplerdotcom/photos/a.317154781638645/5597612220259515/" TargetMode="External"/><Relationship Id="rId3951" Type="http://schemas.openxmlformats.org/officeDocument/2006/relationships/hyperlink" Target="https://www.facebook.com/Valladoresjude1988" TargetMode="External"/><Relationship Id="rId2620" Type="http://schemas.openxmlformats.org/officeDocument/2006/relationships/hyperlink" Target="https://www.facebook.com/rapplerdotcom/photos/a.317154781638645/5595733810447356/" TargetMode="External"/><Relationship Id="rId3950" Type="http://schemas.openxmlformats.org/officeDocument/2006/relationships/hyperlink" Target="https://www.facebook.com/rapplerdotcom/posts/pfbid0dyWpzxim3h4Z2SYriGakwQw85p7BCAgct7KU5EiMX1bmmgNHDD8nmES8rjrADsrPl" TargetMode="External"/><Relationship Id="rId2610" Type="http://schemas.openxmlformats.org/officeDocument/2006/relationships/hyperlink" Target="https://www.facebook.com/rapplerdotcom/photos/a.317154781638645/5595733810447356/" TargetMode="External"/><Relationship Id="rId3942" Type="http://schemas.openxmlformats.org/officeDocument/2006/relationships/hyperlink" Target="https://www.facebook.com/rapplerdotcom/posts/pfbid0dyWpzxim3h4Z2SYriGakwQw85p7BCAgct7KU5EiMX1bmmgNHDD8nmES8rjrADsrPl" TargetMode="External"/><Relationship Id="rId2611" Type="http://schemas.openxmlformats.org/officeDocument/2006/relationships/hyperlink" Target="https://www.facebook.com/sunday.dugong" TargetMode="External"/><Relationship Id="rId3941" Type="http://schemas.openxmlformats.org/officeDocument/2006/relationships/hyperlink" Target="https://www.facebook.com/henardino" TargetMode="External"/><Relationship Id="rId2612" Type="http://schemas.openxmlformats.org/officeDocument/2006/relationships/hyperlink" Target="https://www.facebook.com/rapplerdotcom/photos/a.317154781638645/5595733810447356/" TargetMode="External"/><Relationship Id="rId3944" Type="http://schemas.openxmlformats.org/officeDocument/2006/relationships/hyperlink" Target="https://www.facebook.com/rapplerdotcom/posts/pfbid0dyWpzxim3h4Z2SYriGakwQw85p7BCAgct7KU5EiMX1bmmgNHDD8nmES8rjrADsrPl" TargetMode="External"/><Relationship Id="rId2613" Type="http://schemas.openxmlformats.org/officeDocument/2006/relationships/hyperlink" Target="https://www.facebook.com/pulubeng.kabute" TargetMode="External"/><Relationship Id="rId3943" Type="http://schemas.openxmlformats.org/officeDocument/2006/relationships/hyperlink" Target="https://www.facebook.com/Valladoresjude1988" TargetMode="External"/><Relationship Id="rId2614" Type="http://schemas.openxmlformats.org/officeDocument/2006/relationships/hyperlink" Target="https://www.facebook.com/rapplerdotcom/photos/a.317154781638645/5595733810447356/" TargetMode="External"/><Relationship Id="rId3946" Type="http://schemas.openxmlformats.org/officeDocument/2006/relationships/hyperlink" Target="https://www.facebook.com/rapplerdotcom/posts/pfbid0dyWpzxim3h4Z2SYriGakwQw85p7BCAgct7KU5EiMX1bmmgNHDD8nmES8rjrADsrPl" TargetMode="External"/><Relationship Id="rId2615" Type="http://schemas.openxmlformats.org/officeDocument/2006/relationships/hyperlink" Target="https://www.facebook.com/sunday.dugong" TargetMode="External"/><Relationship Id="rId3945" Type="http://schemas.openxmlformats.org/officeDocument/2006/relationships/hyperlink" Target="https://www.facebook.com/henardino" TargetMode="External"/><Relationship Id="rId2616" Type="http://schemas.openxmlformats.org/officeDocument/2006/relationships/hyperlink" Target="https://www.facebook.com/rapplerdotcom/photos/a.317154781638645/5595733810447356/" TargetMode="External"/><Relationship Id="rId3948" Type="http://schemas.openxmlformats.org/officeDocument/2006/relationships/hyperlink" Target="https://www.facebook.com/rapplerdotcom/posts/pfbid0dyWpzxim3h4Z2SYriGakwQw85p7BCAgct7KU5EiMX1bmmgNHDD8nmES8rjrADsrPl" TargetMode="External"/><Relationship Id="rId2617" Type="http://schemas.openxmlformats.org/officeDocument/2006/relationships/hyperlink" Target="https://www.facebook.com/gina.parin.7" TargetMode="External"/><Relationship Id="rId3947" Type="http://schemas.openxmlformats.org/officeDocument/2006/relationships/hyperlink" Target="https://www.facebook.com/Valladoresjude1988" TargetMode="External"/><Relationship Id="rId2618" Type="http://schemas.openxmlformats.org/officeDocument/2006/relationships/hyperlink" Target="https://www.facebook.com/rapplerdotcom/photos/a.317154781638645/5595733810447356/" TargetMode="External"/><Relationship Id="rId2619" Type="http://schemas.openxmlformats.org/officeDocument/2006/relationships/hyperlink" Target="https://www.facebook.com/gia.mitchell.9655" TargetMode="External"/><Relationship Id="rId3949" Type="http://schemas.openxmlformats.org/officeDocument/2006/relationships/hyperlink" Target="https://www.facebook.com/henardino" TargetMode="External"/><Relationship Id="rId3940" Type="http://schemas.openxmlformats.org/officeDocument/2006/relationships/hyperlink" Target="https://www.facebook.com/rapplerdotcom/posts/pfbid0dyWpzxim3h4Z2SYriGakwQw85p7BCAgct7KU5EiMX1bmmgNHDD8nmES8rjrADsrPl" TargetMode="External"/><Relationship Id="rId1312" Type="http://schemas.openxmlformats.org/officeDocument/2006/relationships/hyperlink" Target="https://www.facebook.com/rapplerdotcom/photos/a.317154781638645/5597116770309060/" TargetMode="External"/><Relationship Id="rId2643" Type="http://schemas.openxmlformats.org/officeDocument/2006/relationships/hyperlink" Target="https://www.facebook.com/cat.carrot.50" TargetMode="External"/><Relationship Id="rId3975" Type="http://schemas.openxmlformats.org/officeDocument/2006/relationships/hyperlink" Target="https://www.facebook.com/profile.php?id=100007917738516" TargetMode="External"/><Relationship Id="rId1313" Type="http://schemas.openxmlformats.org/officeDocument/2006/relationships/hyperlink" Target="https://www.facebook.com/ronilo.tamares.5" TargetMode="External"/><Relationship Id="rId2644" Type="http://schemas.openxmlformats.org/officeDocument/2006/relationships/hyperlink" Target="https://www.facebook.com/rapplerdotcom/photos/a.317154781638645/5595733810447356/" TargetMode="External"/><Relationship Id="rId3974" Type="http://schemas.openxmlformats.org/officeDocument/2006/relationships/hyperlink" Target="https://www.facebook.com/rapplerdotcom/posts/pfbid0dyWpzxim3h4Z2SYriGakwQw85p7BCAgct7KU5EiMX1bmmgNHDD8nmES8rjrADsrPl" TargetMode="External"/><Relationship Id="rId1314" Type="http://schemas.openxmlformats.org/officeDocument/2006/relationships/hyperlink" Target="https://www.facebook.com/rapplerdotcom/photos/a.317154781638645/5597116770309060/" TargetMode="External"/><Relationship Id="rId2645" Type="http://schemas.openxmlformats.org/officeDocument/2006/relationships/hyperlink" Target="https://www.facebook.com/renward4short" TargetMode="External"/><Relationship Id="rId3977" Type="http://schemas.openxmlformats.org/officeDocument/2006/relationships/hyperlink" Target="https://www.facebook.com/profile.php?id=100046010886575" TargetMode="External"/><Relationship Id="rId1315" Type="http://schemas.openxmlformats.org/officeDocument/2006/relationships/hyperlink" Target="https://www.facebook.com/sol.reas" TargetMode="External"/><Relationship Id="rId2646" Type="http://schemas.openxmlformats.org/officeDocument/2006/relationships/hyperlink" Target="https://www.facebook.com/rapplerdotcom/photos/a.317154781638645/5595733810447356/" TargetMode="External"/><Relationship Id="rId3976" Type="http://schemas.openxmlformats.org/officeDocument/2006/relationships/hyperlink" Target="https://www.facebook.com/rapplerdotcom/posts/pfbid0dyWpzxim3h4Z2SYriGakwQw85p7BCAgct7KU5EiMX1bmmgNHDD8nmES8rjrADsrPl" TargetMode="External"/><Relationship Id="rId1316" Type="http://schemas.openxmlformats.org/officeDocument/2006/relationships/hyperlink" Target="https://www.facebook.com/rapplerdotcom/photos/a.317154781638645/5597116770309060/" TargetMode="External"/><Relationship Id="rId2647" Type="http://schemas.openxmlformats.org/officeDocument/2006/relationships/hyperlink" Target="https://www.facebook.com/she.real.9883" TargetMode="External"/><Relationship Id="rId3979" Type="http://schemas.openxmlformats.org/officeDocument/2006/relationships/hyperlink" Target="https://www.facebook.com/joshua.candelario.712" TargetMode="External"/><Relationship Id="rId1317" Type="http://schemas.openxmlformats.org/officeDocument/2006/relationships/hyperlink" Target="https://www.facebook.com/sec.anning" TargetMode="External"/><Relationship Id="rId2648" Type="http://schemas.openxmlformats.org/officeDocument/2006/relationships/hyperlink" Target="https://www.facebook.com/rapplerdotcom/photos/a.317154781638645/5595733810447356/" TargetMode="External"/><Relationship Id="rId3978" Type="http://schemas.openxmlformats.org/officeDocument/2006/relationships/hyperlink" Target="https://www.facebook.com/rapplerdotcom/posts/pfbid0dyWpzxim3h4Z2SYriGakwQw85p7BCAgct7KU5EiMX1bmmgNHDD8nmES8rjrADsrPl" TargetMode="External"/><Relationship Id="rId1318" Type="http://schemas.openxmlformats.org/officeDocument/2006/relationships/hyperlink" Target="https://www.facebook.com/rapplerdotcom/photos/a.317154781638645/5597116770309060/" TargetMode="External"/><Relationship Id="rId2649" Type="http://schemas.openxmlformats.org/officeDocument/2006/relationships/hyperlink" Target="https://www.facebook.com/nonongfroilan" TargetMode="External"/><Relationship Id="rId1319" Type="http://schemas.openxmlformats.org/officeDocument/2006/relationships/hyperlink" Target="https://www.facebook.com/BimBirimBimBim" TargetMode="External"/><Relationship Id="rId729" Type="http://schemas.openxmlformats.org/officeDocument/2006/relationships/hyperlink" Target="https://www.facebook.com/jovito.tamayo.7" TargetMode="External"/><Relationship Id="rId728" Type="http://schemas.openxmlformats.org/officeDocument/2006/relationships/hyperlink" Target="https://www.facebook.com/rapplerdotcom/photos/a.317154781638645/5597612220259515/" TargetMode="External"/><Relationship Id="rId723" Type="http://schemas.openxmlformats.org/officeDocument/2006/relationships/hyperlink" Target="https://www.facebook.com/fatiph.rack" TargetMode="External"/><Relationship Id="rId722" Type="http://schemas.openxmlformats.org/officeDocument/2006/relationships/hyperlink" Target="https://www.facebook.com/rapplerdotcom/photos/a.317154781638645/5597612220259515/" TargetMode="External"/><Relationship Id="rId721" Type="http://schemas.openxmlformats.org/officeDocument/2006/relationships/hyperlink" Target="https://www.facebook.com/christinefamulagan" TargetMode="External"/><Relationship Id="rId720" Type="http://schemas.openxmlformats.org/officeDocument/2006/relationships/hyperlink" Target="https://www.facebook.com/rapplerdotcom/photos/a.317154781638645/5597612220259515/" TargetMode="External"/><Relationship Id="rId727" Type="http://schemas.openxmlformats.org/officeDocument/2006/relationships/hyperlink" Target="https://www.facebook.com/gene.oarde" TargetMode="External"/><Relationship Id="rId726" Type="http://schemas.openxmlformats.org/officeDocument/2006/relationships/hyperlink" Target="https://www.facebook.com/rapplerdotcom/photos/a.317154781638645/5597612220259515/" TargetMode="External"/><Relationship Id="rId725" Type="http://schemas.openxmlformats.org/officeDocument/2006/relationships/hyperlink" Target="https://www.facebook.com/judema.cruz" TargetMode="External"/><Relationship Id="rId724" Type="http://schemas.openxmlformats.org/officeDocument/2006/relationships/hyperlink" Target="https://www.facebook.com/rapplerdotcom/photos/a.317154781638645/5597612220259515/" TargetMode="External"/><Relationship Id="rId3971" Type="http://schemas.openxmlformats.org/officeDocument/2006/relationships/hyperlink" Target="https://www.facebook.com/ron.koleen" TargetMode="External"/><Relationship Id="rId2640" Type="http://schemas.openxmlformats.org/officeDocument/2006/relationships/hyperlink" Target="https://www.facebook.com/rapplerdotcom/photos/a.317154781638645/5595733810447356/" TargetMode="External"/><Relationship Id="rId3970" Type="http://schemas.openxmlformats.org/officeDocument/2006/relationships/hyperlink" Target="https://www.facebook.com/rapplerdotcom/posts/pfbid0dyWpzxim3h4Z2SYriGakwQw85p7BCAgct7KU5EiMX1bmmgNHDD8nmES8rjrADsrPl" TargetMode="External"/><Relationship Id="rId1310" Type="http://schemas.openxmlformats.org/officeDocument/2006/relationships/hyperlink" Target="https://www.facebook.com/rapplerdotcom/photos/a.317154781638645/5597116770309060/" TargetMode="External"/><Relationship Id="rId2641" Type="http://schemas.openxmlformats.org/officeDocument/2006/relationships/hyperlink" Target="https://www.facebook.com/mariano.josh99" TargetMode="External"/><Relationship Id="rId3973" Type="http://schemas.openxmlformats.org/officeDocument/2006/relationships/hyperlink" Target="https://www.facebook.com/manny.crisostomo" TargetMode="External"/><Relationship Id="rId1311" Type="http://schemas.openxmlformats.org/officeDocument/2006/relationships/hyperlink" Target="https://www.facebook.com/lou.arsenio" TargetMode="External"/><Relationship Id="rId2642" Type="http://schemas.openxmlformats.org/officeDocument/2006/relationships/hyperlink" Target="https://www.facebook.com/rapplerdotcom/photos/a.317154781638645/5595733810447356/" TargetMode="External"/><Relationship Id="rId3972" Type="http://schemas.openxmlformats.org/officeDocument/2006/relationships/hyperlink" Target="https://www.facebook.com/rapplerdotcom/posts/pfbid0dyWpzxim3h4Z2SYriGakwQw85p7BCAgct7KU5EiMX1bmmgNHDD8nmES8rjrADsrPl" TargetMode="External"/><Relationship Id="rId1301" Type="http://schemas.openxmlformats.org/officeDocument/2006/relationships/hyperlink" Target="https://www.facebook.com/profile.php?id=100060712852407" TargetMode="External"/><Relationship Id="rId2632" Type="http://schemas.openxmlformats.org/officeDocument/2006/relationships/hyperlink" Target="https://www.facebook.com/rapplerdotcom/photos/a.317154781638645/5595733810447356/" TargetMode="External"/><Relationship Id="rId3964" Type="http://schemas.openxmlformats.org/officeDocument/2006/relationships/hyperlink" Target="https://www.facebook.com/rapplerdotcom/posts/pfbid0dyWpzxim3h4Z2SYriGakwQw85p7BCAgct7KU5EiMX1bmmgNHDD8nmES8rjrADsrPl" TargetMode="External"/><Relationship Id="rId1302" Type="http://schemas.openxmlformats.org/officeDocument/2006/relationships/hyperlink" Target="https://www.facebook.com/rapplerdotcom/posts/pfbid023goEfA6e1ABSWYJFy8fQ5LFWDv4QTSTmAfzySGtMSpy12iqywB2MUZjiZ8GjCxrGl" TargetMode="External"/><Relationship Id="rId2633" Type="http://schemas.openxmlformats.org/officeDocument/2006/relationships/hyperlink" Target="https://www.facebook.com/alexasophiaaa" TargetMode="External"/><Relationship Id="rId3963" Type="http://schemas.openxmlformats.org/officeDocument/2006/relationships/hyperlink" Target="https://www.facebook.com/profile.php?id=100072014363480" TargetMode="External"/><Relationship Id="rId1303" Type="http://schemas.openxmlformats.org/officeDocument/2006/relationships/hyperlink" Target="https://www.facebook.com/pablo.jobs" TargetMode="External"/><Relationship Id="rId2634" Type="http://schemas.openxmlformats.org/officeDocument/2006/relationships/hyperlink" Target="https://www.facebook.com/rapplerdotcom/photos/a.317154781638645/5595733810447356/" TargetMode="External"/><Relationship Id="rId3966" Type="http://schemas.openxmlformats.org/officeDocument/2006/relationships/hyperlink" Target="https://www.facebook.com/rapplerdotcom/posts/pfbid0dyWpzxim3h4Z2SYriGakwQw85p7BCAgct7KU5EiMX1bmmgNHDD8nmES8rjrADsrPl" TargetMode="External"/><Relationship Id="rId1304" Type="http://schemas.openxmlformats.org/officeDocument/2006/relationships/hyperlink" Target="https://www.facebook.com/rapplerdotcom/posts/pfbid023goEfA6e1ABSWYJFy8fQ5LFWDv4QTSTmAfzySGtMSpy12iqywB2MUZjiZ8GjCxrGl" TargetMode="External"/><Relationship Id="rId2635" Type="http://schemas.openxmlformats.org/officeDocument/2006/relationships/hyperlink" Target="https://www.facebook.com/ivansalanguit21" TargetMode="External"/><Relationship Id="rId3965" Type="http://schemas.openxmlformats.org/officeDocument/2006/relationships/hyperlink" Target="https://www.facebook.com/OFCSuperFranztendo6469" TargetMode="External"/><Relationship Id="rId1305" Type="http://schemas.openxmlformats.org/officeDocument/2006/relationships/hyperlink" Target="https://www.facebook.com/israelflores.acesheart" TargetMode="External"/><Relationship Id="rId2636" Type="http://schemas.openxmlformats.org/officeDocument/2006/relationships/hyperlink" Target="https://www.facebook.com/rapplerdotcom/photos/a.317154781638645/5595733810447356/" TargetMode="External"/><Relationship Id="rId3968" Type="http://schemas.openxmlformats.org/officeDocument/2006/relationships/hyperlink" Target="https://www.facebook.com/rapplerdotcom/posts/pfbid0dyWpzxim3h4Z2SYriGakwQw85p7BCAgct7KU5EiMX1bmmgNHDD8nmES8rjrADsrPl" TargetMode="External"/><Relationship Id="rId1306" Type="http://schemas.openxmlformats.org/officeDocument/2006/relationships/hyperlink" Target="https://www.facebook.com/rapplerdotcom/posts/pfbid023goEfA6e1ABSWYJFy8fQ5LFWDv4QTSTmAfzySGtMSpy12iqywB2MUZjiZ8GjCxrGl" TargetMode="External"/><Relationship Id="rId2637" Type="http://schemas.openxmlformats.org/officeDocument/2006/relationships/hyperlink" Target="https://www.facebook.com/profile.php?id=100069842376386" TargetMode="External"/><Relationship Id="rId3967" Type="http://schemas.openxmlformats.org/officeDocument/2006/relationships/hyperlink" Target="https://www.facebook.com/lemrah91" TargetMode="External"/><Relationship Id="rId1307" Type="http://schemas.openxmlformats.org/officeDocument/2006/relationships/hyperlink" Target="https://www.facebook.com/profile.php?id=100071438692260" TargetMode="External"/><Relationship Id="rId2638" Type="http://schemas.openxmlformats.org/officeDocument/2006/relationships/hyperlink" Target="https://www.facebook.com/rapplerdotcom/photos/a.317154781638645/5595733810447356/" TargetMode="External"/><Relationship Id="rId1308" Type="http://schemas.openxmlformats.org/officeDocument/2006/relationships/hyperlink" Target="https://www.facebook.com/rapplerdotcom/photos/a.317154781638645/5597116770309060/" TargetMode="External"/><Relationship Id="rId2639" Type="http://schemas.openxmlformats.org/officeDocument/2006/relationships/hyperlink" Target="https://www.facebook.com/ancelcurativo" TargetMode="External"/><Relationship Id="rId3969" Type="http://schemas.openxmlformats.org/officeDocument/2006/relationships/hyperlink" Target="https://www.facebook.com/profile.php?id=100074399225331" TargetMode="External"/><Relationship Id="rId1309" Type="http://schemas.openxmlformats.org/officeDocument/2006/relationships/hyperlink" Target="https://www.facebook.com/giljrmiranda" TargetMode="External"/><Relationship Id="rId719" Type="http://schemas.openxmlformats.org/officeDocument/2006/relationships/hyperlink" Target="https://www.facebook.com/christinefamulagan" TargetMode="External"/><Relationship Id="rId718" Type="http://schemas.openxmlformats.org/officeDocument/2006/relationships/hyperlink" Target="https://www.facebook.com/rapplerdotcom/photos/a.317154781638645/5597612220259515/" TargetMode="External"/><Relationship Id="rId717" Type="http://schemas.openxmlformats.org/officeDocument/2006/relationships/hyperlink" Target="https://www.facebook.com/francis.noel.5686" TargetMode="External"/><Relationship Id="rId712" Type="http://schemas.openxmlformats.org/officeDocument/2006/relationships/hyperlink" Target="https://www.facebook.com/rapplerdotcom/photos/a.317154781638645/5597612220259515/" TargetMode="External"/><Relationship Id="rId711" Type="http://schemas.openxmlformats.org/officeDocument/2006/relationships/hyperlink" Target="https://www.facebook.com/ditas.roxas" TargetMode="External"/><Relationship Id="rId710" Type="http://schemas.openxmlformats.org/officeDocument/2006/relationships/hyperlink" Target="https://www.facebook.com/rapplerdotcom/photos/a.317154781638645/5597612220259515/" TargetMode="External"/><Relationship Id="rId716" Type="http://schemas.openxmlformats.org/officeDocument/2006/relationships/hyperlink" Target="https://www.facebook.com/rapplerdotcom/photos/a.317154781638645/5597612220259515/" TargetMode="External"/><Relationship Id="rId715" Type="http://schemas.openxmlformats.org/officeDocument/2006/relationships/hyperlink" Target="https://www.facebook.com/daisycanonizado.dalangin" TargetMode="External"/><Relationship Id="rId714" Type="http://schemas.openxmlformats.org/officeDocument/2006/relationships/hyperlink" Target="https://www.facebook.com/rapplerdotcom/photos/a.317154781638645/5597612220259515/" TargetMode="External"/><Relationship Id="rId713" Type="http://schemas.openxmlformats.org/officeDocument/2006/relationships/hyperlink" Target="https://www.facebook.com/julio.quian" TargetMode="External"/><Relationship Id="rId3960" Type="http://schemas.openxmlformats.org/officeDocument/2006/relationships/hyperlink" Target="https://www.facebook.com/rapplerdotcom/posts/pfbid0dyWpzxim3h4Z2SYriGakwQw85p7BCAgct7KU5EiMX1bmmgNHDD8nmES8rjrADsrPl" TargetMode="External"/><Relationship Id="rId2630" Type="http://schemas.openxmlformats.org/officeDocument/2006/relationships/hyperlink" Target="https://www.facebook.com/rapplerdotcom/photos/a.317154781638645/5595733810447356/" TargetMode="External"/><Relationship Id="rId3962" Type="http://schemas.openxmlformats.org/officeDocument/2006/relationships/hyperlink" Target="https://www.facebook.com/rapplerdotcom/posts/pfbid0dyWpzxim3h4Z2SYriGakwQw85p7BCAgct7KU5EiMX1bmmgNHDD8nmES8rjrADsrPl" TargetMode="External"/><Relationship Id="rId1300" Type="http://schemas.openxmlformats.org/officeDocument/2006/relationships/hyperlink" Target="https://www.facebook.com/rapplerdotcom/posts/pfbid023goEfA6e1ABSWYJFy8fQ5LFWDv4QTSTmAfzySGtMSpy12iqywB2MUZjiZ8GjCxrGl" TargetMode="External"/><Relationship Id="rId2631" Type="http://schemas.openxmlformats.org/officeDocument/2006/relationships/hyperlink" Target="https://www.facebook.com/profile.php?id=100003506242168" TargetMode="External"/><Relationship Id="rId3961" Type="http://schemas.openxmlformats.org/officeDocument/2006/relationships/hyperlink" Target="https://www.facebook.com/nuisance9999" TargetMode="External"/><Relationship Id="rId1378" Type="http://schemas.openxmlformats.org/officeDocument/2006/relationships/hyperlink" Target="https://www.facebook.com/rapplerdotcom/photos/a.317154781638645/5597116770309060/" TargetMode="External"/><Relationship Id="rId1379" Type="http://schemas.openxmlformats.org/officeDocument/2006/relationships/hyperlink" Target="https://www.facebook.com/tito.comesario" TargetMode="External"/><Relationship Id="rId789" Type="http://schemas.openxmlformats.org/officeDocument/2006/relationships/hyperlink" Target="https://www.facebook.com/romeo.serrano.39" TargetMode="External"/><Relationship Id="rId788" Type="http://schemas.openxmlformats.org/officeDocument/2006/relationships/hyperlink" Target="https://www.facebook.com/rapplerdotcom/photos/a.317154781638645/5597612220259515/" TargetMode="External"/><Relationship Id="rId787" Type="http://schemas.openxmlformats.org/officeDocument/2006/relationships/hyperlink" Target="https://www.facebook.com/isidro.rentoy.5" TargetMode="External"/><Relationship Id="rId786" Type="http://schemas.openxmlformats.org/officeDocument/2006/relationships/hyperlink" Target="https://www.facebook.com/rapplerdotcom/photos/a.317154781638645/5597612220259515/" TargetMode="External"/><Relationship Id="rId781" Type="http://schemas.openxmlformats.org/officeDocument/2006/relationships/hyperlink" Target="https://www.facebook.com/bagie.macalalad" TargetMode="External"/><Relationship Id="rId1370" Type="http://schemas.openxmlformats.org/officeDocument/2006/relationships/hyperlink" Target="https://www.facebook.com/rapplerdotcom/photos/a.317154781638645/5597116770309060/" TargetMode="External"/><Relationship Id="rId780" Type="http://schemas.openxmlformats.org/officeDocument/2006/relationships/hyperlink" Target="https://www.facebook.com/rapplerdotcom/photos/a.317154781638645/5597612220259515/" TargetMode="External"/><Relationship Id="rId1371" Type="http://schemas.openxmlformats.org/officeDocument/2006/relationships/hyperlink" Target="https://www.facebook.com/profile.php?id=100009111409816" TargetMode="External"/><Relationship Id="rId1372" Type="http://schemas.openxmlformats.org/officeDocument/2006/relationships/hyperlink" Target="https://www.facebook.com/rapplerdotcom/photos/a.317154781638645/5597116770309060/" TargetMode="External"/><Relationship Id="rId1373" Type="http://schemas.openxmlformats.org/officeDocument/2006/relationships/hyperlink" Target="https://www.facebook.com/jeery.s.gerard" TargetMode="External"/><Relationship Id="rId785" Type="http://schemas.openxmlformats.org/officeDocument/2006/relationships/hyperlink" Target="https://www.facebook.com/egtic.anton" TargetMode="External"/><Relationship Id="rId1374" Type="http://schemas.openxmlformats.org/officeDocument/2006/relationships/hyperlink" Target="https://www.facebook.com/rapplerdotcom/photos/a.317154781638645/5597116770309060/" TargetMode="External"/><Relationship Id="rId784" Type="http://schemas.openxmlformats.org/officeDocument/2006/relationships/hyperlink" Target="https://www.facebook.com/rapplerdotcom/photos/a.317154781638645/5597612220259515/" TargetMode="External"/><Relationship Id="rId1375" Type="http://schemas.openxmlformats.org/officeDocument/2006/relationships/hyperlink" Target="https://www.facebook.com/obe.m.cruz" TargetMode="External"/><Relationship Id="rId783" Type="http://schemas.openxmlformats.org/officeDocument/2006/relationships/hyperlink" Target="https://www.facebook.com/simeona.stevens" TargetMode="External"/><Relationship Id="rId1376" Type="http://schemas.openxmlformats.org/officeDocument/2006/relationships/hyperlink" Target="https://www.facebook.com/rapplerdotcom/photos/a.317154781638645/5597116770309060/" TargetMode="External"/><Relationship Id="rId782" Type="http://schemas.openxmlformats.org/officeDocument/2006/relationships/hyperlink" Target="https://www.facebook.com/rapplerdotcom/photos/a.317154781638645/5597612220259515/" TargetMode="External"/><Relationship Id="rId1377" Type="http://schemas.openxmlformats.org/officeDocument/2006/relationships/hyperlink" Target="https://www.facebook.com/joanamarcelabauson" TargetMode="External"/><Relationship Id="rId1367" Type="http://schemas.openxmlformats.org/officeDocument/2006/relationships/hyperlink" Target="https://www.facebook.com/mario.beroya" TargetMode="External"/><Relationship Id="rId2698" Type="http://schemas.openxmlformats.org/officeDocument/2006/relationships/hyperlink" Target="https://www.facebook.com/rapplerdotcom/photos/a.317154781638645/5595733810447356/" TargetMode="External"/><Relationship Id="rId1368" Type="http://schemas.openxmlformats.org/officeDocument/2006/relationships/hyperlink" Target="https://www.facebook.com/rapplerdotcom/photos/a.317154781638645/5597116770309060/" TargetMode="External"/><Relationship Id="rId2699" Type="http://schemas.openxmlformats.org/officeDocument/2006/relationships/hyperlink" Target="https://www.facebook.com/glenn.esmores.1" TargetMode="External"/><Relationship Id="rId1369" Type="http://schemas.openxmlformats.org/officeDocument/2006/relationships/hyperlink" Target="https://www.facebook.com/profile.php?id=100070135061875" TargetMode="External"/><Relationship Id="rId778" Type="http://schemas.openxmlformats.org/officeDocument/2006/relationships/hyperlink" Target="https://www.facebook.com/rapplerdotcom/photos/a.317154781638645/5597612220259515/" TargetMode="External"/><Relationship Id="rId777" Type="http://schemas.openxmlformats.org/officeDocument/2006/relationships/hyperlink" Target="https://www.facebook.com/reynaldo.villarama" TargetMode="External"/><Relationship Id="rId776" Type="http://schemas.openxmlformats.org/officeDocument/2006/relationships/hyperlink" Target="https://www.facebook.com/rapplerdotcom/photos/a.317154781638645/5597612220259515/" TargetMode="External"/><Relationship Id="rId775" Type="http://schemas.openxmlformats.org/officeDocument/2006/relationships/hyperlink" Target="https://www.facebook.com/merlyn.lachica.96" TargetMode="External"/><Relationship Id="rId779" Type="http://schemas.openxmlformats.org/officeDocument/2006/relationships/hyperlink" Target="https://www.facebook.com/jorge.devenecia" TargetMode="External"/><Relationship Id="rId770" Type="http://schemas.openxmlformats.org/officeDocument/2006/relationships/hyperlink" Target="https://www.facebook.com/rapplerdotcom/photos/a.317154781638645/5597612220259515/" TargetMode="External"/><Relationship Id="rId2690" Type="http://schemas.openxmlformats.org/officeDocument/2006/relationships/hyperlink" Target="https://www.facebook.com/rapplerdotcom/photos/a.317154781638645/5595733810447356/" TargetMode="External"/><Relationship Id="rId1360" Type="http://schemas.openxmlformats.org/officeDocument/2006/relationships/hyperlink" Target="https://www.facebook.com/rapplerdotcom/photos/a.317154781638645/5597116770309060/" TargetMode="External"/><Relationship Id="rId2691" Type="http://schemas.openxmlformats.org/officeDocument/2006/relationships/hyperlink" Target="https://www.facebook.com/profile.php?id=100071816821889" TargetMode="External"/><Relationship Id="rId1361" Type="http://schemas.openxmlformats.org/officeDocument/2006/relationships/hyperlink" Target="https://www.facebook.com/manny.matibag.1" TargetMode="External"/><Relationship Id="rId2692" Type="http://schemas.openxmlformats.org/officeDocument/2006/relationships/hyperlink" Target="https://www.facebook.com/rapplerdotcom/photos/a.317154781638645/5595733810447356/" TargetMode="External"/><Relationship Id="rId1362" Type="http://schemas.openxmlformats.org/officeDocument/2006/relationships/hyperlink" Target="https://www.facebook.com/rapplerdotcom/photos/a.317154781638645/5597116770309060/" TargetMode="External"/><Relationship Id="rId2693" Type="http://schemas.openxmlformats.org/officeDocument/2006/relationships/hyperlink" Target="https://www.facebook.com/tom.bolero1" TargetMode="External"/><Relationship Id="rId774" Type="http://schemas.openxmlformats.org/officeDocument/2006/relationships/hyperlink" Target="https://www.facebook.com/rapplerdotcom/photos/a.317154781638645/5597612220259515/" TargetMode="External"/><Relationship Id="rId1363" Type="http://schemas.openxmlformats.org/officeDocument/2006/relationships/hyperlink" Target="https://www.facebook.com/denis.sahagon" TargetMode="External"/><Relationship Id="rId2694" Type="http://schemas.openxmlformats.org/officeDocument/2006/relationships/hyperlink" Target="https://www.facebook.com/rapplerdotcom/photos/a.317154781638645/5595733810447356/" TargetMode="External"/><Relationship Id="rId773" Type="http://schemas.openxmlformats.org/officeDocument/2006/relationships/hyperlink" Target="https://www.facebook.com/sarah.mae.lopez" TargetMode="External"/><Relationship Id="rId1364" Type="http://schemas.openxmlformats.org/officeDocument/2006/relationships/hyperlink" Target="https://www.facebook.com/rapplerdotcom/photos/a.317154781638645/5597116770309060/" TargetMode="External"/><Relationship Id="rId2695" Type="http://schemas.openxmlformats.org/officeDocument/2006/relationships/hyperlink" Target="https://www.facebook.com/alex.guza" TargetMode="External"/><Relationship Id="rId772" Type="http://schemas.openxmlformats.org/officeDocument/2006/relationships/hyperlink" Target="https://www.facebook.com/rapplerdotcom/photos/a.317154781638645/5597612220259515/" TargetMode="External"/><Relationship Id="rId1365" Type="http://schemas.openxmlformats.org/officeDocument/2006/relationships/hyperlink" Target="https://www.facebook.com/profile.php?id=100009111409816" TargetMode="External"/><Relationship Id="rId2696" Type="http://schemas.openxmlformats.org/officeDocument/2006/relationships/hyperlink" Target="https://www.facebook.com/rapplerdotcom/photos/a.317154781638645/5595733810447356/" TargetMode="External"/><Relationship Id="rId771" Type="http://schemas.openxmlformats.org/officeDocument/2006/relationships/hyperlink" Target="https://www.facebook.com/cora.baliola.5" TargetMode="External"/><Relationship Id="rId1366" Type="http://schemas.openxmlformats.org/officeDocument/2006/relationships/hyperlink" Target="https://www.facebook.com/rapplerdotcom/photos/a.317154781638645/5597116770309060/" TargetMode="External"/><Relationship Id="rId2697" Type="http://schemas.openxmlformats.org/officeDocument/2006/relationships/hyperlink" Target="https://www.facebook.com/carlito.dimayacyac" TargetMode="External"/><Relationship Id="rId1390" Type="http://schemas.openxmlformats.org/officeDocument/2006/relationships/hyperlink" Target="https://www.facebook.com/rapplerdotcom/photos/a.317154781638645/5597116770309060/" TargetMode="External"/><Relationship Id="rId1391" Type="http://schemas.openxmlformats.org/officeDocument/2006/relationships/hyperlink" Target="https://www.facebook.com/profile.php?id=100008332086519" TargetMode="External"/><Relationship Id="rId1392" Type="http://schemas.openxmlformats.org/officeDocument/2006/relationships/hyperlink" Target="https://www.facebook.com/rapplerdotcom/photos/a.317154781638645/5597116770309060/" TargetMode="External"/><Relationship Id="rId1393" Type="http://schemas.openxmlformats.org/officeDocument/2006/relationships/hyperlink" Target="https://www.facebook.com/profile.php?id=100009111409816" TargetMode="External"/><Relationship Id="rId1394" Type="http://schemas.openxmlformats.org/officeDocument/2006/relationships/hyperlink" Target="https://www.facebook.com/rapplerdotcom/photos/a.317154781638645/5597116770309060/" TargetMode="External"/><Relationship Id="rId1395" Type="http://schemas.openxmlformats.org/officeDocument/2006/relationships/hyperlink" Target="https://www.facebook.com/unopres" TargetMode="External"/><Relationship Id="rId1396" Type="http://schemas.openxmlformats.org/officeDocument/2006/relationships/hyperlink" Target="https://www.facebook.com/rapplerdotcom/photos/a.317154781638645/5597116770309060/" TargetMode="External"/><Relationship Id="rId1397" Type="http://schemas.openxmlformats.org/officeDocument/2006/relationships/hyperlink" Target="https://www.facebook.com/profile.php?id=100009111409816" TargetMode="External"/><Relationship Id="rId1398" Type="http://schemas.openxmlformats.org/officeDocument/2006/relationships/hyperlink" Target="https://www.facebook.com/rapplerdotcom/photos/a.317154781638645/5597116770309060/" TargetMode="External"/><Relationship Id="rId1399" Type="http://schemas.openxmlformats.org/officeDocument/2006/relationships/hyperlink" Target="https://www.facebook.com/caloy.galicia" TargetMode="External"/><Relationship Id="rId1389" Type="http://schemas.openxmlformats.org/officeDocument/2006/relationships/hyperlink" Target="https://www.facebook.com/profile.php?id=100010194641005" TargetMode="External"/><Relationship Id="rId799" Type="http://schemas.openxmlformats.org/officeDocument/2006/relationships/hyperlink" Target="https://www.facebook.com/ramon.juario" TargetMode="External"/><Relationship Id="rId798" Type="http://schemas.openxmlformats.org/officeDocument/2006/relationships/hyperlink" Target="https://www.facebook.com/rapplerdotcom/photos/a.317154781638645/5597612220259515/" TargetMode="External"/><Relationship Id="rId797" Type="http://schemas.openxmlformats.org/officeDocument/2006/relationships/hyperlink" Target="https://www.facebook.com/marizz.monzoncordova" TargetMode="External"/><Relationship Id="rId1380" Type="http://schemas.openxmlformats.org/officeDocument/2006/relationships/hyperlink" Target="https://www.facebook.com/rapplerdotcom/photos/a.317154781638645/5597116770309060/" TargetMode="External"/><Relationship Id="rId792" Type="http://schemas.openxmlformats.org/officeDocument/2006/relationships/hyperlink" Target="https://www.facebook.com/rapplerdotcom/photos/a.317154781638645/5597612220259515/" TargetMode="External"/><Relationship Id="rId1381" Type="http://schemas.openxmlformats.org/officeDocument/2006/relationships/hyperlink" Target="https://www.facebook.com/eva.jimenez.39794895" TargetMode="External"/><Relationship Id="rId791" Type="http://schemas.openxmlformats.org/officeDocument/2006/relationships/hyperlink" Target="https://www.facebook.com/RogeJrJobLaura" TargetMode="External"/><Relationship Id="rId1382" Type="http://schemas.openxmlformats.org/officeDocument/2006/relationships/hyperlink" Target="https://www.facebook.com/rapplerdotcom/photos/a.317154781638645/5597116770309060/" TargetMode="External"/><Relationship Id="rId790" Type="http://schemas.openxmlformats.org/officeDocument/2006/relationships/hyperlink" Target="https://www.facebook.com/rapplerdotcom/photos/a.317154781638645/5597612220259515/" TargetMode="External"/><Relationship Id="rId1383" Type="http://schemas.openxmlformats.org/officeDocument/2006/relationships/hyperlink" Target="https://www.facebook.com/marylynacopiadodaganasol" TargetMode="External"/><Relationship Id="rId1384" Type="http://schemas.openxmlformats.org/officeDocument/2006/relationships/hyperlink" Target="https://www.facebook.com/rapplerdotcom/photos/a.317154781638645/5597116770309060/" TargetMode="External"/><Relationship Id="rId796" Type="http://schemas.openxmlformats.org/officeDocument/2006/relationships/hyperlink" Target="https://www.facebook.com/rapplerdotcom/photos/a.317154781638645/5597612220259515/" TargetMode="External"/><Relationship Id="rId1385" Type="http://schemas.openxmlformats.org/officeDocument/2006/relationships/hyperlink" Target="https://www.facebook.com/profile.php?id=100011919187220" TargetMode="External"/><Relationship Id="rId795" Type="http://schemas.openxmlformats.org/officeDocument/2006/relationships/hyperlink" Target="https://www.facebook.com/joebeth.egenias" TargetMode="External"/><Relationship Id="rId1386" Type="http://schemas.openxmlformats.org/officeDocument/2006/relationships/hyperlink" Target="https://www.facebook.com/rapplerdotcom/photos/a.317154781638645/5597116770309060/" TargetMode="External"/><Relationship Id="rId794" Type="http://schemas.openxmlformats.org/officeDocument/2006/relationships/hyperlink" Target="https://www.facebook.com/rapplerdotcom/photos/a.317154781638645/5597612220259515/" TargetMode="External"/><Relationship Id="rId1387" Type="http://schemas.openxmlformats.org/officeDocument/2006/relationships/hyperlink" Target="https://www.facebook.com/edgardo.eva" TargetMode="External"/><Relationship Id="rId793" Type="http://schemas.openxmlformats.org/officeDocument/2006/relationships/hyperlink" Target="https://www.facebook.com/melinda.santelices" TargetMode="External"/><Relationship Id="rId1388" Type="http://schemas.openxmlformats.org/officeDocument/2006/relationships/hyperlink" Target="https://www.facebook.com/rapplerdotcom/photos/a.317154781638645/5597116770309060/" TargetMode="External"/><Relationship Id="rId6229" Type="http://schemas.openxmlformats.org/officeDocument/2006/relationships/hyperlink" Target="https://www.facebook.com/watch/?v=684555919511830" TargetMode="External"/><Relationship Id="rId6220" Type="http://schemas.openxmlformats.org/officeDocument/2006/relationships/hyperlink" Target="https://www.facebook.com/ivan.taneomoreno.9" TargetMode="External"/><Relationship Id="rId6223" Type="http://schemas.openxmlformats.org/officeDocument/2006/relationships/hyperlink" Target="https://www.facebook.com/watch/?v=684555919511830" TargetMode="External"/><Relationship Id="rId6224" Type="http://schemas.openxmlformats.org/officeDocument/2006/relationships/hyperlink" Target="https://www.facebook.com/sumalpong.juwelsaberon" TargetMode="External"/><Relationship Id="rId6221" Type="http://schemas.openxmlformats.org/officeDocument/2006/relationships/hyperlink" Target="https://www.facebook.com/watch/?v=684555919511830" TargetMode="External"/><Relationship Id="rId6222" Type="http://schemas.openxmlformats.org/officeDocument/2006/relationships/hyperlink" Target="https://www.facebook.com/richard.saveron" TargetMode="External"/><Relationship Id="rId6227" Type="http://schemas.openxmlformats.org/officeDocument/2006/relationships/hyperlink" Target="https://www.facebook.com/watch/?v=684555919511830" TargetMode="External"/><Relationship Id="rId6228" Type="http://schemas.openxmlformats.org/officeDocument/2006/relationships/hyperlink" Target="https://www.facebook.com/profile.php?id=100073839987788" TargetMode="External"/><Relationship Id="rId6225" Type="http://schemas.openxmlformats.org/officeDocument/2006/relationships/hyperlink" Target="https://www.facebook.com/watch/?v=684555919511830" TargetMode="External"/><Relationship Id="rId6226" Type="http://schemas.openxmlformats.org/officeDocument/2006/relationships/hyperlink" Target="https://www.facebook.com/ervin.alagao.5" TargetMode="External"/><Relationship Id="rId6218" Type="http://schemas.openxmlformats.org/officeDocument/2006/relationships/hyperlink" Target="https://www.facebook.com/profile.php?id=100073277073791" TargetMode="External"/><Relationship Id="rId6219" Type="http://schemas.openxmlformats.org/officeDocument/2006/relationships/hyperlink" Target="https://www.facebook.com/watch/?v=684555919511830" TargetMode="External"/><Relationship Id="rId6212" Type="http://schemas.openxmlformats.org/officeDocument/2006/relationships/hyperlink" Target="https://www.facebook.com/profile.php?id=100069544954062" TargetMode="External"/><Relationship Id="rId6213" Type="http://schemas.openxmlformats.org/officeDocument/2006/relationships/hyperlink" Target="https://www.facebook.com/watch/?v=684555919511830" TargetMode="External"/><Relationship Id="rId6210" Type="http://schemas.openxmlformats.org/officeDocument/2006/relationships/hyperlink" Target="https://www.facebook.com/donna.arepiso" TargetMode="External"/><Relationship Id="rId6211" Type="http://schemas.openxmlformats.org/officeDocument/2006/relationships/hyperlink" Target="https://www.facebook.com/watch/?v=684555919511830" TargetMode="External"/><Relationship Id="rId6216" Type="http://schemas.openxmlformats.org/officeDocument/2006/relationships/hyperlink" Target="https://www.facebook.com/rigelle.fernandez.39" TargetMode="External"/><Relationship Id="rId6217" Type="http://schemas.openxmlformats.org/officeDocument/2006/relationships/hyperlink" Target="https://www.facebook.com/watch/?v=684555919511830" TargetMode="External"/><Relationship Id="rId6214" Type="http://schemas.openxmlformats.org/officeDocument/2006/relationships/hyperlink" Target="https://www.facebook.com/rolly.dejesus.18" TargetMode="External"/><Relationship Id="rId6215" Type="http://schemas.openxmlformats.org/officeDocument/2006/relationships/hyperlink" Target="https://www.facebook.com/watch/?v=684555919511830" TargetMode="External"/><Relationship Id="rId6230" Type="http://schemas.openxmlformats.org/officeDocument/2006/relationships/drawing" Target="../drawings/drawing1.xml"/><Relationship Id="rId6209" Type="http://schemas.openxmlformats.org/officeDocument/2006/relationships/hyperlink" Target="https://www.facebook.com/watch/?v=684555919511830" TargetMode="External"/><Relationship Id="rId6207" Type="http://schemas.openxmlformats.org/officeDocument/2006/relationships/hyperlink" Target="https://www.facebook.com/watch/?v=684555919511830" TargetMode="External"/><Relationship Id="rId6208" Type="http://schemas.openxmlformats.org/officeDocument/2006/relationships/hyperlink" Target="https://www.facebook.com/rlyn.caipang" TargetMode="External"/><Relationship Id="rId6201" Type="http://schemas.openxmlformats.org/officeDocument/2006/relationships/hyperlink" Target="https://www.facebook.com/watch/?v=684555919511830" TargetMode="External"/><Relationship Id="rId6202" Type="http://schemas.openxmlformats.org/officeDocument/2006/relationships/hyperlink" Target="https://www.facebook.com/profile.php?id=100010435327642" TargetMode="External"/><Relationship Id="rId6200" Type="http://schemas.openxmlformats.org/officeDocument/2006/relationships/hyperlink" Target="https://www.facebook.com/yztik.yaj" TargetMode="External"/><Relationship Id="rId6205" Type="http://schemas.openxmlformats.org/officeDocument/2006/relationships/hyperlink" Target="https://www.facebook.com/watch/?v=684555919511830" TargetMode="External"/><Relationship Id="rId6206" Type="http://schemas.openxmlformats.org/officeDocument/2006/relationships/hyperlink" Target="https://www.facebook.com/ryan.ampasu.9" TargetMode="External"/><Relationship Id="rId6203" Type="http://schemas.openxmlformats.org/officeDocument/2006/relationships/hyperlink" Target="https://www.facebook.com/watch/?v=684555919511830" TargetMode="External"/><Relationship Id="rId6204" Type="http://schemas.openxmlformats.org/officeDocument/2006/relationships/hyperlink" Target="https://www.facebook.com/profile.php?id=100010628258142" TargetMode="External"/><Relationship Id="rId2700" Type="http://schemas.openxmlformats.org/officeDocument/2006/relationships/hyperlink" Target="https://www.facebook.com/rapplerdotcom/photos/a.317154781638645/5595733810447356/" TargetMode="External"/><Relationship Id="rId2701" Type="http://schemas.openxmlformats.org/officeDocument/2006/relationships/hyperlink" Target="https://www.facebook.com/alvarez.eragen" TargetMode="External"/><Relationship Id="rId2702" Type="http://schemas.openxmlformats.org/officeDocument/2006/relationships/hyperlink" Target="https://www.facebook.com/rapplerdotcom/photos/a.317154781638645/5595733810447356/" TargetMode="External"/><Relationship Id="rId2703" Type="http://schemas.openxmlformats.org/officeDocument/2006/relationships/hyperlink" Target="https://www.facebook.com/cirilobalong.lapaz" TargetMode="External"/><Relationship Id="rId2704" Type="http://schemas.openxmlformats.org/officeDocument/2006/relationships/hyperlink" Target="https://www.facebook.com/rapplerdotcom/photos/a.317154781638645/5595733810447356/" TargetMode="External"/><Relationship Id="rId2705" Type="http://schemas.openxmlformats.org/officeDocument/2006/relationships/hyperlink" Target="https://www.facebook.com/janerick.mendozaalarcon" TargetMode="External"/><Relationship Id="rId2706" Type="http://schemas.openxmlformats.org/officeDocument/2006/relationships/hyperlink" Target="https://www.facebook.com/rapplerdotcom/photos/a.317154781638645/5595733810447356/" TargetMode="External"/><Relationship Id="rId2707" Type="http://schemas.openxmlformats.org/officeDocument/2006/relationships/hyperlink" Target="https://www.facebook.com/henry.daco" TargetMode="External"/><Relationship Id="rId2708" Type="http://schemas.openxmlformats.org/officeDocument/2006/relationships/hyperlink" Target="https://www.facebook.com/rapplerdotcom/photos/a.317154781638645/5595733810447356/" TargetMode="External"/><Relationship Id="rId2709" Type="http://schemas.openxmlformats.org/officeDocument/2006/relationships/hyperlink" Target="https://www.facebook.com/maritesse.espinaz" TargetMode="External"/><Relationship Id="rId2720" Type="http://schemas.openxmlformats.org/officeDocument/2006/relationships/hyperlink" Target="https://www.facebook.com/rapplerdotcom/photos/a.317154781638645/5595733810447356/" TargetMode="External"/><Relationship Id="rId2721" Type="http://schemas.openxmlformats.org/officeDocument/2006/relationships/hyperlink" Target="https://www.facebook.com/ariesian.eleazar" TargetMode="External"/><Relationship Id="rId2722" Type="http://schemas.openxmlformats.org/officeDocument/2006/relationships/hyperlink" Target="https://www.facebook.com/rapplerdotcom/photos/a.317154781638645/5595733810447356/" TargetMode="External"/><Relationship Id="rId2723" Type="http://schemas.openxmlformats.org/officeDocument/2006/relationships/hyperlink" Target="https://www.facebook.com/queeniejoy.echavez" TargetMode="External"/><Relationship Id="rId2724" Type="http://schemas.openxmlformats.org/officeDocument/2006/relationships/hyperlink" Target="https://www.facebook.com/rapplerdotcom/photos/a.317154781638645/5595733810447356/" TargetMode="External"/><Relationship Id="rId2725" Type="http://schemas.openxmlformats.org/officeDocument/2006/relationships/hyperlink" Target="https://www.facebook.com/carlomanuel.mendoza" TargetMode="External"/><Relationship Id="rId2726" Type="http://schemas.openxmlformats.org/officeDocument/2006/relationships/hyperlink" Target="https://www.facebook.com/rapplerdotcom/photos/a.317154781638645/5595733810447356/" TargetMode="External"/><Relationship Id="rId2727" Type="http://schemas.openxmlformats.org/officeDocument/2006/relationships/hyperlink" Target="https://www.facebook.com/chloe.vncr" TargetMode="External"/><Relationship Id="rId2728" Type="http://schemas.openxmlformats.org/officeDocument/2006/relationships/hyperlink" Target="https://www.facebook.com/rapplerdotcom/photos/a.317154781638645/5595733810447356/" TargetMode="External"/><Relationship Id="rId2729" Type="http://schemas.openxmlformats.org/officeDocument/2006/relationships/hyperlink" Target="https://www.facebook.com/cherrylynyapchapco.diaz" TargetMode="External"/><Relationship Id="rId2710" Type="http://schemas.openxmlformats.org/officeDocument/2006/relationships/hyperlink" Target="https://www.facebook.com/rapplerdotcom/photos/a.317154781638645/5595733810447356/" TargetMode="External"/><Relationship Id="rId2711" Type="http://schemas.openxmlformats.org/officeDocument/2006/relationships/hyperlink" Target="https://www.facebook.com/davidlacsina4" TargetMode="External"/><Relationship Id="rId2712" Type="http://schemas.openxmlformats.org/officeDocument/2006/relationships/hyperlink" Target="https://www.facebook.com/rapplerdotcom/photos/a.317154781638645/5595733810447356/" TargetMode="External"/><Relationship Id="rId2713" Type="http://schemas.openxmlformats.org/officeDocument/2006/relationships/hyperlink" Target="https://www.facebook.com/romeo.banderado.56" TargetMode="External"/><Relationship Id="rId2714" Type="http://schemas.openxmlformats.org/officeDocument/2006/relationships/hyperlink" Target="https://www.facebook.com/rapplerdotcom/photos/a.317154781638645/5595733810447356/" TargetMode="External"/><Relationship Id="rId2715" Type="http://schemas.openxmlformats.org/officeDocument/2006/relationships/hyperlink" Target="https://www.facebook.com/bobby.gonzaga.9404" TargetMode="External"/><Relationship Id="rId2716" Type="http://schemas.openxmlformats.org/officeDocument/2006/relationships/hyperlink" Target="https://www.facebook.com/rapplerdotcom/photos/a.317154781638645/5595733810447356/" TargetMode="External"/><Relationship Id="rId2717" Type="http://schemas.openxmlformats.org/officeDocument/2006/relationships/hyperlink" Target="https://www.facebook.com/wilbert.gadayan" TargetMode="External"/><Relationship Id="rId2718" Type="http://schemas.openxmlformats.org/officeDocument/2006/relationships/hyperlink" Target="https://www.facebook.com/rapplerdotcom/photos/a.317154781638645/5595733810447356/" TargetMode="External"/><Relationship Id="rId2719" Type="http://schemas.openxmlformats.org/officeDocument/2006/relationships/hyperlink" Target="https://www.facebook.com/bobby.gonzaga.9404" TargetMode="External"/><Relationship Id="rId1455" Type="http://schemas.openxmlformats.org/officeDocument/2006/relationships/hyperlink" Target="https://www.facebook.com/profile.php?id=100075670464889" TargetMode="External"/><Relationship Id="rId2786" Type="http://schemas.openxmlformats.org/officeDocument/2006/relationships/hyperlink" Target="https://www.facebook.com/watch/?v=570590637273208" TargetMode="External"/><Relationship Id="rId1456" Type="http://schemas.openxmlformats.org/officeDocument/2006/relationships/hyperlink" Target="https://www.facebook.com/rapplerdotcom/photos/a.317154781638645/5597116770309060/" TargetMode="External"/><Relationship Id="rId2787" Type="http://schemas.openxmlformats.org/officeDocument/2006/relationships/hyperlink" Target="https://www.facebook.com/james.yodong" TargetMode="External"/><Relationship Id="rId1457" Type="http://schemas.openxmlformats.org/officeDocument/2006/relationships/hyperlink" Target="https://www.facebook.com/primo.dinglasan.1" TargetMode="External"/><Relationship Id="rId2788" Type="http://schemas.openxmlformats.org/officeDocument/2006/relationships/hyperlink" Target="https://www.facebook.com/watch/?v=570590637273208" TargetMode="External"/><Relationship Id="rId1458" Type="http://schemas.openxmlformats.org/officeDocument/2006/relationships/hyperlink" Target="https://www.facebook.com/rapplerdotcom/photos/a.317154781638645/5597116770309060/" TargetMode="External"/><Relationship Id="rId2789" Type="http://schemas.openxmlformats.org/officeDocument/2006/relationships/hyperlink" Target="https://www.facebook.com/profile.php?id=100007491668111" TargetMode="External"/><Relationship Id="rId1459" Type="http://schemas.openxmlformats.org/officeDocument/2006/relationships/hyperlink" Target="https://www.facebook.com/edwin.marcelo.12" TargetMode="External"/><Relationship Id="rId629" Type="http://schemas.openxmlformats.org/officeDocument/2006/relationships/hyperlink" Target="https://www.facebook.com/jacqueline.sumer.5" TargetMode="External"/><Relationship Id="rId624" Type="http://schemas.openxmlformats.org/officeDocument/2006/relationships/hyperlink" Target="https://www.facebook.com/rapplerdotcom/photos/a.317154781638645/5597874143566656" TargetMode="External"/><Relationship Id="rId623" Type="http://schemas.openxmlformats.org/officeDocument/2006/relationships/hyperlink" Target="https://www.facebook.com/ameliaarana12345" TargetMode="External"/><Relationship Id="rId622" Type="http://schemas.openxmlformats.org/officeDocument/2006/relationships/hyperlink" Target="https://www.facebook.com/rapplerdotcom/photos/a.317154781638645/5597874143566656" TargetMode="External"/><Relationship Id="rId621" Type="http://schemas.openxmlformats.org/officeDocument/2006/relationships/hyperlink" Target="https://www.facebook.com/profile.php?id=100074363201711" TargetMode="External"/><Relationship Id="rId628" Type="http://schemas.openxmlformats.org/officeDocument/2006/relationships/hyperlink" Target="https://www.facebook.com/rapplerdotcom/photos/a.317154781638645/5597874143566656" TargetMode="External"/><Relationship Id="rId627" Type="http://schemas.openxmlformats.org/officeDocument/2006/relationships/hyperlink" Target="https://www.facebook.com/joyceanne.payad" TargetMode="External"/><Relationship Id="rId626" Type="http://schemas.openxmlformats.org/officeDocument/2006/relationships/hyperlink" Target="https://www.facebook.com/rapplerdotcom/photos/a.317154781638645/5597874143566656" TargetMode="External"/><Relationship Id="rId625" Type="http://schemas.openxmlformats.org/officeDocument/2006/relationships/hyperlink" Target="https://www.facebook.com/profile.php?id=100074363201711" TargetMode="External"/><Relationship Id="rId2780" Type="http://schemas.openxmlformats.org/officeDocument/2006/relationships/hyperlink" Target="https://www.facebook.com/watch/?v=570590637273208" TargetMode="External"/><Relationship Id="rId1450" Type="http://schemas.openxmlformats.org/officeDocument/2006/relationships/hyperlink" Target="https://www.facebook.com/rapplerdotcom/photos/a.317154781638645/5597116770309060/" TargetMode="External"/><Relationship Id="rId2781" Type="http://schemas.openxmlformats.org/officeDocument/2006/relationships/hyperlink" Target="https://www.facebook.com/richardo.deloreto" TargetMode="External"/><Relationship Id="rId620" Type="http://schemas.openxmlformats.org/officeDocument/2006/relationships/hyperlink" Target="https://www.facebook.com/rapplerdotcom/photos/a.317154781638645/5597874143566656" TargetMode="External"/><Relationship Id="rId1451" Type="http://schemas.openxmlformats.org/officeDocument/2006/relationships/hyperlink" Target="https://www.facebook.com/profile.php?id=100075670464889" TargetMode="External"/><Relationship Id="rId2782" Type="http://schemas.openxmlformats.org/officeDocument/2006/relationships/hyperlink" Target="https://www.facebook.com/watch/?v=570590637273208" TargetMode="External"/><Relationship Id="rId1452" Type="http://schemas.openxmlformats.org/officeDocument/2006/relationships/hyperlink" Target="https://www.facebook.com/rapplerdotcom/photos/a.317154781638645/5597116770309060/" TargetMode="External"/><Relationship Id="rId2783" Type="http://schemas.openxmlformats.org/officeDocument/2006/relationships/hyperlink" Target="https://www.facebook.com/vincedexter.teves" TargetMode="External"/><Relationship Id="rId1453" Type="http://schemas.openxmlformats.org/officeDocument/2006/relationships/hyperlink" Target="https://www.facebook.com/jayfox73" TargetMode="External"/><Relationship Id="rId2784" Type="http://schemas.openxmlformats.org/officeDocument/2006/relationships/hyperlink" Target="https://www.facebook.com/watch/?v=570590637273208" TargetMode="External"/><Relationship Id="rId1454" Type="http://schemas.openxmlformats.org/officeDocument/2006/relationships/hyperlink" Target="https://www.facebook.com/rapplerdotcom/photos/a.317154781638645/5597116770309060/" TargetMode="External"/><Relationship Id="rId2785" Type="http://schemas.openxmlformats.org/officeDocument/2006/relationships/hyperlink" Target="https://www.facebook.com/jhonatan.dordas" TargetMode="External"/><Relationship Id="rId1444" Type="http://schemas.openxmlformats.org/officeDocument/2006/relationships/hyperlink" Target="https://www.facebook.com/rapplerdotcom/photos/a.317154781638645/5597116770309060/" TargetMode="External"/><Relationship Id="rId2775" Type="http://schemas.openxmlformats.org/officeDocument/2006/relationships/hyperlink" Target="https://www.facebook.com/profile.php?id=100076165174797" TargetMode="External"/><Relationship Id="rId1445" Type="http://schemas.openxmlformats.org/officeDocument/2006/relationships/hyperlink" Target="https://www.facebook.com/johntheo.antog.1" TargetMode="External"/><Relationship Id="rId2776" Type="http://schemas.openxmlformats.org/officeDocument/2006/relationships/hyperlink" Target="https://www.facebook.com/watch/?v=570590637273208" TargetMode="External"/><Relationship Id="rId1446" Type="http://schemas.openxmlformats.org/officeDocument/2006/relationships/hyperlink" Target="https://www.facebook.com/rapplerdotcom/photos/a.317154781638645/5597116770309060/" TargetMode="External"/><Relationship Id="rId2777" Type="http://schemas.openxmlformats.org/officeDocument/2006/relationships/hyperlink" Target="https://www.facebook.com/profile.php?id=100076165174797" TargetMode="External"/><Relationship Id="rId1447" Type="http://schemas.openxmlformats.org/officeDocument/2006/relationships/hyperlink" Target="https://www.facebook.com/profile.php?id=100077782688269" TargetMode="External"/><Relationship Id="rId2778" Type="http://schemas.openxmlformats.org/officeDocument/2006/relationships/hyperlink" Target="https://www.facebook.com/watch/?v=570590637273208" TargetMode="External"/><Relationship Id="rId1448" Type="http://schemas.openxmlformats.org/officeDocument/2006/relationships/hyperlink" Target="https://www.facebook.com/rapplerdotcom/photos/a.317154781638645/5597116770309060/" TargetMode="External"/><Relationship Id="rId2779" Type="http://schemas.openxmlformats.org/officeDocument/2006/relationships/hyperlink" Target="https://www.facebook.com/bechabye" TargetMode="External"/><Relationship Id="rId1449" Type="http://schemas.openxmlformats.org/officeDocument/2006/relationships/hyperlink" Target="https://www.facebook.com/danny.vedua" TargetMode="External"/><Relationship Id="rId619" Type="http://schemas.openxmlformats.org/officeDocument/2006/relationships/hyperlink" Target="https://www.facebook.com/sanse21" TargetMode="External"/><Relationship Id="rId618" Type="http://schemas.openxmlformats.org/officeDocument/2006/relationships/hyperlink" Target="https://www.facebook.com/rapplerdotcom/photos/a.317154781638645/5597874143566656" TargetMode="External"/><Relationship Id="rId613" Type="http://schemas.openxmlformats.org/officeDocument/2006/relationships/hyperlink" Target="https://www.facebook.com/F16FalconV" TargetMode="External"/><Relationship Id="rId612" Type="http://schemas.openxmlformats.org/officeDocument/2006/relationships/hyperlink" Target="https://www.facebook.com/rapplerdotcom/photos/a.317154781638645/5597874143566656" TargetMode="External"/><Relationship Id="rId611" Type="http://schemas.openxmlformats.org/officeDocument/2006/relationships/hyperlink" Target="https://www.facebook.com/marisse.mauricio" TargetMode="External"/><Relationship Id="rId610" Type="http://schemas.openxmlformats.org/officeDocument/2006/relationships/hyperlink" Target="https://www.facebook.com/rapplerdotcom/photos/a.317154781638645/5597874143566656" TargetMode="External"/><Relationship Id="rId617" Type="http://schemas.openxmlformats.org/officeDocument/2006/relationships/hyperlink" Target="https://www.facebook.com/justine.gorospe.3150" TargetMode="External"/><Relationship Id="rId616" Type="http://schemas.openxmlformats.org/officeDocument/2006/relationships/hyperlink" Target="https://www.facebook.com/rapplerdotcom/photos/a.317154781638645/5597874143566656" TargetMode="External"/><Relationship Id="rId615" Type="http://schemas.openxmlformats.org/officeDocument/2006/relationships/hyperlink" Target="https://www.facebook.com/raiden.ponteras.1" TargetMode="External"/><Relationship Id="rId614" Type="http://schemas.openxmlformats.org/officeDocument/2006/relationships/hyperlink" Target="https://www.facebook.com/rapplerdotcom/photos/a.317154781638645/5597874143566656" TargetMode="External"/><Relationship Id="rId2770" Type="http://schemas.openxmlformats.org/officeDocument/2006/relationships/hyperlink" Target="https://www.facebook.com/rapplerdotcom/photos/a.317154781638645/5595733810447356/" TargetMode="External"/><Relationship Id="rId1440" Type="http://schemas.openxmlformats.org/officeDocument/2006/relationships/hyperlink" Target="https://www.facebook.com/rapplerdotcom/photos/a.317154781638645/5597116770309060/" TargetMode="External"/><Relationship Id="rId2771" Type="http://schemas.openxmlformats.org/officeDocument/2006/relationships/hyperlink" Target="https://www.facebook.com/djlansang" TargetMode="External"/><Relationship Id="rId1441" Type="http://schemas.openxmlformats.org/officeDocument/2006/relationships/hyperlink" Target="https://www.facebook.com/profile.php?id=100075753714712" TargetMode="External"/><Relationship Id="rId2772" Type="http://schemas.openxmlformats.org/officeDocument/2006/relationships/hyperlink" Target="https://www.facebook.com/watch/?v=570590637273208" TargetMode="External"/><Relationship Id="rId1442" Type="http://schemas.openxmlformats.org/officeDocument/2006/relationships/hyperlink" Target="https://www.facebook.com/rapplerdotcom/photos/a.317154781638645/5597116770309060/" TargetMode="External"/><Relationship Id="rId2773" Type="http://schemas.openxmlformats.org/officeDocument/2006/relationships/hyperlink" Target="https://www.facebook.com/profile.php?id=100078441967269" TargetMode="External"/><Relationship Id="rId1443" Type="http://schemas.openxmlformats.org/officeDocument/2006/relationships/hyperlink" Target="https://www.facebook.com/beltrans1" TargetMode="External"/><Relationship Id="rId2774" Type="http://schemas.openxmlformats.org/officeDocument/2006/relationships/hyperlink" Target="https://www.facebook.com/watch/?v=570590637273208" TargetMode="External"/><Relationship Id="rId1477" Type="http://schemas.openxmlformats.org/officeDocument/2006/relationships/hyperlink" Target="https://www.facebook.com/dorsgf" TargetMode="External"/><Relationship Id="rId1478" Type="http://schemas.openxmlformats.org/officeDocument/2006/relationships/hyperlink" Target="https://www.facebook.com/rapplerdotcom/photos/a.317154781638645/5597116770309060/" TargetMode="External"/><Relationship Id="rId1479" Type="http://schemas.openxmlformats.org/officeDocument/2006/relationships/hyperlink" Target="https://www.facebook.com/Alvin3aces" TargetMode="External"/><Relationship Id="rId646" Type="http://schemas.openxmlformats.org/officeDocument/2006/relationships/hyperlink" Target="https://www.facebook.com/rapplerdotcom/photos/a.317154781638645/5597874143566656" TargetMode="External"/><Relationship Id="rId645" Type="http://schemas.openxmlformats.org/officeDocument/2006/relationships/hyperlink" Target="https://www.facebook.com/edson.l.sion" TargetMode="External"/><Relationship Id="rId644" Type="http://schemas.openxmlformats.org/officeDocument/2006/relationships/hyperlink" Target="https://www.facebook.com/rapplerdotcom/photos/a.317154781638645/5597874143566656" TargetMode="External"/><Relationship Id="rId643" Type="http://schemas.openxmlformats.org/officeDocument/2006/relationships/hyperlink" Target="https://www.facebook.com/dexter.pavia" TargetMode="External"/><Relationship Id="rId649" Type="http://schemas.openxmlformats.org/officeDocument/2006/relationships/hyperlink" Target="https://www.facebook.com/maryrose.dizon.718" TargetMode="External"/><Relationship Id="rId648" Type="http://schemas.openxmlformats.org/officeDocument/2006/relationships/hyperlink" Target="https://www.facebook.com/rapplerdotcom/photos/a.317154781638645/5597874143566656" TargetMode="External"/><Relationship Id="rId647" Type="http://schemas.openxmlformats.org/officeDocument/2006/relationships/hyperlink" Target="https://www.facebook.com/inocando.arnold" TargetMode="External"/><Relationship Id="rId1470" Type="http://schemas.openxmlformats.org/officeDocument/2006/relationships/hyperlink" Target="https://www.facebook.com/rapplerdotcom/photos/a.317154781638645/5597116770309060/" TargetMode="External"/><Relationship Id="rId1471" Type="http://schemas.openxmlformats.org/officeDocument/2006/relationships/hyperlink" Target="https://www.facebook.com/profile.php?id=100077412090788" TargetMode="External"/><Relationship Id="rId1472" Type="http://schemas.openxmlformats.org/officeDocument/2006/relationships/hyperlink" Target="https://www.facebook.com/rapplerdotcom/photos/a.317154781638645/5597116770309060/" TargetMode="External"/><Relationship Id="rId642" Type="http://schemas.openxmlformats.org/officeDocument/2006/relationships/hyperlink" Target="https://www.facebook.com/rapplerdotcom/photos/a.317154781638645/5597874143566656" TargetMode="External"/><Relationship Id="rId1473" Type="http://schemas.openxmlformats.org/officeDocument/2006/relationships/hyperlink" Target="https://www.facebook.com/profile.php?id=100009111409816" TargetMode="External"/><Relationship Id="rId641" Type="http://schemas.openxmlformats.org/officeDocument/2006/relationships/hyperlink" Target="https://www.facebook.com/profile.php?id=100070946473573" TargetMode="External"/><Relationship Id="rId1474" Type="http://schemas.openxmlformats.org/officeDocument/2006/relationships/hyperlink" Target="https://www.facebook.com/rapplerdotcom/photos/a.317154781638645/5597116770309060/" TargetMode="External"/><Relationship Id="rId640" Type="http://schemas.openxmlformats.org/officeDocument/2006/relationships/hyperlink" Target="https://www.facebook.com/rapplerdotcom/photos/a.317154781638645/5597874143566656" TargetMode="External"/><Relationship Id="rId1475" Type="http://schemas.openxmlformats.org/officeDocument/2006/relationships/hyperlink" Target="https://www.facebook.com/ebelardo.liwanag.1" TargetMode="External"/><Relationship Id="rId1476" Type="http://schemas.openxmlformats.org/officeDocument/2006/relationships/hyperlink" Target="https://www.facebook.com/rapplerdotcom/photos/a.317154781638645/5597116770309060/" TargetMode="External"/><Relationship Id="rId1466" Type="http://schemas.openxmlformats.org/officeDocument/2006/relationships/hyperlink" Target="https://www.facebook.com/rapplerdotcom/photos/a.317154781638645/5597116770309060/" TargetMode="External"/><Relationship Id="rId2797" Type="http://schemas.openxmlformats.org/officeDocument/2006/relationships/hyperlink" Target="https://www.facebook.com/Aga0129" TargetMode="External"/><Relationship Id="rId1467" Type="http://schemas.openxmlformats.org/officeDocument/2006/relationships/hyperlink" Target="https://www.facebook.com/arturo.rondolos.3" TargetMode="External"/><Relationship Id="rId2798" Type="http://schemas.openxmlformats.org/officeDocument/2006/relationships/hyperlink" Target="https://www.facebook.com/watch/?v=570590637273208" TargetMode="External"/><Relationship Id="rId1468" Type="http://schemas.openxmlformats.org/officeDocument/2006/relationships/hyperlink" Target="https://www.facebook.com/rapplerdotcom/photos/a.317154781638645/5597116770309060/" TargetMode="External"/><Relationship Id="rId2799" Type="http://schemas.openxmlformats.org/officeDocument/2006/relationships/hyperlink" Target="https://www.facebook.com/gil.d.berino" TargetMode="External"/><Relationship Id="rId1469" Type="http://schemas.openxmlformats.org/officeDocument/2006/relationships/hyperlink" Target="https://www.facebook.com/herbiebnitura" TargetMode="External"/><Relationship Id="rId635" Type="http://schemas.openxmlformats.org/officeDocument/2006/relationships/hyperlink" Target="https://www.facebook.com/jacqueline.reynado" TargetMode="External"/><Relationship Id="rId634" Type="http://schemas.openxmlformats.org/officeDocument/2006/relationships/hyperlink" Target="https://www.facebook.com/rapplerdotcom/photos/a.317154781638645/5597874143566656" TargetMode="External"/><Relationship Id="rId633" Type="http://schemas.openxmlformats.org/officeDocument/2006/relationships/hyperlink" Target="https://www.facebook.com/roijohnsare0117" TargetMode="External"/><Relationship Id="rId632" Type="http://schemas.openxmlformats.org/officeDocument/2006/relationships/hyperlink" Target="https://www.facebook.com/rapplerdotcom/photos/a.317154781638645/5597874143566656" TargetMode="External"/><Relationship Id="rId639" Type="http://schemas.openxmlformats.org/officeDocument/2006/relationships/hyperlink" Target="https://www.facebook.com/jacqueline.reynado" TargetMode="External"/><Relationship Id="rId638" Type="http://schemas.openxmlformats.org/officeDocument/2006/relationships/hyperlink" Target="https://www.facebook.com/rapplerdotcom/photos/a.317154781638645/5597874143566656" TargetMode="External"/><Relationship Id="rId637" Type="http://schemas.openxmlformats.org/officeDocument/2006/relationships/hyperlink" Target="https://www.facebook.com/haissam.suarez" TargetMode="External"/><Relationship Id="rId636" Type="http://schemas.openxmlformats.org/officeDocument/2006/relationships/hyperlink" Target="https://www.facebook.com/rapplerdotcom/photos/a.317154781638645/5597874143566656" TargetMode="External"/><Relationship Id="rId2790" Type="http://schemas.openxmlformats.org/officeDocument/2006/relationships/hyperlink" Target="https://www.facebook.com/watch/?v=570590637273208" TargetMode="External"/><Relationship Id="rId1460" Type="http://schemas.openxmlformats.org/officeDocument/2006/relationships/hyperlink" Target="https://www.facebook.com/rapplerdotcom/photos/a.317154781638645/5597116770309060/" TargetMode="External"/><Relationship Id="rId2791" Type="http://schemas.openxmlformats.org/officeDocument/2006/relationships/hyperlink" Target="https://www.facebook.com/pensylvania.eightythree" TargetMode="External"/><Relationship Id="rId1461" Type="http://schemas.openxmlformats.org/officeDocument/2006/relationships/hyperlink" Target="https://www.facebook.com/eelnadyar" TargetMode="External"/><Relationship Id="rId2792" Type="http://schemas.openxmlformats.org/officeDocument/2006/relationships/hyperlink" Target="https://www.facebook.com/watch/?v=570590637273208" TargetMode="External"/><Relationship Id="rId631" Type="http://schemas.openxmlformats.org/officeDocument/2006/relationships/hyperlink" Target="https://www.facebook.com/charmee.mccartney" TargetMode="External"/><Relationship Id="rId1462" Type="http://schemas.openxmlformats.org/officeDocument/2006/relationships/hyperlink" Target="https://www.facebook.com/rapplerdotcom/photos/a.317154781638645/5597116770309060/" TargetMode="External"/><Relationship Id="rId2793" Type="http://schemas.openxmlformats.org/officeDocument/2006/relationships/hyperlink" Target="https://www.facebook.com/sedfrey.canizares" TargetMode="External"/><Relationship Id="rId630" Type="http://schemas.openxmlformats.org/officeDocument/2006/relationships/hyperlink" Target="https://www.facebook.com/rapplerdotcom/photos/a.317154781638645/5597874143566656" TargetMode="External"/><Relationship Id="rId1463" Type="http://schemas.openxmlformats.org/officeDocument/2006/relationships/hyperlink" Target="https://www.facebook.com/martinpas11" TargetMode="External"/><Relationship Id="rId2794" Type="http://schemas.openxmlformats.org/officeDocument/2006/relationships/hyperlink" Target="https://www.facebook.com/watch/?v=570590637273208" TargetMode="External"/><Relationship Id="rId1464" Type="http://schemas.openxmlformats.org/officeDocument/2006/relationships/hyperlink" Target="https://www.facebook.com/rapplerdotcom/photos/a.317154781638645/5597116770309060/" TargetMode="External"/><Relationship Id="rId2795" Type="http://schemas.openxmlformats.org/officeDocument/2006/relationships/hyperlink" Target="https://www.facebook.com/eunicemay.bbe" TargetMode="External"/><Relationship Id="rId1465" Type="http://schemas.openxmlformats.org/officeDocument/2006/relationships/hyperlink" Target="https://www.facebook.com/mech.bracero" TargetMode="External"/><Relationship Id="rId2796" Type="http://schemas.openxmlformats.org/officeDocument/2006/relationships/hyperlink" Target="https://www.facebook.com/watch/?v=570590637273208" TargetMode="External"/><Relationship Id="rId1411" Type="http://schemas.openxmlformats.org/officeDocument/2006/relationships/hyperlink" Target="https://www.facebook.com/molsky" TargetMode="External"/><Relationship Id="rId2742" Type="http://schemas.openxmlformats.org/officeDocument/2006/relationships/hyperlink" Target="https://www.facebook.com/rapplerdotcom/photos/a.317154781638645/5595733810447356/" TargetMode="External"/><Relationship Id="rId1412" Type="http://schemas.openxmlformats.org/officeDocument/2006/relationships/hyperlink" Target="https://www.facebook.com/rapplerdotcom/photos/a.317154781638645/5597116770309060/" TargetMode="External"/><Relationship Id="rId2743" Type="http://schemas.openxmlformats.org/officeDocument/2006/relationships/hyperlink" Target="https://www.facebook.com/benjamin.alejandro.142" TargetMode="External"/><Relationship Id="rId1413" Type="http://schemas.openxmlformats.org/officeDocument/2006/relationships/hyperlink" Target="https://www.facebook.com/profile.php?id=100005460137890" TargetMode="External"/><Relationship Id="rId2744" Type="http://schemas.openxmlformats.org/officeDocument/2006/relationships/hyperlink" Target="https://www.facebook.com/rapplerdotcom/photos/a.317154781638645/5595733810447356/" TargetMode="External"/><Relationship Id="rId1414" Type="http://schemas.openxmlformats.org/officeDocument/2006/relationships/hyperlink" Target="https://www.facebook.com/rapplerdotcom/photos/a.317154781638645/5597116770309060/" TargetMode="External"/><Relationship Id="rId2745" Type="http://schemas.openxmlformats.org/officeDocument/2006/relationships/hyperlink" Target="https://www.facebook.com/obiso.clarissa" TargetMode="External"/><Relationship Id="rId1415" Type="http://schemas.openxmlformats.org/officeDocument/2006/relationships/hyperlink" Target="https://www.facebook.com/melgalimba" TargetMode="External"/><Relationship Id="rId2746" Type="http://schemas.openxmlformats.org/officeDocument/2006/relationships/hyperlink" Target="https://www.facebook.com/rapplerdotcom/photos/a.317154781638645/5595733810447356/" TargetMode="External"/><Relationship Id="rId1416" Type="http://schemas.openxmlformats.org/officeDocument/2006/relationships/hyperlink" Target="https://www.facebook.com/rapplerdotcom/photos/a.317154781638645/5597116770309060/" TargetMode="External"/><Relationship Id="rId2747" Type="http://schemas.openxmlformats.org/officeDocument/2006/relationships/hyperlink" Target="https://www.facebook.com/profile.php?id=100076809421771" TargetMode="External"/><Relationship Id="rId1417" Type="http://schemas.openxmlformats.org/officeDocument/2006/relationships/hyperlink" Target="https://www.facebook.com/remelyn.regnim.7" TargetMode="External"/><Relationship Id="rId2748" Type="http://schemas.openxmlformats.org/officeDocument/2006/relationships/hyperlink" Target="https://www.facebook.com/rapplerdotcom/photos/a.317154781638645/5595733810447356/" TargetMode="External"/><Relationship Id="rId1418" Type="http://schemas.openxmlformats.org/officeDocument/2006/relationships/hyperlink" Target="https://www.facebook.com/rapplerdotcom/photos/a.317154781638645/5597116770309060/" TargetMode="External"/><Relationship Id="rId2749" Type="http://schemas.openxmlformats.org/officeDocument/2006/relationships/hyperlink" Target="https://www.facebook.com/profile.php?id=100074931561512" TargetMode="External"/><Relationship Id="rId1419" Type="http://schemas.openxmlformats.org/officeDocument/2006/relationships/hyperlink" Target="https://www.facebook.com/Ejrdkdylan" TargetMode="External"/><Relationship Id="rId2740" Type="http://schemas.openxmlformats.org/officeDocument/2006/relationships/hyperlink" Target="https://www.facebook.com/rapplerdotcom/photos/a.317154781638645/5595733810447356/" TargetMode="External"/><Relationship Id="rId1410" Type="http://schemas.openxmlformats.org/officeDocument/2006/relationships/hyperlink" Target="https://www.facebook.com/rapplerdotcom/photos/a.317154781638645/5597116770309060/" TargetMode="External"/><Relationship Id="rId2741" Type="http://schemas.openxmlformats.org/officeDocument/2006/relationships/hyperlink" Target="https://www.facebook.com/claro.miranda.7" TargetMode="External"/><Relationship Id="rId1400" Type="http://schemas.openxmlformats.org/officeDocument/2006/relationships/hyperlink" Target="https://www.facebook.com/rapplerdotcom/photos/a.317154781638645/5597116770309060/" TargetMode="External"/><Relationship Id="rId2731" Type="http://schemas.openxmlformats.org/officeDocument/2006/relationships/hyperlink" Target="https://www.facebook.com/hz2094" TargetMode="External"/><Relationship Id="rId1401" Type="http://schemas.openxmlformats.org/officeDocument/2006/relationships/hyperlink" Target="https://www.facebook.com/romulo.augustine" TargetMode="External"/><Relationship Id="rId2732" Type="http://schemas.openxmlformats.org/officeDocument/2006/relationships/hyperlink" Target="https://www.facebook.com/rapplerdotcom/photos/a.317154781638645/5595733810447356/" TargetMode="External"/><Relationship Id="rId1402" Type="http://schemas.openxmlformats.org/officeDocument/2006/relationships/hyperlink" Target="https://www.facebook.com/rapplerdotcom/photos/a.317154781638645/5597116770309060/" TargetMode="External"/><Relationship Id="rId2733" Type="http://schemas.openxmlformats.org/officeDocument/2006/relationships/hyperlink" Target="https://www.facebook.com/profile.php?id=100009060038408" TargetMode="External"/><Relationship Id="rId1403" Type="http://schemas.openxmlformats.org/officeDocument/2006/relationships/hyperlink" Target="https://www.facebook.com/rey.bartolome.16" TargetMode="External"/><Relationship Id="rId2734" Type="http://schemas.openxmlformats.org/officeDocument/2006/relationships/hyperlink" Target="https://www.facebook.com/rapplerdotcom/photos/a.317154781638645/5595733810447356/" TargetMode="External"/><Relationship Id="rId1404" Type="http://schemas.openxmlformats.org/officeDocument/2006/relationships/hyperlink" Target="https://www.facebook.com/rapplerdotcom/photos/a.317154781638645/5597116770309060/" TargetMode="External"/><Relationship Id="rId2735" Type="http://schemas.openxmlformats.org/officeDocument/2006/relationships/hyperlink" Target="https://www.facebook.com/jegals.dep" TargetMode="External"/><Relationship Id="rId1405" Type="http://schemas.openxmlformats.org/officeDocument/2006/relationships/hyperlink" Target="https://www.facebook.com/rrtanales.7" TargetMode="External"/><Relationship Id="rId2736" Type="http://schemas.openxmlformats.org/officeDocument/2006/relationships/hyperlink" Target="https://www.facebook.com/rapplerdotcom/photos/a.317154781638645/5595733810447356/" TargetMode="External"/><Relationship Id="rId1406" Type="http://schemas.openxmlformats.org/officeDocument/2006/relationships/hyperlink" Target="https://www.facebook.com/rapplerdotcom/photos/a.317154781638645/5597116770309060/" TargetMode="External"/><Relationship Id="rId2737" Type="http://schemas.openxmlformats.org/officeDocument/2006/relationships/hyperlink" Target="https://www.facebook.com/myrna.zuasula" TargetMode="External"/><Relationship Id="rId1407" Type="http://schemas.openxmlformats.org/officeDocument/2006/relationships/hyperlink" Target="https://www.facebook.com/sonia.olba" TargetMode="External"/><Relationship Id="rId2738" Type="http://schemas.openxmlformats.org/officeDocument/2006/relationships/hyperlink" Target="https://www.facebook.com/rapplerdotcom/photos/a.317154781638645/5595733810447356/" TargetMode="External"/><Relationship Id="rId1408" Type="http://schemas.openxmlformats.org/officeDocument/2006/relationships/hyperlink" Target="https://www.facebook.com/rapplerdotcom/photos/a.317154781638645/5597116770309060/" TargetMode="External"/><Relationship Id="rId2739" Type="http://schemas.openxmlformats.org/officeDocument/2006/relationships/hyperlink" Target="https://www.facebook.com/marlovasquezmiranda1979" TargetMode="External"/><Relationship Id="rId1409" Type="http://schemas.openxmlformats.org/officeDocument/2006/relationships/hyperlink" Target="https://www.facebook.com/marciano.garcia.7528" TargetMode="External"/><Relationship Id="rId2730" Type="http://schemas.openxmlformats.org/officeDocument/2006/relationships/hyperlink" Target="https://www.facebook.com/rapplerdotcom/photos/a.317154781638645/5595733810447356/" TargetMode="External"/><Relationship Id="rId1433" Type="http://schemas.openxmlformats.org/officeDocument/2006/relationships/hyperlink" Target="https://www.facebook.com/profile.php?id=100000245313356" TargetMode="External"/><Relationship Id="rId2764" Type="http://schemas.openxmlformats.org/officeDocument/2006/relationships/hyperlink" Target="https://www.facebook.com/rapplerdotcom/photos/a.317154781638645/5595733810447356/" TargetMode="External"/><Relationship Id="rId1434" Type="http://schemas.openxmlformats.org/officeDocument/2006/relationships/hyperlink" Target="https://www.facebook.com/rapplerdotcom/photos/a.317154781638645/5597116770309060/" TargetMode="External"/><Relationship Id="rId2765" Type="http://schemas.openxmlformats.org/officeDocument/2006/relationships/hyperlink" Target="https://www.facebook.com/taipan.shantel" TargetMode="External"/><Relationship Id="rId1435" Type="http://schemas.openxmlformats.org/officeDocument/2006/relationships/hyperlink" Target="https://www.facebook.com/herbiebnitura" TargetMode="External"/><Relationship Id="rId2766" Type="http://schemas.openxmlformats.org/officeDocument/2006/relationships/hyperlink" Target="https://www.facebook.com/rapplerdotcom/photos/a.317154781638645/5595733810447356/" TargetMode="External"/><Relationship Id="rId1436" Type="http://schemas.openxmlformats.org/officeDocument/2006/relationships/hyperlink" Target="https://www.facebook.com/rapplerdotcom/photos/a.317154781638645/5597116770309060/" TargetMode="External"/><Relationship Id="rId2767" Type="http://schemas.openxmlformats.org/officeDocument/2006/relationships/hyperlink" Target="https://www.facebook.com/minato.batousai" TargetMode="External"/><Relationship Id="rId1437" Type="http://schemas.openxmlformats.org/officeDocument/2006/relationships/hyperlink" Target="https://www.facebook.com/profile.php?id=100070193447855" TargetMode="External"/><Relationship Id="rId2768" Type="http://schemas.openxmlformats.org/officeDocument/2006/relationships/hyperlink" Target="https://www.facebook.com/rapplerdotcom/photos/a.317154781638645/5595733810447356/" TargetMode="External"/><Relationship Id="rId1438" Type="http://schemas.openxmlformats.org/officeDocument/2006/relationships/hyperlink" Target="https://www.facebook.com/rapplerdotcom/photos/a.317154781638645/5597116770309060/" TargetMode="External"/><Relationship Id="rId2769" Type="http://schemas.openxmlformats.org/officeDocument/2006/relationships/hyperlink" Target="https://www.facebook.com/profile.php?id=100069939051229" TargetMode="External"/><Relationship Id="rId1439" Type="http://schemas.openxmlformats.org/officeDocument/2006/relationships/hyperlink" Target="https://www.facebook.com/nylezdrain1708" TargetMode="External"/><Relationship Id="rId609" Type="http://schemas.openxmlformats.org/officeDocument/2006/relationships/hyperlink" Target="https://www.facebook.com/profile.php?id=100079722041118" TargetMode="External"/><Relationship Id="rId608" Type="http://schemas.openxmlformats.org/officeDocument/2006/relationships/hyperlink" Target="https://www.facebook.com/rapplerdotcom/photos/a.317154781638645/5597874143566656" TargetMode="External"/><Relationship Id="rId607" Type="http://schemas.openxmlformats.org/officeDocument/2006/relationships/hyperlink" Target="https://www.facebook.com/rogelio.lapuz.5055" TargetMode="External"/><Relationship Id="rId602" Type="http://schemas.openxmlformats.org/officeDocument/2006/relationships/hyperlink" Target="https://www.facebook.com/rapplerdotcom/photos/a.317154781638645/5597874143566656" TargetMode="External"/><Relationship Id="rId601" Type="http://schemas.openxmlformats.org/officeDocument/2006/relationships/hyperlink" Target="https://www.facebook.com/honmichael.dy" TargetMode="External"/><Relationship Id="rId600" Type="http://schemas.openxmlformats.org/officeDocument/2006/relationships/hyperlink" Target="https://www.facebook.com/rapplerdotcom/photos/a.317154781638645/5597874143566656" TargetMode="External"/><Relationship Id="rId606" Type="http://schemas.openxmlformats.org/officeDocument/2006/relationships/hyperlink" Target="https://www.facebook.com/rapplerdotcom/photos/a.317154781638645/5597874143566656" TargetMode="External"/><Relationship Id="rId605" Type="http://schemas.openxmlformats.org/officeDocument/2006/relationships/hyperlink" Target="https://www.facebook.com/albertjohn.centra" TargetMode="External"/><Relationship Id="rId604" Type="http://schemas.openxmlformats.org/officeDocument/2006/relationships/hyperlink" Target="https://www.facebook.com/rapplerdotcom/photos/a.317154781638645/5597874143566656" TargetMode="External"/><Relationship Id="rId603" Type="http://schemas.openxmlformats.org/officeDocument/2006/relationships/hyperlink" Target="https://www.facebook.com/profile.php?id=100079300902365" TargetMode="External"/><Relationship Id="rId2760" Type="http://schemas.openxmlformats.org/officeDocument/2006/relationships/hyperlink" Target="https://www.facebook.com/rapplerdotcom/photos/a.317154781638645/5595733810447356/" TargetMode="External"/><Relationship Id="rId1430" Type="http://schemas.openxmlformats.org/officeDocument/2006/relationships/hyperlink" Target="https://www.facebook.com/rapplerdotcom/photos/a.317154781638645/5597116770309060/" TargetMode="External"/><Relationship Id="rId2761" Type="http://schemas.openxmlformats.org/officeDocument/2006/relationships/hyperlink" Target="https://www.facebook.com/june.vicentino.11" TargetMode="External"/><Relationship Id="rId1431" Type="http://schemas.openxmlformats.org/officeDocument/2006/relationships/hyperlink" Target="https://www.facebook.com/tararirat" TargetMode="External"/><Relationship Id="rId2762" Type="http://schemas.openxmlformats.org/officeDocument/2006/relationships/hyperlink" Target="https://www.facebook.com/rapplerdotcom/photos/a.317154781638645/5595733810447356/" TargetMode="External"/><Relationship Id="rId1432" Type="http://schemas.openxmlformats.org/officeDocument/2006/relationships/hyperlink" Target="https://www.facebook.com/rapplerdotcom/photos/a.317154781638645/5597116770309060/" TargetMode="External"/><Relationship Id="rId2763" Type="http://schemas.openxmlformats.org/officeDocument/2006/relationships/hyperlink" Target="https://www.facebook.com/emeleen.17" TargetMode="External"/><Relationship Id="rId1422" Type="http://schemas.openxmlformats.org/officeDocument/2006/relationships/hyperlink" Target="https://www.facebook.com/rapplerdotcom/photos/a.317154781638645/5597116770309060/" TargetMode="External"/><Relationship Id="rId2753" Type="http://schemas.openxmlformats.org/officeDocument/2006/relationships/hyperlink" Target="https://www.facebook.com/profile.php?id=100074931561512" TargetMode="External"/><Relationship Id="rId1423" Type="http://schemas.openxmlformats.org/officeDocument/2006/relationships/hyperlink" Target="https://www.facebook.com/profile.php?id=100073915835880" TargetMode="External"/><Relationship Id="rId2754" Type="http://schemas.openxmlformats.org/officeDocument/2006/relationships/hyperlink" Target="https://www.facebook.com/rapplerdotcom/photos/a.317154781638645/5595733810447356/" TargetMode="External"/><Relationship Id="rId1424" Type="http://schemas.openxmlformats.org/officeDocument/2006/relationships/hyperlink" Target="https://www.facebook.com/rapplerdotcom/photos/a.317154781638645/5597116770309060/" TargetMode="External"/><Relationship Id="rId2755" Type="http://schemas.openxmlformats.org/officeDocument/2006/relationships/hyperlink" Target="https://www.facebook.com/roland.somera.129" TargetMode="External"/><Relationship Id="rId1425" Type="http://schemas.openxmlformats.org/officeDocument/2006/relationships/hyperlink" Target="https://www.facebook.com/profile.php?id=100009097937407" TargetMode="External"/><Relationship Id="rId2756" Type="http://schemas.openxmlformats.org/officeDocument/2006/relationships/hyperlink" Target="https://www.facebook.com/rapplerdotcom/photos/a.317154781638645/5595733810447356/" TargetMode="External"/><Relationship Id="rId1426" Type="http://schemas.openxmlformats.org/officeDocument/2006/relationships/hyperlink" Target="https://www.facebook.com/rapplerdotcom/photos/a.317154781638645/5597116770309060/" TargetMode="External"/><Relationship Id="rId2757" Type="http://schemas.openxmlformats.org/officeDocument/2006/relationships/hyperlink" Target="https://www.facebook.com/profile.php?id=100074931561512" TargetMode="External"/><Relationship Id="rId1427" Type="http://schemas.openxmlformats.org/officeDocument/2006/relationships/hyperlink" Target="https://www.facebook.com/rafaelfelicia.equipado" TargetMode="External"/><Relationship Id="rId2758" Type="http://schemas.openxmlformats.org/officeDocument/2006/relationships/hyperlink" Target="https://www.facebook.com/rapplerdotcom/photos/a.317154781638645/5595733810447356/" TargetMode="External"/><Relationship Id="rId1428" Type="http://schemas.openxmlformats.org/officeDocument/2006/relationships/hyperlink" Target="https://www.facebook.com/rapplerdotcom/photos/a.317154781638645/5597116770309060/" TargetMode="External"/><Relationship Id="rId2759" Type="http://schemas.openxmlformats.org/officeDocument/2006/relationships/hyperlink" Target="https://www.facebook.com/profile.php?id=100074931561512" TargetMode="External"/><Relationship Id="rId1429" Type="http://schemas.openxmlformats.org/officeDocument/2006/relationships/hyperlink" Target="https://www.facebook.com/cory.ander.3" TargetMode="External"/><Relationship Id="rId2750" Type="http://schemas.openxmlformats.org/officeDocument/2006/relationships/hyperlink" Target="https://www.facebook.com/rapplerdotcom/photos/a.317154781638645/5595733810447356/" TargetMode="External"/><Relationship Id="rId1420" Type="http://schemas.openxmlformats.org/officeDocument/2006/relationships/hyperlink" Target="https://www.facebook.com/rapplerdotcom/photos/a.317154781638645/5597116770309060/" TargetMode="External"/><Relationship Id="rId2751" Type="http://schemas.openxmlformats.org/officeDocument/2006/relationships/hyperlink" Target="https://www.facebook.com/jimmy.rebollo" TargetMode="External"/><Relationship Id="rId1421" Type="http://schemas.openxmlformats.org/officeDocument/2006/relationships/hyperlink" Target="https://www.facebook.com/john.oliver.965928" TargetMode="External"/><Relationship Id="rId2752" Type="http://schemas.openxmlformats.org/officeDocument/2006/relationships/hyperlink" Target="https://www.facebook.com/rapplerdotcom/photos/a.317154781638645/5595733810447356/" TargetMode="External"/><Relationship Id="rId699" Type="http://schemas.openxmlformats.org/officeDocument/2006/relationships/hyperlink" Target="https://www.facebook.com/enecy.queto" TargetMode="External"/><Relationship Id="rId698" Type="http://schemas.openxmlformats.org/officeDocument/2006/relationships/hyperlink" Target="https://www.facebook.com/rapplerdotcom/photos/a.317154781638645/5597612220259515/" TargetMode="External"/><Relationship Id="rId693" Type="http://schemas.openxmlformats.org/officeDocument/2006/relationships/hyperlink" Target="https://www.facebook.com/raymund.yangco" TargetMode="External"/><Relationship Id="rId692" Type="http://schemas.openxmlformats.org/officeDocument/2006/relationships/hyperlink" Target="https://www.facebook.com/rapplerdotcom/photos/a.317154781638645/5597612220259515/" TargetMode="External"/><Relationship Id="rId691" Type="http://schemas.openxmlformats.org/officeDocument/2006/relationships/hyperlink" Target="https://www.facebook.com/profile.php?id=100070178707772" TargetMode="External"/><Relationship Id="rId690" Type="http://schemas.openxmlformats.org/officeDocument/2006/relationships/hyperlink" Target="https://www.facebook.com/rapplerdotcom/photos/a.317154781638645/5597612220259515/" TargetMode="External"/><Relationship Id="rId697" Type="http://schemas.openxmlformats.org/officeDocument/2006/relationships/hyperlink" Target="https://www.facebook.com/narciso.corvera.549" TargetMode="External"/><Relationship Id="rId696" Type="http://schemas.openxmlformats.org/officeDocument/2006/relationships/hyperlink" Target="https://www.facebook.com/rapplerdotcom/photos/a.317154781638645/5597612220259515/" TargetMode="External"/><Relationship Id="rId695" Type="http://schemas.openxmlformats.org/officeDocument/2006/relationships/hyperlink" Target="https://www.facebook.com/jocelyn.domingotorres" TargetMode="External"/><Relationship Id="rId694" Type="http://schemas.openxmlformats.org/officeDocument/2006/relationships/hyperlink" Target="https://www.facebook.com/rapplerdotcom/photos/a.317154781638645/5597612220259515/" TargetMode="External"/><Relationship Id="rId1499" Type="http://schemas.openxmlformats.org/officeDocument/2006/relationships/hyperlink" Target="https://www.facebook.com/kurugaligala" TargetMode="External"/><Relationship Id="rId668" Type="http://schemas.openxmlformats.org/officeDocument/2006/relationships/hyperlink" Target="https://www.facebook.com/rapplerdotcom/photos/a.317154781638645/5597612220259515/" TargetMode="External"/><Relationship Id="rId667" Type="http://schemas.openxmlformats.org/officeDocument/2006/relationships/hyperlink" Target="https://www.facebook.com/profile.php?id=100070178707772" TargetMode="External"/><Relationship Id="rId666" Type="http://schemas.openxmlformats.org/officeDocument/2006/relationships/hyperlink" Target="https://www.facebook.com/rapplerdotcom/photos/a.317154781638645/5597612220259515/" TargetMode="External"/><Relationship Id="rId665" Type="http://schemas.openxmlformats.org/officeDocument/2006/relationships/hyperlink" Target="https://www.facebook.com/jannetCSM" TargetMode="External"/><Relationship Id="rId669" Type="http://schemas.openxmlformats.org/officeDocument/2006/relationships/hyperlink" Target="https://www.facebook.com/chris.c.camacho" TargetMode="External"/><Relationship Id="rId1490" Type="http://schemas.openxmlformats.org/officeDocument/2006/relationships/hyperlink" Target="https://www.facebook.com/rapplerdotcom/photos/a.317154781638645/5597116770309060/" TargetMode="External"/><Relationship Id="rId660" Type="http://schemas.openxmlformats.org/officeDocument/2006/relationships/hyperlink" Target="https://www.facebook.com/rapplerdotcom/photos/a.317154781638645/5597874143566656" TargetMode="External"/><Relationship Id="rId1491" Type="http://schemas.openxmlformats.org/officeDocument/2006/relationships/hyperlink" Target="https://www.facebook.com/profile.php?id=100008264059333" TargetMode="External"/><Relationship Id="rId1492" Type="http://schemas.openxmlformats.org/officeDocument/2006/relationships/hyperlink" Target="https://www.facebook.com/rapplerdotcom/photos/a.317154781638645/5597116770309060/" TargetMode="External"/><Relationship Id="rId1493" Type="http://schemas.openxmlformats.org/officeDocument/2006/relationships/hyperlink" Target="https://www.facebook.com/rahnlloyd.iliscupidez" TargetMode="External"/><Relationship Id="rId1494" Type="http://schemas.openxmlformats.org/officeDocument/2006/relationships/hyperlink" Target="https://www.facebook.com/rapplerdotcom/photos/a.317154781638645/5597116770309060/" TargetMode="External"/><Relationship Id="rId664" Type="http://schemas.openxmlformats.org/officeDocument/2006/relationships/hyperlink" Target="https://www.facebook.com/rapplerdotcom/photos/a.317154781638645/5597874143566656" TargetMode="External"/><Relationship Id="rId1495" Type="http://schemas.openxmlformats.org/officeDocument/2006/relationships/hyperlink" Target="https://www.facebook.com/vlademir.peraja" TargetMode="External"/><Relationship Id="rId663" Type="http://schemas.openxmlformats.org/officeDocument/2006/relationships/hyperlink" Target="https://www.facebook.com/jeko.balaquidan" TargetMode="External"/><Relationship Id="rId1496" Type="http://schemas.openxmlformats.org/officeDocument/2006/relationships/hyperlink" Target="https://www.facebook.com/rapplerdotcom/photos/a.317154781638645/5597116770309060/" TargetMode="External"/><Relationship Id="rId662" Type="http://schemas.openxmlformats.org/officeDocument/2006/relationships/hyperlink" Target="https://www.facebook.com/rapplerdotcom/photos/a.317154781638645/5597874143566656" TargetMode="External"/><Relationship Id="rId1497" Type="http://schemas.openxmlformats.org/officeDocument/2006/relationships/hyperlink" Target="https://www.facebook.com/ferdinand.pacleb.37" TargetMode="External"/><Relationship Id="rId661" Type="http://schemas.openxmlformats.org/officeDocument/2006/relationships/hyperlink" Target="https://www.facebook.com/zandra.lim.3" TargetMode="External"/><Relationship Id="rId1498" Type="http://schemas.openxmlformats.org/officeDocument/2006/relationships/hyperlink" Target="https://www.facebook.com/rapplerdotcom/photos/a.317154781638645/5597116770309060/" TargetMode="External"/><Relationship Id="rId1488" Type="http://schemas.openxmlformats.org/officeDocument/2006/relationships/hyperlink" Target="https://www.facebook.com/rapplerdotcom/photos/a.317154781638645/5597116770309060/" TargetMode="External"/><Relationship Id="rId1489" Type="http://schemas.openxmlformats.org/officeDocument/2006/relationships/hyperlink" Target="https://www.facebook.com/rafaelfelicia.equipado" TargetMode="External"/><Relationship Id="rId657" Type="http://schemas.openxmlformats.org/officeDocument/2006/relationships/hyperlink" Target="https://www.facebook.com/jonsibalasi" TargetMode="External"/><Relationship Id="rId656" Type="http://schemas.openxmlformats.org/officeDocument/2006/relationships/hyperlink" Target="https://www.facebook.com/rapplerdotcom/photos/a.317154781638645/5597874143566656" TargetMode="External"/><Relationship Id="rId655" Type="http://schemas.openxmlformats.org/officeDocument/2006/relationships/hyperlink" Target="https://www.facebook.com/wrollee018" TargetMode="External"/><Relationship Id="rId654" Type="http://schemas.openxmlformats.org/officeDocument/2006/relationships/hyperlink" Target="https://www.facebook.com/rapplerdotcom/photos/a.317154781638645/5597874143566656" TargetMode="External"/><Relationship Id="rId659" Type="http://schemas.openxmlformats.org/officeDocument/2006/relationships/hyperlink" Target="https://www.facebook.com/Itz.me.leo.reyes" TargetMode="External"/><Relationship Id="rId658" Type="http://schemas.openxmlformats.org/officeDocument/2006/relationships/hyperlink" Target="https://www.facebook.com/rapplerdotcom/photos/a.317154781638645/5597874143566656" TargetMode="External"/><Relationship Id="rId1480" Type="http://schemas.openxmlformats.org/officeDocument/2006/relationships/hyperlink" Target="https://www.facebook.com/rapplerdotcom/photos/a.317154781638645/5597116770309060/" TargetMode="External"/><Relationship Id="rId1481" Type="http://schemas.openxmlformats.org/officeDocument/2006/relationships/hyperlink" Target="https://www.facebook.com/otep.delaroz" TargetMode="External"/><Relationship Id="rId1482" Type="http://schemas.openxmlformats.org/officeDocument/2006/relationships/hyperlink" Target="https://www.facebook.com/rapplerdotcom/photos/a.317154781638645/5597116770309060/" TargetMode="External"/><Relationship Id="rId1483" Type="http://schemas.openxmlformats.org/officeDocument/2006/relationships/hyperlink" Target="https://www.facebook.com/arturo.rondolos.3" TargetMode="External"/><Relationship Id="rId653" Type="http://schemas.openxmlformats.org/officeDocument/2006/relationships/hyperlink" Target="https://www.facebook.com/ricardo.borja.908" TargetMode="External"/><Relationship Id="rId1484" Type="http://schemas.openxmlformats.org/officeDocument/2006/relationships/hyperlink" Target="https://www.facebook.com/rapplerdotcom/photos/a.317154781638645/5597116770309060/" TargetMode="External"/><Relationship Id="rId652" Type="http://schemas.openxmlformats.org/officeDocument/2006/relationships/hyperlink" Target="https://www.facebook.com/rapplerdotcom/photos/a.317154781638645/5597874143566656" TargetMode="External"/><Relationship Id="rId1485" Type="http://schemas.openxmlformats.org/officeDocument/2006/relationships/hyperlink" Target="https://www.facebook.com/rufino.baldovino" TargetMode="External"/><Relationship Id="rId651" Type="http://schemas.openxmlformats.org/officeDocument/2006/relationships/hyperlink" Target="https://www.facebook.com/reynold.galamiton" TargetMode="External"/><Relationship Id="rId1486" Type="http://schemas.openxmlformats.org/officeDocument/2006/relationships/hyperlink" Target="https://www.facebook.com/rapplerdotcom/photos/a.317154781638645/5597116770309060/" TargetMode="External"/><Relationship Id="rId650" Type="http://schemas.openxmlformats.org/officeDocument/2006/relationships/hyperlink" Target="https://www.facebook.com/rapplerdotcom/photos/a.317154781638645/5597874143566656" TargetMode="External"/><Relationship Id="rId1487" Type="http://schemas.openxmlformats.org/officeDocument/2006/relationships/hyperlink" Target="https://www.facebook.com/jwharch" TargetMode="External"/><Relationship Id="rId689" Type="http://schemas.openxmlformats.org/officeDocument/2006/relationships/hyperlink" Target="https://www.facebook.com/mean.agustin" TargetMode="External"/><Relationship Id="rId688" Type="http://schemas.openxmlformats.org/officeDocument/2006/relationships/hyperlink" Target="https://www.facebook.com/rapplerdotcom/photos/a.317154781638645/5597612220259515/" TargetMode="External"/><Relationship Id="rId687" Type="http://schemas.openxmlformats.org/officeDocument/2006/relationships/hyperlink" Target="https://www.facebook.com/profile.php?id=100070178707772" TargetMode="External"/><Relationship Id="rId682" Type="http://schemas.openxmlformats.org/officeDocument/2006/relationships/hyperlink" Target="https://www.facebook.com/rapplerdotcom/photos/a.317154781638645/5597612220259515/" TargetMode="External"/><Relationship Id="rId681" Type="http://schemas.openxmlformats.org/officeDocument/2006/relationships/hyperlink" Target="https://www.facebook.com/dmiguelcastaneda" TargetMode="External"/><Relationship Id="rId680" Type="http://schemas.openxmlformats.org/officeDocument/2006/relationships/hyperlink" Target="https://www.facebook.com/rapplerdotcom/photos/a.317154781638645/5597612220259515/" TargetMode="External"/><Relationship Id="rId686" Type="http://schemas.openxmlformats.org/officeDocument/2006/relationships/hyperlink" Target="https://www.facebook.com/rapplerdotcom/photos/a.317154781638645/5597612220259515/" TargetMode="External"/><Relationship Id="rId685" Type="http://schemas.openxmlformats.org/officeDocument/2006/relationships/hyperlink" Target="https://www.facebook.com/rowena.rodencio" TargetMode="External"/><Relationship Id="rId684" Type="http://schemas.openxmlformats.org/officeDocument/2006/relationships/hyperlink" Target="https://www.facebook.com/rapplerdotcom/photos/a.317154781638645/5597612220259515/" TargetMode="External"/><Relationship Id="rId683" Type="http://schemas.openxmlformats.org/officeDocument/2006/relationships/hyperlink" Target="https://www.facebook.com/arlene.buela.9" TargetMode="External"/><Relationship Id="rId679" Type="http://schemas.openxmlformats.org/officeDocument/2006/relationships/hyperlink" Target="https://www.facebook.com/chai.li888" TargetMode="External"/><Relationship Id="rId678" Type="http://schemas.openxmlformats.org/officeDocument/2006/relationships/hyperlink" Target="https://www.facebook.com/rapplerdotcom/photos/a.317154781638645/5597612220259515/" TargetMode="External"/><Relationship Id="rId677" Type="http://schemas.openxmlformats.org/officeDocument/2006/relationships/hyperlink" Target="https://www.facebook.com/profile.php?id=100070178707772" TargetMode="External"/><Relationship Id="rId676" Type="http://schemas.openxmlformats.org/officeDocument/2006/relationships/hyperlink" Target="https://www.facebook.com/rapplerdotcom/photos/a.317154781638645/5597612220259515/" TargetMode="External"/><Relationship Id="rId671" Type="http://schemas.openxmlformats.org/officeDocument/2006/relationships/hyperlink" Target="https://www.facebook.com/christianjerry.castillo" TargetMode="External"/><Relationship Id="rId670" Type="http://schemas.openxmlformats.org/officeDocument/2006/relationships/hyperlink" Target="https://www.facebook.com/rapplerdotcom/photos/a.317154781638645/5597612220259515/" TargetMode="External"/><Relationship Id="rId675" Type="http://schemas.openxmlformats.org/officeDocument/2006/relationships/hyperlink" Target="https://www.facebook.com/dr.julius.uy" TargetMode="External"/><Relationship Id="rId674" Type="http://schemas.openxmlformats.org/officeDocument/2006/relationships/hyperlink" Target="https://www.facebook.com/rapplerdotcom/photos/a.317154781638645/5597612220259515/" TargetMode="External"/><Relationship Id="rId673" Type="http://schemas.openxmlformats.org/officeDocument/2006/relationships/hyperlink" Target="https://www.facebook.com/profile.php?id=100070178707772" TargetMode="External"/><Relationship Id="rId672" Type="http://schemas.openxmlformats.org/officeDocument/2006/relationships/hyperlink" Target="https://www.facebook.com/rapplerdotcom/photos/a.317154781638645/5597612220259515/" TargetMode="External"/><Relationship Id="rId5019" Type="http://schemas.openxmlformats.org/officeDocument/2006/relationships/hyperlink" Target="https://www.facebook.com/rapplerdotcom/posts/pfbid02BCyyacWVuuu1bwX5PwYK8PvqDGTANxekqEMy7qyV9vMmaGKTbC8sBf7i5j3Wbx9Ll" TargetMode="External"/><Relationship Id="rId5010" Type="http://schemas.openxmlformats.org/officeDocument/2006/relationships/hyperlink" Target="https://www.facebook.com/desireecastroventura" TargetMode="External"/><Relationship Id="rId5013" Type="http://schemas.openxmlformats.org/officeDocument/2006/relationships/hyperlink" Target="https://www.facebook.com/rapplerdotcom/posts/pfbid02BCyyacWVuuu1bwX5PwYK8PvqDGTANxekqEMy7qyV9vMmaGKTbC8sBf7i5j3Wbx9Ll" TargetMode="External"/><Relationship Id="rId5014" Type="http://schemas.openxmlformats.org/officeDocument/2006/relationships/hyperlink" Target="https://www.facebook.com/pangetkoh30" TargetMode="External"/><Relationship Id="rId5011" Type="http://schemas.openxmlformats.org/officeDocument/2006/relationships/hyperlink" Target="https://www.facebook.com/rapplerdotcom/posts/pfbid02BCyyacWVuuu1bwX5PwYK8PvqDGTANxekqEMy7qyV9vMmaGKTbC8sBf7i5j3Wbx9Ll" TargetMode="External"/><Relationship Id="rId5012" Type="http://schemas.openxmlformats.org/officeDocument/2006/relationships/hyperlink" Target="https://www.facebook.com/robert.gacayan.3" TargetMode="External"/><Relationship Id="rId5017" Type="http://schemas.openxmlformats.org/officeDocument/2006/relationships/hyperlink" Target="https://www.facebook.com/rapplerdotcom/posts/pfbid02BCyyacWVuuu1bwX5PwYK8PvqDGTANxekqEMy7qyV9vMmaGKTbC8sBf7i5j3Wbx9Ll" TargetMode="External"/><Relationship Id="rId5018" Type="http://schemas.openxmlformats.org/officeDocument/2006/relationships/hyperlink" Target="https://www.facebook.com/rey.sumam" TargetMode="External"/><Relationship Id="rId5015" Type="http://schemas.openxmlformats.org/officeDocument/2006/relationships/hyperlink" Target="https://www.facebook.com/rapplerdotcom/posts/pfbid02BCyyacWVuuu1bwX5PwYK8PvqDGTANxekqEMy7qyV9vMmaGKTbC8sBf7i5j3Wbx9Ll" TargetMode="External"/><Relationship Id="rId5016" Type="http://schemas.openxmlformats.org/officeDocument/2006/relationships/hyperlink" Target="https://www.facebook.com/rey.sumam" TargetMode="External"/><Relationship Id="rId5008" Type="http://schemas.openxmlformats.org/officeDocument/2006/relationships/hyperlink" Target="https://www.facebook.com/profile.php?id=100072240556659" TargetMode="External"/><Relationship Id="rId5009" Type="http://schemas.openxmlformats.org/officeDocument/2006/relationships/hyperlink" Target="https://www.facebook.com/rapplerdotcom/posts/pfbid02BCyyacWVuuu1bwX5PwYK8PvqDGTANxekqEMy7qyV9vMmaGKTbC8sBf7i5j3Wbx9Ll" TargetMode="External"/><Relationship Id="rId5002" Type="http://schemas.openxmlformats.org/officeDocument/2006/relationships/hyperlink" Target="https://www.facebook.com/fonzy.alfonso.79" TargetMode="External"/><Relationship Id="rId5003" Type="http://schemas.openxmlformats.org/officeDocument/2006/relationships/hyperlink" Target="https://www.facebook.com/rapplerdotcom/posts/pfbid02BCyyacWVuuu1bwX5PwYK8PvqDGTANxekqEMy7qyV9vMmaGKTbC8sBf7i5j3Wbx9Ll" TargetMode="External"/><Relationship Id="rId5000" Type="http://schemas.openxmlformats.org/officeDocument/2006/relationships/hyperlink" Target="https://www.facebook.com/profile.php?id=100041903862229" TargetMode="External"/><Relationship Id="rId5001" Type="http://schemas.openxmlformats.org/officeDocument/2006/relationships/hyperlink" Target="https://www.facebook.com/rapplerdotcom/posts/pfbid02BCyyacWVuuu1bwX5PwYK8PvqDGTANxekqEMy7qyV9vMmaGKTbC8sBf7i5j3Wbx9Ll" TargetMode="External"/><Relationship Id="rId5006" Type="http://schemas.openxmlformats.org/officeDocument/2006/relationships/hyperlink" Target="https://www.facebook.com/rommel.carpio.315" TargetMode="External"/><Relationship Id="rId5007" Type="http://schemas.openxmlformats.org/officeDocument/2006/relationships/hyperlink" Target="https://www.facebook.com/rapplerdotcom/posts/pfbid02BCyyacWVuuu1bwX5PwYK8PvqDGTANxekqEMy7qyV9vMmaGKTbC8sBf7i5j3Wbx9Ll" TargetMode="External"/><Relationship Id="rId5004" Type="http://schemas.openxmlformats.org/officeDocument/2006/relationships/hyperlink" Target="https://www.facebook.com/profile.php?id=100010177068680" TargetMode="External"/><Relationship Id="rId5005" Type="http://schemas.openxmlformats.org/officeDocument/2006/relationships/hyperlink" Target="https://www.facebook.com/rapplerdotcom/posts/pfbid02BCyyacWVuuu1bwX5PwYK8PvqDGTANxekqEMy7qyV9vMmaGKTbC8sBf7i5j3Wbx9Ll" TargetMode="External"/><Relationship Id="rId5031" Type="http://schemas.openxmlformats.org/officeDocument/2006/relationships/hyperlink" Target="https://www.facebook.com/rapplerdotcom/posts/pfbid02BCyyacWVuuu1bwX5PwYK8PvqDGTANxekqEMy7qyV9vMmaGKTbC8sBf7i5j3Wbx9Ll" TargetMode="External"/><Relationship Id="rId5032" Type="http://schemas.openxmlformats.org/officeDocument/2006/relationships/hyperlink" Target="https://www.facebook.com/rommeltamonte7" TargetMode="External"/><Relationship Id="rId5030" Type="http://schemas.openxmlformats.org/officeDocument/2006/relationships/hyperlink" Target="https://www.facebook.com/chazper21" TargetMode="External"/><Relationship Id="rId5035" Type="http://schemas.openxmlformats.org/officeDocument/2006/relationships/hyperlink" Target="https://www.facebook.com/rapplerdotcom/posts/pfbid02BCyyacWVuuu1bwX5PwYK8PvqDGTANxekqEMy7qyV9vMmaGKTbC8sBf7i5j3Wbx9Ll" TargetMode="External"/><Relationship Id="rId5036" Type="http://schemas.openxmlformats.org/officeDocument/2006/relationships/hyperlink" Target="https://www.facebook.com/chazper21" TargetMode="External"/><Relationship Id="rId5033" Type="http://schemas.openxmlformats.org/officeDocument/2006/relationships/hyperlink" Target="https://www.facebook.com/rapplerdotcom/posts/pfbid02BCyyacWVuuu1bwX5PwYK8PvqDGTANxekqEMy7qyV9vMmaGKTbC8sBf7i5j3Wbx9Ll" TargetMode="External"/><Relationship Id="rId5034" Type="http://schemas.openxmlformats.org/officeDocument/2006/relationships/hyperlink" Target="https://www.facebook.com/chazper21" TargetMode="External"/><Relationship Id="rId5039" Type="http://schemas.openxmlformats.org/officeDocument/2006/relationships/hyperlink" Target="https://www.facebook.com/rapplerdotcom/posts/pfbid02BCyyacWVuuu1bwX5PwYK8PvqDGTANxekqEMy7qyV9vMmaGKTbC8sBf7i5j3Wbx9Ll" TargetMode="External"/><Relationship Id="rId5037" Type="http://schemas.openxmlformats.org/officeDocument/2006/relationships/hyperlink" Target="https://www.facebook.com/rapplerdotcom/posts/pfbid02BCyyacWVuuu1bwX5PwYK8PvqDGTANxekqEMy7qyV9vMmaGKTbC8sBf7i5j3Wbx9Ll" TargetMode="External"/><Relationship Id="rId5038" Type="http://schemas.openxmlformats.org/officeDocument/2006/relationships/hyperlink" Target="https://www.facebook.com/Overhauled12" TargetMode="External"/><Relationship Id="rId5020" Type="http://schemas.openxmlformats.org/officeDocument/2006/relationships/hyperlink" Target="https://www.facebook.com/john.p.garsula" TargetMode="External"/><Relationship Id="rId5021" Type="http://schemas.openxmlformats.org/officeDocument/2006/relationships/hyperlink" Target="https://www.facebook.com/rapplerdotcom/posts/pfbid02BCyyacWVuuu1bwX5PwYK8PvqDGTANxekqEMy7qyV9vMmaGKTbC8sBf7i5j3Wbx9Ll" TargetMode="External"/><Relationship Id="rId5024" Type="http://schemas.openxmlformats.org/officeDocument/2006/relationships/hyperlink" Target="https://www.facebook.com/profile.php?id=100009077087732" TargetMode="External"/><Relationship Id="rId5025" Type="http://schemas.openxmlformats.org/officeDocument/2006/relationships/hyperlink" Target="https://www.facebook.com/rapplerdotcom/posts/pfbid02BCyyacWVuuu1bwX5PwYK8PvqDGTANxekqEMy7qyV9vMmaGKTbC8sBf7i5j3Wbx9Ll" TargetMode="External"/><Relationship Id="rId5022" Type="http://schemas.openxmlformats.org/officeDocument/2006/relationships/hyperlink" Target="https://www.facebook.com/rommeltamonte7" TargetMode="External"/><Relationship Id="rId5023" Type="http://schemas.openxmlformats.org/officeDocument/2006/relationships/hyperlink" Target="https://www.facebook.com/rapplerdotcom/posts/pfbid02BCyyacWVuuu1bwX5PwYK8PvqDGTANxekqEMy7qyV9vMmaGKTbC8sBf7i5j3Wbx9Ll" TargetMode="External"/><Relationship Id="rId5028" Type="http://schemas.openxmlformats.org/officeDocument/2006/relationships/hyperlink" Target="https://www.facebook.com/glark.yaranon" TargetMode="External"/><Relationship Id="rId5029" Type="http://schemas.openxmlformats.org/officeDocument/2006/relationships/hyperlink" Target="https://www.facebook.com/rapplerdotcom/posts/pfbid02BCyyacWVuuu1bwX5PwYK8PvqDGTANxekqEMy7qyV9vMmaGKTbC8sBf7i5j3Wbx9Ll" TargetMode="External"/><Relationship Id="rId5026" Type="http://schemas.openxmlformats.org/officeDocument/2006/relationships/hyperlink" Target="https://www.facebook.com/juliet.romano.75" TargetMode="External"/><Relationship Id="rId5027" Type="http://schemas.openxmlformats.org/officeDocument/2006/relationships/hyperlink" Target="https://www.facebook.com/rapplerdotcom/posts/pfbid02BCyyacWVuuu1bwX5PwYK8PvqDGTANxekqEMy7qyV9vMmaGKTbC8sBf7i5j3Wbx9Ll" TargetMode="External"/><Relationship Id="rId2820" Type="http://schemas.openxmlformats.org/officeDocument/2006/relationships/hyperlink" Target="https://www.facebook.com/watch/?v=570590637273208" TargetMode="External"/><Relationship Id="rId2821" Type="http://schemas.openxmlformats.org/officeDocument/2006/relationships/hyperlink" Target="https://www.facebook.com/theresa.ysabella.75" TargetMode="External"/><Relationship Id="rId2822" Type="http://schemas.openxmlformats.org/officeDocument/2006/relationships/hyperlink" Target="https://www.facebook.com/watch/?v=570590637273208" TargetMode="External"/><Relationship Id="rId2823" Type="http://schemas.openxmlformats.org/officeDocument/2006/relationships/hyperlink" Target="https://www.facebook.com/vincent.deleon.14473" TargetMode="External"/><Relationship Id="rId2824" Type="http://schemas.openxmlformats.org/officeDocument/2006/relationships/hyperlink" Target="https://www.facebook.com/watch/?v=570590637273208" TargetMode="External"/><Relationship Id="rId2825" Type="http://schemas.openxmlformats.org/officeDocument/2006/relationships/hyperlink" Target="https://www.facebook.com/vincent.deleon.14473" TargetMode="External"/><Relationship Id="rId2826" Type="http://schemas.openxmlformats.org/officeDocument/2006/relationships/hyperlink" Target="https://www.facebook.com/watch/?v=570590637273208" TargetMode="External"/><Relationship Id="rId2827" Type="http://schemas.openxmlformats.org/officeDocument/2006/relationships/hyperlink" Target="https://www.facebook.com/salvacion.balidoy.58" TargetMode="External"/><Relationship Id="rId2828" Type="http://schemas.openxmlformats.org/officeDocument/2006/relationships/hyperlink" Target="https://www.facebook.com/watch/?v=570590637273208" TargetMode="External"/><Relationship Id="rId2829" Type="http://schemas.openxmlformats.org/officeDocument/2006/relationships/hyperlink" Target="https://www.facebook.com/profile.php?id=100076125252754" TargetMode="External"/><Relationship Id="rId5093" Type="http://schemas.openxmlformats.org/officeDocument/2006/relationships/hyperlink" Target="https://www.facebook.com/rapplerdotcom/posts/pfbid0231hbcbuKeQLDkPH8oZAdZbuU8MPPgRANx152V3xWpbjZ6EvfpohwQMvxHYAgrGPul" TargetMode="External"/><Relationship Id="rId5094" Type="http://schemas.openxmlformats.org/officeDocument/2006/relationships/hyperlink" Target="https://www.facebook.com/kram.nia.5" TargetMode="External"/><Relationship Id="rId5091" Type="http://schemas.openxmlformats.org/officeDocument/2006/relationships/hyperlink" Target="https://www.facebook.com/rapplerdotcom/posts/pfbid0231hbcbuKeQLDkPH8oZAdZbuU8MPPgRANx152V3xWpbjZ6EvfpohwQMvxHYAgrGPul" TargetMode="External"/><Relationship Id="rId5092" Type="http://schemas.openxmlformats.org/officeDocument/2006/relationships/hyperlink" Target="https://www.facebook.com/jheys.lupet" TargetMode="External"/><Relationship Id="rId5097" Type="http://schemas.openxmlformats.org/officeDocument/2006/relationships/hyperlink" Target="https://www.facebook.com/rapplerdotcom/photos/a.317154781638645/5594264657260938/" TargetMode="External"/><Relationship Id="rId5098" Type="http://schemas.openxmlformats.org/officeDocument/2006/relationships/hyperlink" Target="https://www.facebook.com/ness.lansang.1" TargetMode="External"/><Relationship Id="rId5095" Type="http://schemas.openxmlformats.org/officeDocument/2006/relationships/hyperlink" Target="https://www.facebook.com/rapplerdotcom/posts/pfbid0231hbcbuKeQLDkPH8oZAdZbuU8MPPgRANx152V3xWpbjZ6EvfpohwQMvxHYAgrGPul" TargetMode="External"/><Relationship Id="rId5096" Type="http://schemas.openxmlformats.org/officeDocument/2006/relationships/hyperlink" Target="https://www.facebook.com/ivee.villarinarnaiz" TargetMode="External"/><Relationship Id="rId5099" Type="http://schemas.openxmlformats.org/officeDocument/2006/relationships/hyperlink" Target="https://www.facebook.com/rapplerdotcom/photos/a.317154781638645/5594264657260938/" TargetMode="External"/><Relationship Id="rId2810" Type="http://schemas.openxmlformats.org/officeDocument/2006/relationships/hyperlink" Target="https://www.facebook.com/watch/?v=570590637273208" TargetMode="External"/><Relationship Id="rId2811" Type="http://schemas.openxmlformats.org/officeDocument/2006/relationships/hyperlink" Target="https://www.facebook.com/emily.ananda.3" TargetMode="External"/><Relationship Id="rId2812" Type="http://schemas.openxmlformats.org/officeDocument/2006/relationships/hyperlink" Target="https://www.facebook.com/watch/?v=570590637273208" TargetMode="External"/><Relationship Id="rId2813" Type="http://schemas.openxmlformats.org/officeDocument/2006/relationships/hyperlink" Target="https://www.facebook.com/buday.7777777" TargetMode="External"/><Relationship Id="rId2814" Type="http://schemas.openxmlformats.org/officeDocument/2006/relationships/hyperlink" Target="https://www.facebook.com/watch/?v=570590637273208" TargetMode="External"/><Relationship Id="rId2815" Type="http://schemas.openxmlformats.org/officeDocument/2006/relationships/hyperlink" Target="https://www.facebook.com/profile.php?id=100076467948562" TargetMode="External"/><Relationship Id="rId2816" Type="http://schemas.openxmlformats.org/officeDocument/2006/relationships/hyperlink" Target="https://www.facebook.com/watch/?v=570590637273208" TargetMode="External"/><Relationship Id="rId2817" Type="http://schemas.openxmlformats.org/officeDocument/2006/relationships/hyperlink" Target="https://www.facebook.com/joeynatallo" TargetMode="External"/><Relationship Id="rId2818" Type="http://schemas.openxmlformats.org/officeDocument/2006/relationships/hyperlink" Target="https://www.facebook.com/watch/?v=570590637273208" TargetMode="External"/><Relationship Id="rId2819" Type="http://schemas.openxmlformats.org/officeDocument/2006/relationships/hyperlink" Target="https://www.facebook.com/emily.ananda.3" TargetMode="External"/><Relationship Id="rId5090" Type="http://schemas.openxmlformats.org/officeDocument/2006/relationships/hyperlink" Target="https://www.facebook.com/norieann.ramos" TargetMode="External"/><Relationship Id="rId5082" Type="http://schemas.openxmlformats.org/officeDocument/2006/relationships/hyperlink" Target="https://www.facebook.com/liv.viloria18" TargetMode="External"/><Relationship Id="rId5083" Type="http://schemas.openxmlformats.org/officeDocument/2006/relationships/hyperlink" Target="https://www.facebook.com/rapplerdotcom/posts/pfbid0231hbcbuKeQLDkPH8oZAdZbuU8MPPgRANx152V3xWpbjZ6EvfpohwQMvxHYAgrGPul" TargetMode="External"/><Relationship Id="rId5080" Type="http://schemas.openxmlformats.org/officeDocument/2006/relationships/hyperlink" Target="https://www.facebook.com/carmen.tabarnilla" TargetMode="External"/><Relationship Id="rId5081" Type="http://schemas.openxmlformats.org/officeDocument/2006/relationships/hyperlink" Target="https://www.facebook.com/rapplerdotcom/posts/pfbid0231hbcbuKeQLDkPH8oZAdZbuU8MPPgRANx152V3xWpbjZ6EvfpohwQMvxHYAgrGPul" TargetMode="External"/><Relationship Id="rId5086" Type="http://schemas.openxmlformats.org/officeDocument/2006/relationships/hyperlink" Target="https://www.facebook.com/gregorio.deo" TargetMode="External"/><Relationship Id="rId5087" Type="http://schemas.openxmlformats.org/officeDocument/2006/relationships/hyperlink" Target="https://www.facebook.com/rapplerdotcom/posts/pfbid0231hbcbuKeQLDkPH8oZAdZbuU8MPPgRANx152V3xWpbjZ6EvfpohwQMvxHYAgrGPul" TargetMode="External"/><Relationship Id="rId5084" Type="http://schemas.openxmlformats.org/officeDocument/2006/relationships/hyperlink" Target="https://www.facebook.com/jkeallano" TargetMode="External"/><Relationship Id="rId5085" Type="http://schemas.openxmlformats.org/officeDocument/2006/relationships/hyperlink" Target="https://www.facebook.com/rapplerdotcom/posts/pfbid0231hbcbuKeQLDkPH8oZAdZbuU8MPPgRANx152V3xWpbjZ6EvfpohwQMvxHYAgrGPul" TargetMode="External"/><Relationship Id="rId5088" Type="http://schemas.openxmlformats.org/officeDocument/2006/relationships/hyperlink" Target="https://www.facebook.com/kristine.r.nueva" TargetMode="External"/><Relationship Id="rId5089" Type="http://schemas.openxmlformats.org/officeDocument/2006/relationships/hyperlink" Target="https://www.facebook.com/rapplerdotcom/posts/pfbid0231hbcbuKeQLDkPH8oZAdZbuU8MPPgRANx152V3xWpbjZ6EvfpohwQMvxHYAgrGPul" TargetMode="External"/><Relationship Id="rId1510" Type="http://schemas.openxmlformats.org/officeDocument/2006/relationships/hyperlink" Target="https://www.facebook.com/rapplerdotcom/photos/a.317154781638645/5597116770309060/" TargetMode="External"/><Relationship Id="rId2841" Type="http://schemas.openxmlformats.org/officeDocument/2006/relationships/hyperlink" Target="https://www.facebook.com/profile.php?id=100075179869760" TargetMode="External"/><Relationship Id="rId1511" Type="http://schemas.openxmlformats.org/officeDocument/2006/relationships/hyperlink" Target="https://www.facebook.com/lydia.demecais" TargetMode="External"/><Relationship Id="rId2842" Type="http://schemas.openxmlformats.org/officeDocument/2006/relationships/hyperlink" Target="https://www.facebook.com/watch/?v=570590637273208" TargetMode="External"/><Relationship Id="rId1512" Type="http://schemas.openxmlformats.org/officeDocument/2006/relationships/hyperlink" Target="https://www.facebook.com/rapplerdotcom/photos/a.317154781638645/5597116770309060/" TargetMode="External"/><Relationship Id="rId2843" Type="http://schemas.openxmlformats.org/officeDocument/2006/relationships/hyperlink" Target="https://www.facebook.com/argie.salo" TargetMode="External"/><Relationship Id="rId1513" Type="http://schemas.openxmlformats.org/officeDocument/2006/relationships/hyperlink" Target="https://www.facebook.com/herbiebnitura" TargetMode="External"/><Relationship Id="rId2844" Type="http://schemas.openxmlformats.org/officeDocument/2006/relationships/hyperlink" Target="https://www.facebook.com/watch/?v=570590637273208" TargetMode="External"/><Relationship Id="rId1514" Type="http://schemas.openxmlformats.org/officeDocument/2006/relationships/hyperlink" Target="https://www.facebook.com/rapplerdotcom/photos/a.317154781638645/5597116770309060/" TargetMode="External"/><Relationship Id="rId2845" Type="http://schemas.openxmlformats.org/officeDocument/2006/relationships/hyperlink" Target="https://www.facebook.com/chitocmorales" TargetMode="External"/><Relationship Id="rId1515" Type="http://schemas.openxmlformats.org/officeDocument/2006/relationships/hyperlink" Target="https://www.facebook.com/WinterMemoir" TargetMode="External"/><Relationship Id="rId2846" Type="http://schemas.openxmlformats.org/officeDocument/2006/relationships/hyperlink" Target="https://www.facebook.com/watch/?v=570590637273208" TargetMode="External"/><Relationship Id="rId1516" Type="http://schemas.openxmlformats.org/officeDocument/2006/relationships/hyperlink" Target="https://www.facebook.com/rapplerdotcom/photos/a.317154781638645/5597116770309060/" TargetMode="External"/><Relationship Id="rId2847" Type="http://schemas.openxmlformats.org/officeDocument/2006/relationships/hyperlink" Target="https://www.facebook.com/benjie.roquejr" TargetMode="External"/><Relationship Id="rId1517" Type="http://schemas.openxmlformats.org/officeDocument/2006/relationships/hyperlink" Target="https://www.facebook.com/herbiebnitura" TargetMode="External"/><Relationship Id="rId2848" Type="http://schemas.openxmlformats.org/officeDocument/2006/relationships/hyperlink" Target="https://www.facebook.com/watch/?v=570590637273208" TargetMode="External"/><Relationship Id="rId1518" Type="http://schemas.openxmlformats.org/officeDocument/2006/relationships/hyperlink" Target="https://www.facebook.com/rapplerdotcom/photos/a.317154781638645/5597116770309060/" TargetMode="External"/><Relationship Id="rId2849" Type="http://schemas.openxmlformats.org/officeDocument/2006/relationships/hyperlink" Target="https://www.facebook.com/james.yodong" TargetMode="External"/><Relationship Id="rId1519" Type="http://schemas.openxmlformats.org/officeDocument/2006/relationships/hyperlink" Target="https://www.facebook.com/lorna.felipe.1694" TargetMode="External"/><Relationship Id="rId2840" Type="http://schemas.openxmlformats.org/officeDocument/2006/relationships/hyperlink" Target="https://www.facebook.com/watch/?v=570590637273208" TargetMode="External"/><Relationship Id="rId2830" Type="http://schemas.openxmlformats.org/officeDocument/2006/relationships/hyperlink" Target="https://www.facebook.com/watch/?v=570590637273208" TargetMode="External"/><Relationship Id="rId1500" Type="http://schemas.openxmlformats.org/officeDocument/2006/relationships/hyperlink" Target="https://www.facebook.com/rapplerdotcom/photos/a.317154781638645/5597116770309060/" TargetMode="External"/><Relationship Id="rId2831" Type="http://schemas.openxmlformats.org/officeDocument/2006/relationships/hyperlink" Target="https://www.facebook.com/jhonatan.dordas" TargetMode="External"/><Relationship Id="rId1501" Type="http://schemas.openxmlformats.org/officeDocument/2006/relationships/hyperlink" Target="https://www.facebook.com/ralphanthony.edu" TargetMode="External"/><Relationship Id="rId2832" Type="http://schemas.openxmlformats.org/officeDocument/2006/relationships/hyperlink" Target="https://www.facebook.com/watch/?v=570590637273208" TargetMode="External"/><Relationship Id="rId1502" Type="http://schemas.openxmlformats.org/officeDocument/2006/relationships/hyperlink" Target="https://www.facebook.com/rapplerdotcom/photos/a.317154781638645/5597116770309060/" TargetMode="External"/><Relationship Id="rId2833" Type="http://schemas.openxmlformats.org/officeDocument/2006/relationships/hyperlink" Target="https://www.facebook.com/divina.ritualpujeda" TargetMode="External"/><Relationship Id="rId1503" Type="http://schemas.openxmlformats.org/officeDocument/2006/relationships/hyperlink" Target="https://www.facebook.com/kurugaligala" TargetMode="External"/><Relationship Id="rId2834" Type="http://schemas.openxmlformats.org/officeDocument/2006/relationships/hyperlink" Target="https://www.facebook.com/watch/?v=570590637273208" TargetMode="External"/><Relationship Id="rId1504" Type="http://schemas.openxmlformats.org/officeDocument/2006/relationships/hyperlink" Target="https://www.facebook.com/rapplerdotcom/photos/a.317154781638645/5597116770309060/" TargetMode="External"/><Relationship Id="rId2835" Type="http://schemas.openxmlformats.org/officeDocument/2006/relationships/hyperlink" Target="https://www.facebook.com/veron.uera" TargetMode="External"/><Relationship Id="rId1505" Type="http://schemas.openxmlformats.org/officeDocument/2006/relationships/hyperlink" Target="https://www.facebook.com/rlduldulao" TargetMode="External"/><Relationship Id="rId2836" Type="http://schemas.openxmlformats.org/officeDocument/2006/relationships/hyperlink" Target="https://www.facebook.com/watch/?v=570590637273208" TargetMode="External"/><Relationship Id="rId1506" Type="http://schemas.openxmlformats.org/officeDocument/2006/relationships/hyperlink" Target="https://www.facebook.com/rapplerdotcom/photos/a.317154781638645/5597116770309060/" TargetMode="External"/><Relationship Id="rId2837" Type="http://schemas.openxmlformats.org/officeDocument/2006/relationships/hyperlink" Target="https://www.facebook.com/roberto.como.14" TargetMode="External"/><Relationship Id="rId1507" Type="http://schemas.openxmlformats.org/officeDocument/2006/relationships/hyperlink" Target="https://www.facebook.com/cleofe.nicolas.7" TargetMode="External"/><Relationship Id="rId2838" Type="http://schemas.openxmlformats.org/officeDocument/2006/relationships/hyperlink" Target="https://www.facebook.com/watch/?v=570590637273208" TargetMode="External"/><Relationship Id="rId1508" Type="http://schemas.openxmlformats.org/officeDocument/2006/relationships/hyperlink" Target="https://www.facebook.com/rapplerdotcom/photos/a.317154781638645/5597116770309060/" TargetMode="External"/><Relationship Id="rId2839" Type="http://schemas.openxmlformats.org/officeDocument/2006/relationships/hyperlink" Target="https://www.facebook.com/ventura.mariejane" TargetMode="External"/><Relationship Id="rId1509" Type="http://schemas.openxmlformats.org/officeDocument/2006/relationships/hyperlink" Target="https://www.facebook.com/william.baang" TargetMode="External"/><Relationship Id="rId5050" Type="http://schemas.openxmlformats.org/officeDocument/2006/relationships/hyperlink" Target="https://www.facebook.com/profile.php?id=100011366202531" TargetMode="External"/><Relationship Id="rId5053" Type="http://schemas.openxmlformats.org/officeDocument/2006/relationships/hyperlink" Target="https://www.facebook.com/rapplerdotcom/posts/pfbid0231hbcbuKeQLDkPH8oZAdZbuU8MPPgRANx152V3xWpbjZ6EvfpohwQMvxHYAgrGPul" TargetMode="External"/><Relationship Id="rId5054" Type="http://schemas.openxmlformats.org/officeDocument/2006/relationships/hyperlink" Target="https://www.facebook.com/IamRoselleBaltazar" TargetMode="External"/><Relationship Id="rId5051" Type="http://schemas.openxmlformats.org/officeDocument/2006/relationships/hyperlink" Target="https://www.facebook.com/rapplerdotcom/posts/pfbid0231hbcbuKeQLDkPH8oZAdZbuU8MPPgRANx152V3xWpbjZ6EvfpohwQMvxHYAgrGPul" TargetMode="External"/><Relationship Id="rId5052" Type="http://schemas.openxmlformats.org/officeDocument/2006/relationships/hyperlink" Target="https://www.facebook.com/vhersapitula" TargetMode="External"/><Relationship Id="rId5057" Type="http://schemas.openxmlformats.org/officeDocument/2006/relationships/hyperlink" Target="https://www.facebook.com/rapplerdotcom/posts/pfbid0231hbcbuKeQLDkPH8oZAdZbuU8MPPgRANx152V3xWpbjZ6EvfpohwQMvxHYAgrGPul" TargetMode="External"/><Relationship Id="rId5058" Type="http://schemas.openxmlformats.org/officeDocument/2006/relationships/hyperlink" Target="https://www.facebook.com/laura.coloma.7" TargetMode="External"/><Relationship Id="rId5055" Type="http://schemas.openxmlformats.org/officeDocument/2006/relationships/hyperlink" Target="https://www.facebook.com/rapplerdotcom/posts/pfbid0231hbcbuKeQLDkPH8oZAdZbuU8MPPgRANx152V3xWpbjZ6EvfpohwQMvxHYAgrGPul" TargetMode="External"/><Relationship Id="rId5056" Type="http://schemas.openxmlformats.org/officeDocument/2006/relationships/hyperlink" Target="https://www.facebook.com/profile.php?id=100004103093312" TargetMode="External"/><Relationship Id="rId5059" Type="http://schemas.openxmlformats.org/officeDocument/2006/relationships/hyperlink" Target="https://www.facebook.com/rapplerdotcom/posts/pfbid0231hbcbuKeQLDkPH8oZAdZbuU8MPPgRANx152V3xWpbjZ6EvfpohwQMvxHYAgrGPul" TargetMode="External"/><Relationship Id="rId5042" Type="http://schemas.openxmlformats.org/officeDocument/2006/relationships/hyperlink" Target="https://www.facebook.com/josefina.nalcot" TargetMode="External"/><Relationship Id="rId5043" Type="http://schemas.openxmlformats.org/officeDocument/2006/relationships/hyperlink" Target="https://www.facebook.com/rapplerdotcom/posts/pfbid02BCyyacWVuuu1bwX5PwYK8PvqDGTANxekqEMy7qyV9vMmaGKTbC8sBf7i5j3Wbx9Ll" TargetMode="External"/><Relationship Id="rId5040" Type="http://schemas.openxmlformats.org/officeDocument/2006/relationships/hyperlink" Target="https://www.facebook.com/carlos.javelosa" TargetMode="External"/><Relationship Id="rId5041" Type="http://schemas.openxmlformats.org/officeDocument/2006/relationships/hyperlink" Target="https://www.facebook.com/rapplerdotcom/posts/pfbid02BCyyacWVuuu1bwX5PwYK8PvqDGTANxekqEMy7qyV9vMmaGKTbC8sBf7i5j3Wbx9Ll" TargetMode="External"/><Relationship Id="rId5046" Type="http://schemas.openxmlformats.org/officeDocument/2006/relationships/hyperlink" Target="https://www.facebook.com/lorenza.ito.33" TargetMode="External"/><Relationship Id="rId5047" Type="http://schemas.openxmlformats.org/officeDocument/2006/relationships/hyperlink" Target="https://www.facebook.com/rapplerdotcom/posts/pfbid02BCyyacWVuuu1bwX5PwYK8PvqDGTANxekqEMy7qyV9vMmaGKTbC8sBf7i5j3Wbx9Ll" TargetMode="External"/><Relationship Id="rId5044" Type="http://schemas.openxmlformats.org/officeDocument/2006/relationships/hyperlink" Target="https://www.facebook.com/profile.php?id=100072240556659" TargetMode="External"/><Relationship Id="rId5045" Type="http://schemas.openxmlformats.org/officeDocument/2006/relationships/hyperlink" Target="https://www.facebook.com/rapplerdotcom/posts/pfbid02BCyyacWVuuu1bwX5PwYK8PvqDGTANxekqEMy7qyV9vMmaGKTbC8sBf7i5j3Wbx9Ll" TargetMode="External"/><Relationship Id="rId5048" Type="http://schemas.openxmlformats.org/officeDocument/2006/relationships/hyperlink" Target="https://www.facebook.com/lceleste3" TargetMode="External"/><Relationship Id="rId5049" Type="http://schemas.openxmlformats.org/officeDocument/2006/relationships/hyperlink" Target="https://www.facebook.com/rapplerdotcom/posts/pfbid02BCyyacWVuuu1bwX5PwYK8PvqDGTANxekqEMy7qyV9vMmaGKTbC8sBf7i5j3Wbx9Ll" TargetMode="External"/><Relationship Id="rId2800" Type="http://schemas.openxmlformats.org/officeDocument/2006/relationships/hyperlink" Target="https://www.facebook.com/watch/?v=570590637273208" TargetMode="External"/><Relationship Id="rId2801" Type="http://schemas.openxmlformats.org/officeDocument/2006/relationships/hyperlink" Target="https://www.facebook.com/juliedcpacheco" TargetMode="External"/><Relationship Id="rId2802" Type="http://schemas.openxmlformats.org/officeDocument/2006/relationships/hyperlink" Target="https://www.facebook.com/watch/?v=570590637273208" TargetMode="External"/><Relationship Id="rId2803" Type="http://schemas.openxmlformats.org/officeDocument/2006/relationships/hyperlink" Target="https://www.facebook.com/alex.jaylo.7" TargetMode="External"/><Relationship Id="rId2804" Type="http://schemas.openxmlformats.org/officeDocument/2006/relationships/hyperlink" Target="https://www.facebook.com/watch/?v=570590637273208" TargetMode="External"/><Relationship Id="rId2805" Type="http://schemas.openxmlformats.org/officeDocument/2006/relationships/hyperlink" Target="https://www.facebook.com/ronski.alde" TargetMode="External"/><Relationship Id="rId2806" Type="http://schemas.openxmlformats.org/officeDocument/2006/relationships/hyperlink" Target="https://www.facebook.com/watch/?v=570590637273208" TargetMode="External"/><Relationship Id="rId2807" Type="http://schemas.openxmlformats.org/officeDocument/2006/relationships/hyperlink" Target="https://www.facebook.com/jennifer.zafra.1" TargetMode="External"/><Relationship Id="rId2808" Type="http://schemas.openxmlformats.org/officeDocument/2006/relationships/hyperlink" Target="https://www.facebook.com/watch/?v=570590637273208" TargetMode="External"/><Relationship Id="rId2809" Type="http://schemas.openxmlformats.org/officeDocument/2006/relationships/hyperlink" Target="https://www.facebook.com/indiping.cosmetic" TargetMode="External"/><Relationship Id="rId5071" Type="http://schemas.openxmlformats.org/officeDocument/2006/relationships/hyperlink" Target="https://www.facebook.com/rapplerdotcom/posts/pfbid0231hbcbuKeQLDkPH8oZAdZbuU8MPPgRANx152V3xWpbjZ6EvfpohwQMvxHYAgrGPul" TargetMode="External"/><Relationship Id="rId5072" Type="http://schemas.openxmlformats.org/officeDocument/2006/relationships/hyperlink" Target="https://www.facebook.com/rgrino1" TargetMode="External"/><Relationship Id="rId5070" Type="http://schemas.openxmlformats.org/officeDocument/2006/relationships/hyperlink" Target="https://www.facebook.com/arnel.bernardino.9" TargetMode="External"/><Relationship Id="rId5075" Type="http://schemas.openxmlformats.org/officeDocument/2006/relationships/hyperlink" Target="https://www.facebook.com/rapplerdotcom/posts/pfbid0231hbcbuKeQLDkPH8oZAdZbuU8MPPgRANx152V3xWpbjZ6EvfpohwQMvxHYAgrGPul" TargetMode="External"/><Relationship Id="rId5076" Type="http://schemas.openxmlformats.org/officeDocument/2006/relationships/hyperlink" Target="https://www.facebook.com/vanessa.cabelto" TargetMode="External"/><Relationship Id="rId5073" Type="http://schemas.openxmlformats.org/officeDocument/2006/relationships/hyperlink" Target="https://www.facebook.com/rapplerdotcom/posts/pfbid0231hbcbuKeQLDkPH8oZAdZbuU8MPPgRANx152V3xWpbjZ6EvfpohwQMvxHYAgrGPul" TargetMode="External"/><Relationship Id="rId5074" Type="http://schemas.openxmlformats.org/officeDocument/2006/relationships/hyperlink" Target="https://www.facebook.com/kawboy02" TargetMode="External"/><Relationship Id="rId5079" Type="http://schemas.openxmlformats.org/officeDocument/2006/relationships/hyperlink" Target="https://www.facebook.com/rapplerdotcom/posts/pfbid0231hbcbuKeQLDkPH8oZAdZbuU8MPPgRANx152V3xWpbjZ6EvfpohwQMvxHYAgrGPul" TargetMode="External"/><Relationship Id="rId5077" Type="http://schemas.openxmlformats.org/officeDocument/2006/relationships/hyperlink" Target="https://www.facebook.com/rapplerdotcom/posts/pfbid0231hbcbuKeQLDkPH8oZAdZbuU8MPPgRANx152V3xWpbjZ6EvfpohwQMvxHYAgrGPul" TargetMode="External"/><Relationship Id="rId5078" Type="http://schemas.openxmlformats.org/officeDocument/2006/relationships/hyperlink" Target="https://www.facebook.com/ronel.padrqiue" TargetMode="External"/><Relationship Id="rId5060" Type="http://schemas.openxmlformats.org/officeDocument/2006/relationships/hyperlink" Target="https://www.facebook.com/jingbong.suan" TargetMode="External"/><Relationship Id="rId5061" Type="http://schemas.openxmlformats.org/officeDocument/2006/relationships/hyperlink" Target="https://www.facebook.com/rapplerdotcom/posts/pfbid0231hbcbuKeQLDkPH8oZAdZbuU8MPPgRANx152V3xWpbjZ6EvfpohwQMvxHYAgrGPul" TargetMode="External"/><Relationship Id="rId5064" Type="http://schemas.openxmlformats.org/officeDocument/2006/relationships/hyperlink" Target="https://www.facebook.com/alma.bautista.148" TargetMode="External"/><Relationship Id="rId5065" Type="http://schemas.openxmlformats.org/officeDocument/2006/relationships/hyperlink" Target="https://www.facebook.com/rapplerdotcom/posts/pfbid0231hbcbuKeQLDkPH8oZAdZbuU8MPPgRANx152V3xWpbjZ6EvfpohwQMvxHYAgrGPul" TargetMode="External"/><Relationship Id="rId5062" Type="http://schemas.openxmlformats.org/officeDocument/2006/relationships/hyperlink" Target="https://www.facebook.com/esting.cabrerazaAaAaA" TargetMode="External"/><Relationship Id="rId5063" Type="http://schemas.openxmlformats.org/officeDocument/2006/relationships/hyperlink" Target="https://www.facebook.com/rapplerdotcom/posts/pfbid0231hbcbuKeQLDkPH8oZAdZbuU8MPPgRANx152V3xWpbjZ6EvfpohwQMvxHYAgrGPul" TargetMode="External"/><Relationship Id="rId5068" Type="http://schemas.openxmlformats.org/officeDocument/2006/relationships/hyperlink" Target="https://www.facebook.com/marichu.espinosa.5" TargetMode="External"/><Relationship Id="rId5069" Type="http://schemas.openxmlformats.org/officeDocument/2006/relationships/hyperlink" Target="https://www.facebook.com/rapplerdotcom/posts/pfbid0231hbcbuKeQLDkPH8oZAdZbuU8MPPgRANx152V3xWpbjZ6EvfpohwQMvxHYAgrGPul" TargetMode="External"/><Relationship Id="rId5066" Type="http://schemas.openxmlformats.org/officeDocument/2006/relationships/hyperlink" Target="https://www.facebook.com/jrockersgsm" TargetMode="External"/><Relationship Id="rId5067" Type="http://schemas.openxmlformats.org/officeDocument/2006/relationships/hyperlink" Target="https://www.facebook.com/rapplerdotcom/posts/pfbid0231hbcbuKeQLDkPH8oZAdZbuU8MPPgRANx152V3xWpbjZ6EvfpohwQMvxHYAgrGPul" TargetMode="External"/><Relationship Id="rId1576" Type="http://schemas.openxmlformats.org/officeDocument/2006/relationships/hyperlink" Target="https://www.facebook.com/rapplerdotcom/photos/a.317154781638645/5597116770309060/" TargetMode="External"/><Relationship Id="rId1577" Type="http://schemas.openxmlformats.org/officeDocument/2006/relationships/hyperlink" Target="https://www.facebook.com/gracepenetrante.udarbe" TargetMode="External"/><Relationship Id="rId1578" Type="http://schemas.openxmlformats.org/officeDocument/2006/relationships/hyperlink" Target="https://www.facebook.com/rapplerdotcom/photos/a.317154781638645/5597116770309060/" TargetMode="External"/><Relationship Id="rId1579" Type="http://schemas.openxmlformats.org/officeDocument/2006/relationships/hyperlink" Target="https://www.facebook.com/holaissa.jaboneta" TargetMode="External"/><Relationship Id="rId987" Type="http://schemas.openxmlformats.org/officeDocument/2006/relationships/hyperlink" Target="https://www.facebook.com/saturnino.m.zamora" TargetMode="External"/><Relationship Id="rId986" Type="http://schemas.openxmlformats.org/officeDocument/2006/relationships/hyperlink" Target="https://www.facebook.com/rapplerdotcom/photos/a.317154781638645/5597592673594803/" TargetMode="External"/><Relationship Id="rId985" Type="http://schemas.openxmlformats.org/officeDocument/2006/relationships/hyperlink" Target="https://www.facebook.com/marlene.deximo" TargetMode="External"/><Relationship Id="rId984" Type="http://schemas.openxmlformats.org/officeDocument/2006/relationships/hyperlink" Target="https://www.facebook.com/rapplerdotcom/photos/a.317154781638645/5597592673594803/" TargetMode="External"/><Relationship Id="rId989" Type="http://schemas.openxmlformats.org/officeDocument/2006/relationships/hyperlink" Target="https://www.facebook.com/profile.php?id=100001458259598" TargetMode="External"/><Relationship Id="rId988" Type="http://schemas.openxmlformats.org/officeDocument/2006/relationships/hyperlink" Target="https://www.facebook.com/rapplerdotcom/photos/a.317154781638645/5597592673594803/" TargetMode="External"/><Relationship Id="rId1570" Type="http://schemas.openxmlformats.org/officeDocument/2006/relationships/hyperlink" Target="https://www.facebook.com/rapplerdotcom/photos/a.317154781638645/5597116770309060/" TargetMode="External"/><Relationship Id="rId1571" Type="http://schemas.openxmlformats.org/officeDocument/2006/relationships/hyperlink" Target="https://www.facebook.com/ramselyn.ocedaobrero" TargetMode="External"/><Relationship Id="rId983" Type="http://schemas.openxmlformats.org/officeDocument/2006/relationships/hyperlink" Target="https://www.facebook.com/lina.are.712" TargetMode="External"/><Relationship Id="rId1572" Type="http://schemas.openxmlformats.org/officeDocument/2006/relationships/hyperlink" Target="https://www.facebook.com/rapplerdotcom/photos/a.317154781638645/5597116770309060/" TargetMode="External"/><Relationship Id="rId982" Type="http://schemas.openxmlformats.org/officeDocument/2006/relationships/hyperlink" Target="https://www.facebook.com/rapplerdotcom/photos/a.317154781638645/5597592673594803/" TargetMode="External"/><Relationship Id="rId1573" Type="http://schemas.openxmlformats.org/officeDocument/2006/relationships/hyperlink" Target="https://www.facebook.com/florante.lumaban" TargetMode="External"/><Relationship Id="rId981" Type="http://schemas.openxmlformats.org/officeDocument/2006/relationships/hyperlink" Target="https://www.facebook.com/christian.vicente.104" TargetMode="External"/><Relationship Id="rId1574" Type="http://schemas.openxmlformats.org/officeDocument/2006/relationships/hyperlink" Target="https://www.facebook.com/rapplerdotcom/photos/a.317154781638645/5597116770309060/" TargetMode="External"/><Relationship Id="rId980" Type="http://schemas.openxmlformats.org/officeDocument/2006/relationships/hyperlink" Target="https://www.facebook.com/rapplerdotcom/photos/a.317154781638645/5597592673594803/" TargetMode="External"/><Relationship Id="rId1575" Type="http://schemas.openxmlformats.org/officeDocument/2006/relationships/hyperlink" Target="https://www.facebook.com/nel.mendoza.127201" TargetMode="External"/><Relationship Id="rId1565" Type="http://schemas.openxmlformats.org/officeDocument/2006/relationships/hyperlink" Target="https://www.facebook.com/king.siquete" TargetMode="External"/><Relationship Id="rId2896" Type="http://schemas.openxmlformats.org/officeDocument/2006/relationships/hyperlink" Target="https://www.facebook.com/watch/live/?ref=watch_permalink&amp;v=360307549312104" TargetMode="External"/><Relationship Id="rId1566" Type="http://schemas.openxmlformats.org/officeDocument/2006/relationships/hyperlink" Target="https://www.facebook.com/rapplerdotcom/photos/a.317154781638645/5597116770309060/" TargetMode="External"/><Relationship Id="rId2897" Type="http://schemas.openxmlformats.org/officeDocument/2006/relationships/hyperlink" Target="https://www.facebook.com/mheldzkie.jean.1" TargetMode="External"/><Relationship Id="rId1567" Type="http://schemas.openxmlformats.org/officeDocument/2006/relationships/hyperlink" Target="https://www.facebook.com/profile.php?id=100004342516925" TargetMode="External"/><Relationship Id="rId2898" Type="http://schemas.openxmlformats.org/officeDocument/2006/relationships/hyperlink" Target="https://www.facebook.com/watch/live/?ref=watch_permalink&amp;v=360307549312104" TargetMode="External"/><Relationship Id="rId1568" Type="http://schemas.openxmlformats.org/officeDocument/2006/relationships/hyperlink" Target="https://www.facebook.com/rapplerdotcom/photos/a.317154781638645/5597116770309060/" TargetMode="External"/><Relationship Id="rId2899" Type="http://schemas.openxmlformats.org/officeDocument/2006/relationships/hyperlink" Target="https://www.facebook.com/mheldzkie.jean.1" TargetMode="External"/><Relationship Id="rId1569" Type="http://schemas.openxmlformats.org/officeDocument/2006/relationships/hyperlink" Target="https://www.facebook.com/profile.php?id=100004342516925" TargetMode="External"/><Relationship Id="rId976" Type="http://schemas.openxmlformats.org/officeDocument/2006/relationships/hyperlink" Target="https://www.facebook.com/rapplerdotcom/photos/a.317154781638645/5597592673594803/" TargetMode="External"/><Relationship Id="rId975" Type="http://schemas.openxmlformats.org/officeDocument/2006/relationships/hyperlink" Target="https://www.facebook.com/sylvz.serranoadona" TargetMode="External"/><Relationship Id="rId974" Type="http://schemas.openxmlformats.org/officeDocument/2006/relationships/hyperlink" Target="https://www.facebook.com/rapplerdotcom/photos/a.317154781638645/5597592673594803/" TargetMode="External"/><Relationship Id="rId973" Type="http://schemas.openxmlformats.org/officeDocument/2006/relationships/hyperlink" Target="https://www.facebook.com/profile.php?id=100040658171991" TargetMode="External"/><Relationship Id="rId979" Type="http://schemas.openxmlformats.org/officeDocument/2006/relationships/hyperlink" Target="https://www.facebook.com/profile.php?id=100070422307214" TargetMode="External"/><Relationship Id="rId978" Type="http://schemas.openxmlformats.org/officeDocument/2006/relationships/hyperlink" Target="https://www.facebook.com/rapplerdotcom/photos/a.317154781638645/5597592673594803/" TargetMode="External"/><Relationship Id="rId977" Type="http://schemas.openxmlformats.org/officeDocument/2006/relationships/hyperlink" Target="https://www.facebook.com/shirley.narra" TargetMode="External"/><Relationship Id="rId2890" Type="http://schemas.openxmlformats.org/officeDocument/2006/relationships/hyperlink" Target="https://www.facebook.com/watch/live/?ref=watch_permalink&amp;v=360307549312104" TargetMode="External"/><Relationship Id="rId1560" Type="http://schemas.openxmlformats.org/officeDocument/2006/relationships/hyperlink" Target="https://www.facebook.com/rapplerdotcom/photos/a.317154781638645/5597116770309060/" TargetMode="External"/><Relationship Id="rId2891" Type="http://schemas.openxmlformats.org/officeDocument/2006/relationships/hyperlink" Target="https://www.facebook.com/divz.magz" TargetMode="External"/><Relationship Id="rId972" Type="http://schemas.openxmlformats.org/officeDocument/2006/relationships/hyperlink" Target="https://www.facebook.com/rapplerdotcom/photos/a.317154781638645/5597592673594803/" TargetMode="External"/><Relationship Id="rId1561" Type="http://schemas.openxmlformats.org/officeDocument/2006/relationships/hyperlink" Target="https://www.facebook.com/manchelle01" TargetMode="External"/><Relationship Id="rId2892" Type="http://schemas.openxmlformats.org/officeDocument/2006/relationships/hyperlink" Target="https://www.facebook.com/watch/live/?ref=watch_permalink&amp;v=360307549312104" TargetMode="External"/><Relationship Id="rId971" Type="http://schemas.openxmlformats.org/officeDocument/2006/relationships/hyperlink" Target="https://www.facebook.com/chris.posiquit.3" TargetMode="External"/><Relationship Id="rId1562" Type="http://schemas.openxmlformats.org/officeDocument/2006/relationships/hyperlink" Target="https://www.facebook.com/rapplerdotcom/photos/a.317154781638645/5597116770309060/" TargetMode="External"/><Relationship Id="rId2893" Type="http://schemas.openxmlformats.org/officeDocument/2006/relationships/hyperlink" Target="https://www.facebook.com/RitaAvilaBooksforChildren" TargetMode="External"/><Relationship Id="rId970" Type="http://schemas.openxmlformats.org/officeDocument/2006/relationships/hyperlink" Target="https://www.facebook.com/rapplerdotcom/photos/a.317154781638645/5597592673594803/" TargetMode="External"/><Relationship Id="rId1563" Type="http://schemas.openxmlformats.org/officeDocument/2006/relationships/hyperlink" Target="https://www.facebook.com/cruz.marc.9" TargetMode="External"/><Relationship Id="rId2894" Type="http://schemas.openxmlformats.org/officeDocument/2006/relationships/hyperlink" Target="https://www.facebook.com/watch/live/?ref=watch_permalink&amp;v=360307549312104" TargetMode="External"/><Relationship Id="rId1564" Type="http://schemas.openxmlformats.org/officeDocument/2006/relationships/hyperlink" Target="https://www.facebook.com/rapplerdotcom/photos/a.317154781638645/5597116770309060/" TargetMode="External"/><Relationship Id="rId2895" Type="http://schemas.openxmlformats.org/officeDocument/2006/relationships/hyperlink" Target="https://www.facebook.com/adelfa.abuda" TargetMode="External"/><Relationship Id="rId1598" Type="http://schemas.openxmlformats.org/officeDocument/2006/relationships/hyperlink" Target="https://www.facebook.com/rapplerdotcom/posts/pfbid02AsSA4LQqjQ2Y8SVathQmtduoE3fhoGvQSNhvrzsMerDaJSQJ6jDvApCCiuaE7XCol" TargetMode="External"/><Relationship Id="rId1599" Type="http://schemas.openxmlformats.org/officeDocument/2006/relationships/hyperlink" Target="https://www.facebook.com/profile.php?id=100077649885354" TargetMode="External"/><Relationship Id="rId1590" Type="http://schemas.openxmlformats.org/officeDocument/2006/relationships/hyperlink" Target="https://www.facebook.com/rapplerdotcom/posts/pfbid02AsSA4LQqjQ2Y8SVathQmtduoE3fhoGvQSNhvrzsMerDaJSQJ6jDvApCCiuaE7XCol" TargetMode="External"/><Relationship Id="rId1591" Type="http://schemas.openxmlformats.org/officeDocument/2006/relationships/hyperlink" Target="https://www.facebook.com/amjad.lacman" TargetMode="External"/><Relationship Id="rId1592" Type="http://schemas.openxmlformats.org/officeDocument/2006/relationships/hyperlink" Target="https://www.facebook.com/rapplerdotcom/posts/pfbid02AsSA4LQqjQ2Y8SVathQmtduoE3fhoGvQSNhvrzsMerDaJSQJ6jDvApCCiuaE7XCol" TargetMode="External"/><Relationship Id="rId1593" Type="http://schemas.openxmlformats.org/officeDocument/2006/relationships/hyperlink" Target="https://www.facebook.com/DBTunacao" TargetMode="External"/><Relationship Id="rId1594" Type="http://schemas.openxmlformats.org/officeDocument/2006/relationships/hyperlink" Target="https://www.facebook.com/rapplerdotcom/posts/pfbid02AsSA4LQqjQ2Y8SVathQmtduoE3fhoGvQSNhvrzsMerDaJSQJ6jDvApCCiuaE7XCol" TargetMode="External"/><Relationship Id="rId1595" Type="http://schemas.openxmlformats.org/officeDocument/2006/relationships/hyperlink" Target="https://www.facebook.com/mila.magsayo" TargetMode="External"/><Relationship Id="rId1596" Type="http://schemas.openxmlformats.org/officeDocument/2006/relationships/hyperlink" Target="https://www.facebook.com/rapplerdotcom/posts/pfbid02AsSA4LQqjQ2Y8SVathQmtduoE3fhoGvQSNhvrzsMerDaJSQJ6jDvApCCiuaE7XCol" TargetMode="External"/><Relationship Id="rId1597" Type="http://schemas.openxmlformats.org/officeDocument/2006/relationships/hyperlink" Target="https://www.facebook.com/profile.php?id=100006370367395" TargetMode="External"/><Relationship Id="rId1587" Type="http://schemas.openxmlformats.org/officeDocument/2006/relationships/hyperlink" Target="https://www.facebook.com/docrly" TargetMode="External"/><Relationship Id="rId1588" Type="http://schemas.openxmlformats.org/officeDocument/2006/relationships/hyperlink" Target="https://www.facebook.com/rapplerdotcom/posts/pfbid02AsSA4LQqjQ2Y8SVathQmtduoE3fhoGvQSNhvrzsMerDaJSQJ6jDvApCCiuaE7XCol" TargetMode="External"/><Relationship Id="rId1589" Type="http://schemas.openxmlformats.org/officeDocument/2006/relationships/hyperlink" Target="https://www.facebook.com/elie.cosep.75" TargetMode="External"/><Relationship Id="rId998" Type="http://schemas.openxmlformats.org/officeDocument/2006/relationships/hyperlink" Target="https://www.facebook.com/rapplerdotcom/photos/a.317154781638645/5597592673594803/" TargetMode="External"/><Relationship Id="rId997" Type="http://schemas.openxmlformats.org/officeDocument/2006/relationships/hyperlink" Target="https://www.facebook.com/profile.php?id=100071214034177" TargetMode="External"/><Relationship Id="rId996" Type="http://schemas.openxmlformats.org/officeDocument/2006/relationships/hyperlink" Target="https://www.facebook.com/rapplerdotcom/photos/a.317154781638645/5597592673594803/" TargetMode="External"/><Relationship Id="rId995" Type="http://schemas.openxmlformats.org/officeDocument/2006/relationships/hyperlink" Target="https://www.facebook.com/jun.abordo.94" TargetMode="External"/><Relationship Id="rId999" Type="http://schemas.openxmlformats.org/officeDocument/2006/relationships/hyperlink" Target="https://www.facebook.com/profile.php?id=100074718165514" TargetMode="External"/><Relationship Id="rId990" Type="http://schemas.openxmlformats.org/officeDocument/2006/relationships/hyperlink" Target="https://www.facebook.com/rapplerdotcom/photos/a.317154781638645/5597592673594803/" TargetMode="External"/><Relationship Id="rId1580" Type="http://schemas.openxmlformats.org/officeDocument/2006/relationships/hyperlink" Target="https://www.facebook.com/rapplerdotcom/photos/a.317154781638645/5597116770309060/" TargetMode="External"/><Relationship Id="rId1581" Type="http://schemas.openxmlformats.org/officeDocument/2006/relationships/hyperlink" Target="https://www.facebook.com/biennes.balloons" TargetMode="External"/><Relationship Id="rId1582" Type="http://schemas.openxmlformats.org/officeDocument/2006/relationships/hyperlink" Target="https://www.facebook.com/rapplerdotcom/photos/a.317154781638645/5597116770309060/" TargetMode="External"/><Relationship Id="rId994" Type="http://schemas.openxmlformats.org/officeDocument/2006/relationships/hyperlink" Target="https://www.facebook.com/rapplerdotcom/photos/a.317154781638645/5597592673594803/" TargetMode="External"/><Relationship Id="rId1583" Type="http://schemas.openxmlformats.org/officeDocument/2006/relationships/hyperlink" Target="https://www.facebook.com/francrolan.manansala" TargetMode="External"/><Relationship Id="rId993" Type="http://schemas.openxmlformats.org/officeDocument/2006/relationships/hyperlink" Target="https://www.facebook.com/kelcinRam" TargetMode="External"/><Relationship Id="rId1584" Type="http://schemas.openxmlformats.org/officeDocument/2006/relationships/hyperlink" Target="https://www.facebook.com/rapplerdotcom/photos/a.317154781638645/5597116770309060/" TargetMode="External"/><Relationship Id="rId992" Type="http://schemas.openxmlformats.org/officeDocument/2006/relationships/hyperlink" Target="https://www.facebook.com/rapplerdotcom/photos/a.317154781638645/5597592673594803/" TargetMode="External"/><Relationship Id="rId1585" Type="http://schemas.openxmlformats.org/officeDocument/2006/relationships/hyperlink" Target="https://www.facebook.com/profile.php?id=100009152090546" TargetMode="External"/><Relationship Id="rId991" Type="http://schemas.openxmlformats.org/officeDocument/2006/relationships/hyperlink" Target="https://www.facebook.com/bagumbayan" TargetMode="External"/><Relationship Id="rId1586" Type="http://schemas.openxmlformats.org/officeDocument/2006/relationships/hyperlink" Target="https://www.facebook.com/rapplerdotcom/posts/pfbid02AsSA4LQqjQ2Y8SVathQmtduoE3fhoGvQSNhvrzsMerDaJSQJ6jDvApCCiuaE7XCol" TargetMode="External"/><Relationship Id="rId1532" Type="http://schemas.openxmlformats.org/officeDocument/2006/relationships/hyperlink" Target="https://www.facebook.com/rapplerdotcom/photos/a.317154781638645/5597116770309060/" TargetMode="External"/><Relationship Id="rId2863" Type="http://schemas.openxmlformats.org/officeDocument/2006/relationships/hyperlink" Target="https://www.facebook.com/melyn.eridao" TargetMode="External"/><Relationship Id="rId1533" Type="http://schemas.openxmlformats.org/officeDocument/2006/relationships/hyperlink" Target="https://www.facebook.com/DodiPaul" TargetMode="External"/><Relationship Id="rId2864" Type="http://schemas.openxmlformats.org/officeDocument/2006/relationships/hyperlink" Target="https://www.facebook.com/watch/?v=570590637273208" TargetMode="External"/><Relationship Id="rId1534" Type="http://schemas.openxmlformats.org/officeDocument/2006/relationships/hyperlink" Target="https://www.facebook.com/rapplerdotcom/photos/a.317154781638645/5597116770309060/" TargetMode="External"/><Relationship Id="rId2865" Type="http://schemas.openxmlformats.org/officeDocument/2006/relationships/hyperlink" Target="https://www.facebook.com/yuseri.rashida" TargetMode="External"/><Relationship Id="rId1535" Type="http://schemas.openxmlformats.org/officeDocument/2006/relationships/hyperlink" Target="https://www.facebook.com/paul.gatmaitan" TargetMode="External"/><Relationship Id="rId2866" Type="http://schemas.openxmlformats.org/officeDocument/2006/relationships/hyperlink" Target="https://www.facebook.com/watch/?v=570590637273208" TargetMode="External"/><Relationship Id="rId1536" Type="http://schemas.openxmlformats.org/officeDocument/2006/relationships/hyperlink" Target="https://www.facebook.com/rapplerdotcom/photos/a.317154781638645/5597116770309060/" TargetMode="External"/><Relationship Id="rId2867" Type="http://schemas.openxmlformats.org/officeDocument/2006/relationships/hyperlink" Target="https://www.facebook.com/francisco.deriquito" TargetMode="External"/><Relationship Id="rId1537" Type="http://schemas.openxmlformats.org/officeDocument/2006/relationships/hyperlink" Target="https://www.facebook.com/lito.sarmiento.129" TargetMode="External"/><Relationship Id="rId2868" Type="http://schemas.openxmlformats.org/officeDocument/2006/relationships/hyperlink" Target="https://www.facebook.com/watch/?v=570590637273208" TargetMode="External"/><Relationship Id="rId1538" Type="http://schemas.openxmlformats.org/officeDocument/2006/relationships/hyperlink" Target="https://www.facebook.com/rapplerdotcom/photos/a.317154781638645/5597116770309060/" TargetMode="External"/><Relationship Id="rId2869" Type="http://schemas.openxmlformats.org/officeDocument/2006/relationships/hyperlink" Target="https://www.facebook.com/naty.relato" TargetMode="External"/><Relationship Id="rId1539" Type="http://schemas.openxmlformats.org/officeDocument/2006/relationships/hyperlink" Target="https://www.facebook.com/Era1427" TargetMode="External"/><Relationship Id="rId949" Type="http://schemas.openxmlformats.org/officeDocument/2006/relationships/hyperlink" Target="https://www.facebook.com/profile.php?id=100075263366177" TargetMode="External"/><Relationship Id="rId948" Type="http://schemas.openxmlformats.org/officeDocument/2006/relationships/hyperlink" Target="https://www.facebook.com/rapplerdotcom/photos/a.317154781638645/5597592673594803/" TargetMode="External"/><Relationship Id="rId943" Type="http://schemas.openxmlformats.org/officeDocument/2006/relationships/hyperlink" Target="https://www.facebook.com/einavanie" TargetMode="External"/><Relationship Id="rId942" Type="http://schemas.openxmlformats.org/officeDocument/2006/relationships/hyperlink" Target="https://www.facebook.com/rapplerdotcom/photos/a.317154781638645/5597592673594803/" TargetMode="External"/><Relationship Id="rId941" Type="http://schemas.openxmlformats.org/officeDocument/2006/relationships/hyperlink" Target="https://www.facebook.com/marcial.acbang" TargetMode="External"/><Relationship Id="rId940" Type="http://schemas.openxmlformats.org/officeDocument/2006/relationships/hyperlink" Target="https://www.facebook.com/rapplerdotcom/photos/a.317154781638645/5597592673594803/" TargetMode="External"/><Relationship Id="rId947" Type="http://schemas.openxmlformats.org/officeDocument/2006/relationships/hyperlink" Target="https://www.facebook.com/profile.php?id=100076074789897" TargetMode="External"/><Relationship Id="rId946" Type="http://schemas.openxmlformats.org/officeDocument/2006/relationships/hyperlink" Target="https://www.facebook.com/rapplerdotcom/photos/a.317154781638645/5597592673594803/" TargetMode="External"/><Relationship Id="rId945" Type="http://schemas.openxmlformats.org/officeDocument/2006/relationships/hyperlink" Target="https://www.facebook.com/rechellgastardo.gordonas" TargetMode="External"/><Relationship Id="rId944" Type="http://schemas.openxmlformats.org/officeDocument/2006/relationships/hyperlink" Target="https://www.facebook.com/rapplerdotcom/photos/a.317154781638645/5597592673594803/" TargetMode="External"/><Relationship Id="rId2860" Type="http://schemas.openxmlformats.org/officeDocument/2006/relationships/hyperlink" Target="https://www.facebook.com/watch/?v=570590637273208" TargetMode="External"/><Relationship Id="rId1530" Type="http://schemas.openxmlformats.org/officeDocument/2006/relationships/hyperlink" Target="https://www.facebook.com/rapplerdotcom/photos/a.317154781638645/5597116770309060/" TargetMode="External"/><Relationship Id="rId2861" Type="http://schemas.openxmlformats.org/officeDocument/2006/relationships/hyperlink" Target="https://www.facebook.com/ernie.lebrillarigo" TargetMode="External"/><Relationship Id="rId1531" Type="http://schemas.openxmlformats.org/officeDocument/2006/relationships/hyperlink" Target="https://www.facebook.com/arnel.dean.31" TargetMode="External"/><Relationship Id="rId2862" Type="http://schemas.openxmlformats.org/officeDocument/2006/relationships/hyperlink" Target="https://www.facebook.com/watch/?v=570590637273208" TargetMode="External"/><Relationship Id="rId1521" Type="http://schemas.openxmlformats.org/officeDocument/2006/relationships/hyperlink" Target="https://www.facebook.com/Louweegeee" TargetMode="External"/><Relationship Id="rId2852" Type="http://schemas.openxmlformats.org/officeDocument/2006/relationships/hyperlink" Target="https://www.facebook.com/watch/?v=570590637273208" TargetMode="External"/><Relationship Id="rId1522" Type="http://schemas.openxmlformats.org/officeDocument/2006/relationships/hyperlink" Target="https://www.facebook.com/rapplerdotcom/photos/a.317154781638645/5597116770309060/" TargetMode="External"/><Relationship Id="rId2853" Type="http://schemas.openxmlformats.org/officeDocument/2006/relationships/hyperlink" Target="https://www.facebook.com/evangeline.cayabyab.79" TargetMode="External"/><Relationship Id="rId1523" Type="http://schemas.openxmlformats.org/officeDocument/2006/relationships/hyperlink" Target="https://www.facebook.com/billyvuelta" TargetMode="External"/><Relationship Id="rId2854" Type="http://schemas.openxmlformats.org/officeDocument/2006/relationships/hyperlink" Target="https://www.facebook.com/watch/?v=570590637273208" TargetMode="External"/><Relationship Id="rId1524" Type="http://schemas.openxmlformats.org/officeDocument/2006/relationships/hyperlink" Target="https://www.facebook.com/rapplerdotcom/photos/a.317154781638645/5597116770309060/" TargetMode="External"/><Relationship Id="rId2855" Type="http://schemas.openxmlformats.org/officeDocument/2006/relationships/hyperlink" Target="https://www.facebook.com/marnito.peligro" TargetMode="External"/><Relationship Id="rId1525" Type="http://schemas.openxmlformats.org/officeDocument/2006/relationships/hyperlink" Target="https://www.facebook.com/profile.php?id=100076549753166" TargetMode="External"/><Relationship Id="rId2856" Type="http://schemas.openxmlformats.org/officeDocument/2006/relationships/hyperlink" Target="https://www.facebook.com/watch/?v=570590637273208" TargetMode="External"/><Relationship Id="rId1526" Type="http://schemas.openxmlformats.org/officeDocument/2006/relationships/hyperlink" Target="https://www.facebook.com/rapplerdotcom/photos/a.317154781638645/5597116770309060/" TargetMode="External"/><Relationship Id="rId2857" Type="http://schemas.openxmlformats.org/officeDocument/2006/relationships/hyperlink" Target="https://www.facebook.com/joem.nadong.5" TargetMode="External"/><Relationship Id="rId1527" Type="http://schemas.openxmlformats.org/officeDocument/2006/relationships/hyperlink" Target="https://www.facebook.com/profile.php?id=100069088022643" TargetMode="External"/><Relationship Id="rId2858" Type="http://schemas.openxmlformats.org/officeDocument/2006/relationships/hyperlink" Target="https://www.facebook.com/watch/?v=570590637273208" TargetMode="External"/><Relationship Id="rId1528" Type="http://schemas.openxmlformats.org/officeDocument/2006/relationships/hyperlink" Target="https://www.facebook.com/rapplerdotcom/photos/a.317154781638645/5597116770309060/" TargetMode="External"/><Relationship Id="rId2859" Type="http://schemas.openxmlformats.org/officeDocument/2006/relationships/hyperlink" Target="https://www.facebook.com/ojcuison109" TargetMode="External"/><Relationship Id="rId1529" Type="http://schemas.openxmlformats.org/officeDocument/2006/relationships/hyperlink" Target="https://www.facebook.com/profile.php?id=100078611073162" TargetMode="External"/><Relationship Id="rId939" Type="http://schemas.openxmlformats.org/officeDocument/2006/relationships/hyperlink" Target="https://www.facebook.com/jun.osorio.12" TargetMode="External"/><Relationship Id="rId938" Type="http://schemas.openxmlformats.org/officeDocument/2006/relationships/hyperlink" Target="https://www.facebook.com/rapplerdotcom/photos/a.317154781638645/5597592673594803/" TargetMode="External"/><Relationship Id="rId937" Type="http://schemas.openxmlformats.org/officeDocument/2006/relationships/hyperlink" Target="https://www.facebook.com/iamlegend41" TargetMode="External"/><Relationship Id="rId932" Type="http://schemas.openxmlformats.org/officeDocument/2006/relationships/hyperlink" Target="https://www.facebook.com/rapplerdotcom/photos/a.317154781638645/5597592673594803/" TargetMode="External"/><Relationship Id="rId931" Type="http://schemas.openxmlformats.org/officeDocument/2006/relationships/hyperlink" Target="https://www.facebook.com/jaredhdown" TargetMode="External"/><Relationship Id="rId930" Type="http://schemas.openxmlformats.org/officeDocument/2006/relationships/hyperlink" Target="https://www.facebook.com/rapplerdotcom/photos/a.317154781638645/5597592673594803/" TargetMode="External"/><Relationship Id="rId936" Type="http://schemas.openxmlformats.org/officeDocument/2006/relationships/hyperlink" Target="https://www.facebook.com/rapplerdotcom/photos/a.317154781638645/5597592673594803/" TargetMode="External"/><Relationship Id="rId935" Type="http://schemas.openxmlformats.org/officeDocument/2006/relationships/hyperlink" Target="https://www.facebook.com/denshaw.rios" TargetMode="External"/><Relationship Id="rId934" Type="http://schemas.openxmlformats.org/officeDocument/2006/relationships/hyperlink" Target="https://www.facebook.com/rapplerdotcom/photos/a.317154781638645/5597592673594803/" TargetMode="External"/><Relationship Id="rId933" Type="http://schemas.openxmlformats.org/officeDocument/2006/relationships/hyperlink" Target="https://www.facebook.com/zayn.zee.16" TargetMode="External"/><Relationship Id="rId2850" Type="http://schemas.openxmlformats.org/officeDocument/2006/relationships/hyperlink" Target="https://www.facebook.com/watch/?v=570590637273208" TargetMode="External"/><Relationship Id="rId1520" Type="http://schemas.openxmlformats.org/officeDocument/2006/relationships/hyperlink" Target="https://www.facebook.com/rapplerdotcom/photos/a.317154781638645/5597116770309060/" TargetMode="External"/><Relationship Id="rId2851" Type="http://schemas.openxmlformats.org/officeDocument/2006/relationships/hyperlink" Target="https://www.facebook.com/lizaabrigos" TargetMode="External"/><Relationship Id="rId1554" Type="http://schemas.openxmlformats.org/officeDocument/2006/relationships/hyperlink" Target="https://www.facebook.com/rapplerdotcom/photos/a.317154781638645/5597116770309060/" TargetMode="External"/><Relationship Id="rId2885" Type="http://schemas.openxmlformats.org/officeDocument/2006/relationships/hyperlink" Target="https://www.facebook.com/raulg.azcuna" TargetMode="External"/><Relationship Id="rId1555" Type="http://schemas.openxmlformats.org/officeDocument/2006/relationships/hyperlink" Target="https://www.facebook.com/benny.mendoza.39948" TargetMode="External"/><Relationship Id="rId2886" Type="http://schemas.openxmlformats.org/officeDocument/2006/relationships/hyperlink" Target="https://www.facebook.com/watch/live/?ref=watch_permalink&amp;v=360307549312104" TargetMode="External"/><Relationship Id="rId1556" Type="http://schemas.openxmlformats.org/officeDocument/2006/relationships/hyperlink" Target="https://www.facebook.com/rapplerdotcom/photos/a.317154781638645/5597116770309060/" TargetMode="External"/><Relationship Id="rId2887" Type="http://schemas.openxmlformats.org/officeDocument/2006/relationships/hyperlink" Target="https://www.facebook.com/RitaAvilaBooksforChildren" TargetMode="External"/><Relationship Id="rId1557" Type="http://schemas.openxmlformats.org/officeDocument/2006/relationships/hyperlink" Target="https://www.facebook.com/Aprilche888" TargetMode="External"/><Relationship Id="rId2888" Type="http://schemas.openxmlformats.org/officeDocument/2006/relationships/hyperlink" Target="https://www.facebook.com/watch/live/?ref=watch_permalink&amp;v=360307549312104" TargetMode="External"/><Relationship Id="rId1558" Type="http://schemas.openxmlformats.org/officeDocument/2006/relationships/hyperlink" Target="https://www.facebook.com/rapplerdotcom/photos/a.317154781638645/5597116770309060/" TargetMode="External"/><Relationship Id="rId2889" Type="http://schemas.openxmlformats.org/officeDocument/2006/relationships/hyperlink" Target="https://www.facebook.com/mheldzkie.jean.1" TargetMode="External"/><Relationship Id="rId1559" Type="http://schemas.openxmlformats.org/officeDocument/2006/relationships/hyperlink" Target="https://www.facebook.com/profile.php?id=100040658171991" TargetMode="External"/><Relationship Id="rId965" Type="http://schemas.openxmlformats.org/officeDocument/2006/relationships/hyperlink" Target="https://www.facebook.com/christian.vicente.104" TargetMode="External"/><Relationship Id="rId964" Type="http://schemas.openxmlformats.org/officeDocument/2006/relationships/hyperlink" Target="https://www.facebook.com/rapplerdotcom/photos/a.317154781638645/5597592673594803/" TargetMode="External"/><Relationship Id="rId963" Type="http://schemas.openxmlformats.org/officeDocument/2006/relationships/hyperlink" Target="https://www.facebook.com/jun.pereo" TargetMode="External"/><Relationship Id="rId962" Type="http://schemas.openxmlformats.org/officeDocument/2006/relationships/hyperlink" Target="https://www.facebook.com/rapplerdotcom/photos/a.317154781638645/5597592673594803/" TargetMode="External"/><Relationship Id="rId969" Type="http://schemas.openxmlformats.org/officeDocument/2006/relationships/hyperlink" Target="https://www.facebook.com/virgilio.panolino" TargetMode="External"/><Relationship Id="rId968" Type="http://schemas.openxmlformats.org/officeDocument/2006/relationships/hyperlink" Target="https://www.facebook.com/rapplerdotcom/photos/a.317154781638645/5597592673594803/" TargetMode="External"/><Relationship Id="rId967" Type="http://schemas.openxmlformats.org/officeDocument/2006/relationships/hyperlink" Target="https://www.facebook.com/miriam.muro.52" TargetMode="External"/><Relationship Id="rId966" Type="http://schemas.openxmlformats.org/officeDocument/2006/relationships/hyperlink" Target="https://www.facebook.com/rapplerdotcom/photos/a.317154781638645/5597592673594803/" TargetMode="External"/><Relationship Id="rId2880" Type="http://schemas.openxmlformats.org/officeDocument/2006/relationships/hyperlink" Target="https://www.facebook.com/watch/?v=570590637273208" TargetMode="External"/><Relationship Id="rId961" Type="http://schemas.openxmlformats.org/officeDocument/2006/relationships/hyperlink" Target="https://www.facebook.com/silvino.lingan" TargetMode="External"/><Relationship Id="rId1550" Type="http://schemas.openxmlformats.org/officeDocument/2006/relationships/hyperlink" Target="https://www.facebook.com/rapplerdotcom/photos/a.317154781638645/5597116770309060/" TargetMode="External"/><Relationship Id="rId2881" Type="http://schemas.openxmlformats.org/officeDocument/2006/relationships/hyperlink" Target="https://www.facebook.com/RitaAvilaBooksforChildren" TargetMode="External"/><Relationship Id="rId960" Type="http://schemas.openxmlformats.org/officeDocument/2006/relationships/hyperlink" Target="https://www.facebook.com/rapplerdotcom/photos/a.317154781638645/5597592673594803/" TargetMode="External"/><Relationship Id="rId1551" Type="http://schemas.openxmlformats.org/officeDocument/2006/relationships/hyperlink" Target="https://www.facebook.com/nato.basilio" TargetMode="External"/><Relationship Id="rId2882" Type="http://schemas.openxmlformats.org/officeDocument/2006/relationships/hyperlink" Target="https://www.facebook.com/watch/live/?ref=watch_permalink&amp;v=360307549312104" TargetMode="External"/><Relationship Id="rId1552" Type="http://schemas.openxmlformats.org/officeDocument/2006/relationships/hyperlink" Target="https://www.facebook.com/rapplerdotcom/photos/a.317154781638645/5597116770309060/" TargetMode="External"/><Relationship Id="rId2883" Type="http://schemas.openxmlformats.org/officeDocument/2006/relationships/hyperlink" Target="https://www.facebook.com/romiel.cabrezajr" TargetMode="External"/><Relationship Id="rId1553" Type="http://schemas.openxmlformats.org/officeDocument/2006/relationships/hyperlink" Target="https://www.facebook.com/chelle.seyer" TargetMode="External"/><Relationship Id="rId2884" Type="http://schemas.openxmlformats.org/officeDocument/2006/relationships/hyperlink" Target="https://www.facebook.com/watch/live/?ref=watch_permalink&amp;v=360307549312104" TargetMode="External"/><Relationship Id="rId1543" Type="http://schemas.openxmlformats.org/officeDocument/2006/relationships/hyperlink" Target="https://www.facebook.com/josephine.ramos.376" TargetMode="External"/><Relationship Id="rId2874" Type="http://schemas.openxmlformats.org/officeDocument/2006/relationships/hyperlink" Target="https://www.facebook.com/watch/?v=570590637273208" TargetMode="External"/><Relationship Id="rId1544" Type="http://schemas.openxmlformats.org/officeDocument/2006/relationships/hyperlink" Target="https://www.facebook.com/rapplerdotcom/photos/a.317154781638645/5597116770309060/" TargetMode="External"/><Relationship Id="rId2875" Type="http://schemas.openxmlformats.org/officeDocument/2006/relationships/hyperlink" Target="https://www.facebook.com/amie.maroma.9" TargetMode="External"/><Relationship Id="rId1545" Type="http://schemas.openxmlformats.org/officeDocument/2006/relationships/hyperlink" Target="https://www.facebook.com/mcdolawcarla" TargetMode="External"/><Relationship Id="rId2876" Type="http://schemas.openxmlformats.org/officeDocument/2006/relationships/hyperlink" Target="https://www.facebook.com/watch/?v=570590637273208" TargetMode="External"/><Relationship Id="rId1546" Type="http://schemas.openxmlformats.org/officeDocument/2006/relationships/hyperlink" Target="https://www.facebook.com/rapplerdotcom/photos/a.317154781638645/5597116770309060/" TargetMode="External"/><Relationship Id="rId2877" Type="http://schemas.openxmlformats.org/officeDocument/2006/relationships/hyperlink" Target="https://www.facebook.com/lucy.reeves.792" TargetMode="External"/><Relationship Id="rId1547" Type="http://schemas.openxmlformats.org/officeDocument/2006/relationships/hyperlink" Target="https://www.facebook.com/jeanpaul.jazmin" TargetMode="External"/><Relationship Id="rId2878" Type="http://schemas.openxmlformats.org/officeDocument/2006/relationships/hyperlink" Target="https://www.facebook.com/watch/?v=570590637273208" TargetMode="External"/><Relationship Id="rId1548" Type="http://schemas.openxmlformats.org/officeDocument/2006/relationships/hyperlink" Target="https://www.facebook.com/rapplerdotcom/photos/a.317154781638645/5597116770309060/" TargetMode="External"/><Relationship Id="rId2879" Type="http://schemas.openxmlformats.org/officeDocument/2006/relationships/hyperlink" Target="https://www.facebook.com/cortesobet.shooter" TargetMode="External"/><Relationship Id="rId1549" Type="http://schemas.openxmlformats.org/officeDocument/2006/relationships/hyperlink" Target="https://www.facebook.com/jf.ortega.9" TargetMode="External"/><Relationship Id="rId959" Type="http://schemas.openxmlformats.org/officeDocument/2006/relationships/hyperlink" Target="https://www.facebook.com/christian.vicente.104" TargetMode="External"/><Relationship Id="rId954" Type="http://schemas.openxmlformats.org/officeDocument/2006/relationships/hyperlink" Target="https://www.facebook.com/rapplerdotcom/photos/a.317154781638645/5597592673594803/" TargetMode="External"/><Relationship Id="rId953" Type="http://schemas.openxmlformats.org/officeDocument/2006/relationships/hyperlink" Target="https://www.facebook.com/joseangelo.ong" TargetMode="External"/><Relationship Id="rId952" Type="http://schemas.openxmlformats.org/officeDocument/2006/relationships/hyperlink" Target="https://www.facebook.com/rapplerdotcom/photos/a.317154781638645/5597592673594803/" TargetMode="External"/><Relationship Id="rId951" Type="http://schemas.openxmlformats.org/officeDocument/2006/relationships/hyperlink" Target="https://www.facebook.com/joe.biro.1840" TargetMode="External"/><Relationship Id="rId958" Type="http://schemas.openxmlformats.org/officeDocument/2006/relationships/hyperlink" Target="https://www.facebook.com/rapplerdotcom/photos/a.317154781638645/5597592673594803/" TargetMode="External"/><Relationship Id="rId957" Type="http://schemas.openxmlformats.org/officeDocument/2006/relationships/hyperlink" Target="https://www.facebook.com/shirben.bensurto" TargetMode="External"/><Relationship Id="rId956" Type="http://schemas.openxmlformats.org/officeDocument/2006/relationships/hyperlink" Target="https://www.facebook.com/rapplerdotcom/photos/a.317154781638645/5597592673594803/" TargetMode="External"/><Relationship Id="rId955" Type="http://schemas.openxmlformats.org/officeDocument/2006/relationships/hyperlink" Target="https://www.facebook.com/rubysegurado.daculan" TargetMode="External"/><Relationship Id="rId950" Type="http://schemas.openxmlformats.org/officeDocument/2006/relationships/hyperlink" Target="https://www.facebook.com/rapplerdotcom/photos/a.317154781638645/5597592673594803/" TargetMode="External"/><Relationship Id="rId2870" Type="http://schemas.openxmlformats.org/officeDocument/2006/relationships/hyperlink" Target="https://www.facebook.com/watch/?v=570590637273208" TargetMode="External"/><Relationship Id="rId1540" Type="http://schemas.openxmlformats.org/officeDocument/2006/relationships/hyperlink" Target="https://www.facebook.com/rapplerdotcom/photos/a.317154781638645/5597116770309060/" TargetMode="External"/><Relationship Id="rId2871" Type="http://schemas.openxmlformats.org/officeDocument/2006/relationships/hyperlink" Target="https://www.facebook.com/maryrosetimbol.bual" TargetMode="External"/><Relationship Id="rId1541" Type="http://schemas.openxmlformats.org/officeDocument/2006/relationships/hyperlink" Target="https://www.facebook.com/profile.php?id=100076601927157" TargetMode="External"/><Relationship Id="rId2872" Type="http://schemas.openxmlformats.org/officeDocument/2006/relationships/hyperlink" Target="https://www.facebook.com/watch/?v=570590637273208" TargetMode="External"/><Relationship Id="rId1542" Type="http://schemas.openxmlformats.org/officeDocument/2006/relationships/hyperlink" Target="https://www.facebook.com/rapplerdotcom/photos/a.317154781638645/5597116770309060/" TargetMode="External"/><Relationship Id="rId2873" Type="http://schemas.openxmlformats.org/officeDocument/2006/relationships/hyperlink" Target="https://www.facebook.com/maryrosetimbol.bual" TargetMode="External"/><Relationship Id="rId5130" Type="http://schemas.openxmlformats.org/officeDocument/2006/relationships/hyperlink" Target="https://www.facebook.com/nora.montejo.925" TargetMode="External"/><Relationship Id="rId5131" Type="http://schemas.openxmlformats.org/officeDocument/2006/relationships/hyperlink" Target="https://www.facebook.com/rapplerdotcom/photos/a.317154781638645/5594264657260938/" TargetMode="External"/><Relationship Id="rId5134" Type="http://schemas.openxmlformats.org/officeDocument/2006/relationships/hyperlink" Target="https://www.facebook.com/profile.php?id=100018491727313" TargetMode="External"/><Relationship Id="rId5135" Type="http://schemas.openxmlformats.org/officeDocument/2006/relationships/hyperlink" Target="https://www.facebook.com/rapplerdotcom/photos/a.317154781638645/5594264657260938/" TargetMode="External"/><Relationship Id="rId5132" Type="http://schemas.openxmlformats.org/officeDocument/2006/relationships/hyperlink" Target="https://www.facebook.com/profile.php?id=100069339588430" TargetMode="External"/><Relationship Id="rId5133" Type="http://schemas.openxmlformats.org/officeDocument/2006/relationships/hyperlink" Target="https://www.facebook.com/rapplerdotcom/photos/a.317154781638645/5594264657260938/" TargetMode="External"/><Relationship Id="rId5138" Type="http://schemas.openxmlformats.org/officeDocument/2006/relationships/hyperlink" Target="https://www.facebook.com/JeffOliGarTV" TargetMode="External"/><Relationship Id="rId5139" Type="http://schemas.openxmlformats.org/officeDocument/2006/relationships/hyperlink" Target="https://www.facebook.com/rapplerdotcom/photos/a.317154781638645/5594264657260938/" TargetMode="External"/><Relationship Id="rId5136" Type="http://schemas.openxmlformats.org/officeDocument/2006/relationships/hyperlink" Target="https://www.facebook.com/cydrex.bernabe.7" TargetMode="External"/><Relationship Id="rId5137" Type="http://schemas.openxmlformats.org/officeDocument/2006/relationships/hyperlink" Target="https://www.facebook.com/rapplerdotcom/photos/a.317154781638645/5594264657260938/" TargetMode="External"/><Relationship Id="rId5129" Type="http://schemas.openxmlformats.org/officeDocument/2006/relationships/hyperlink" Target="https://www.facebook.com/rapplerdotcom/photos/a.317154781638645/5594264657260938/" TargetMode="External"/><Relationship Id="rId5120" Type="http://schemas.openxmlformats.org/officeDocument/2006/relationships/hyperlink" Target="https://www.facebook.com/nivek.leiro2" TargetMode="External"/><Relationship Id="rId5123" Type="http://schemas.openxmlformats.org/officeDocument/2006/relationships/hyperlink" Target="https://www.facebook.com/rapplerdotcom/photos/a.317154781638645/5594264657260938/" TargetMode="External"/><Relationship Id="rId5124" Type="http://schemas.openxmlformats.org/officeDocument/2006/relationships/hyperlink" Target="https://www.facebook.com/gemrose.rescobactol" TargetMode="External"/><Relationship Id="rId5121" Type="http://schemas.openxmlformats.org/officeDocument/2006/relationships/hyperlink" Target="https://www.facebook.com/rapplerdotcom/photos/a.317154781638645/5594264657260938/" TargetMode="External"/><Relationship Id="rId5122" Type="http://schemas.openxmlformats.org/officeDocument/2006/relationships/hyperlink" Target="https://www.facebook.com/anjadonis11" TargetMode="External"/><Relationship Id="rId5127" Type="http://schemas.openxmlformats.org/officeDocument/2006/relationships/hyperlink" Target="https://www.facebook.com/rapplerdotcom/photos/a.317154781638645/5594264657260938/" TargetMode="External"/><Relationship Id="rId5128" Type="http://schemas.openxmlformats.org/officeDocument/2006/relationships/hyperlink" Target="https://www.facebook.com/zion.poliquit.54" TargetMode="External"/><Relationship Id="rId5125" Type="http://schemas.openxmlformats.org/officeDocument/2006/relationships/hyperlink" Target="https://www.facebook.com/rapplerdotcom/photos/a.317154781638645/5594264657260938/" TargetMode="External"/><Relationship Id="rId5126" Type="http://schemas.openxmlformats.org/officeDocument/2006/relationships/hyperlink" Target="https://www.facebook.com/ching8ramon" TargetMode="External"/><Relationship Id="rId5152" Type="http://schemas.openxmlformats.org/officeDocument/2006/relationships/hyperlink" Target="https://www.facebook.com/nilo.asas" TargetMode="External"/><Relationship Id="rId5153" Type="http://schemas.openxmlformats.org/officeDocument/2006/relationships/hyperlink" Target="https://www.facebook.com/rapplerdotcom/photos/a.317154781638645/5594264657260938/" TargetMode="External"/><Relationship Id="rId5150" Type="http://schemas.openxmlformats.org/officeDocument/2006/relationships/hyperlink" Target="https://www.facebook.com/initials.jt" TargetMode="External"/><Relationship Id="rId5151" Type="http://schemas.openxmlformats.org/officeDocument/2006/relationships/hyperlink" Target="https://www.facebook.com/rapplerdotcom/photos/a.317154781638645/5594264657260938/" TargetMode="External"/><Relationship Id="rId5156" Type="http://schemas.openxmlformats.org/officeDocument/2006/relationships/hyperlink" Target="https://www.facebook.com/eugine.flores.5" TargetMode="External"/><Relationship Id="rId5157" Type="http://schemas.openxmlformats.org/officeDocument/2006/relationships/hyperlink" Target="https://www.facebook.com/rapplerdotcom/photos/a.317154781638645/5594264657260938/" TargetMode="External"/><Relationship Id="rId5154" Type="http://schemas.openxmlformats.org/officeDocument/2006/relationships/hyperlink" Target="https://www.facebook.com/zion.poliquit.54" TargetMode="External"/><Relationship Id="rId5155" Type="http://schemas.openxmlformats.org/officeDocument/2006/relationships/hyperlink" Target="https://www.facebook.com/rapplerdotcom/photos/a.317154781638645/5594264657260938/" TargetMode="External"/><Relationship Id="rId5158" Type="http://schemas.openxmlformats.org/officeDocument/2006/relationships/hyperlink" Target="https://www.facebook.com/jehe.kokos" TargetMode="External"/><Relationship Id="rId5159" Type="http://schemas.openxmlformats.org/officeDocument/2006/relationships/hyperlink" Target="https://www.facebook.com/rapplerdotcom/photos/a.317154781638645/5594264657260938/" TargetMode="External"/><Relationship Id="rId5141" Type="http://schemas.openxmlformats.org/officeDocument/2006/relationships/hyperlink" Target="https://www.facebook.com/rapplerdotcom/photos/a.317154781638645/5594264657260938/" TargetMode="External"/><Relationship Id="rId5142" Type="http://schemas.openxmlformats.org/officeDocument/2006/relationships/hyperlink" Target="https://www.facebook.com/irma.gerardo" TargetMode="External"/><Relationship Id="rId5140" Type="http://schemas.openxmlformats.org/officeDocument/2006/relationships/hyperlink" Target="https://www.facebook.com/sid.nazal.7" TargetMode="External"/><Relationship Id="rId5145" Type="http://schemas.openxmlformats.org/officeDocument/2006/relationships/hyperlink" Target="https://www.facebook.com/rapplerdotcom/photos/a.317154781638645/5594264657260938/" TargetMode="External"/><Relationship Id="rId5146" Type="http://schemas.openxmlformats.org/officeDocument/2006/relationships/hyperlink" Target="https://www.facebook.com/ren.wah.1" TargetMode="External"/><Relationship Id="rId5143" Type="http://schemas.openxmlformats.org/officeDocument/2006/relationships/hyperlink" Target="https://www.facebook.com/rapplerdotcom/photos/a.317154781638645/5594264657260938/" TargetMode="External"/><Relationship Id="rId5144" Type="http://schemas.openxmlformats.org/officeDocument/2006/relationships/hyperlink" Target="https://www.facebook.com/angela.delosreyes.543" TargetMode="External"/><Relationship Id="rId5149" Type="http://schemas.openxmlformats.org/officeDocument/2006/relationships/hyperlink" Target="https://www.facebook.com/rapplerdotcom/photos/a.317154781638645/5594264657260938/" TargetMode="External"/><Relationship Id="rId5147" Type="http://schemas.openxmlformats.org/officeDocument/2006/relationships/hyperlink" Target="https://www.facebook.com/rapplerdotcom/photos/a.317154781638645/5594264657260938/" TargetMode="External"/><Relationship Id="rId5148" Type="http://schemas.openxmlformats.org/officeDocument/2006/relationships/hyperlink" Target="https://www.facebook.com/jacqueline.reynado" TargetMode="External"/><Relationship Id="rId5118" Type="http://schemas.openxmlformats.org/officeDocument/2006/relationships/hyperlink" Target="https://www.facebook.com/armi.prieto" TargetMode="External"/><Relationship Id="rId5119" Type="http://schemas.openxmlformats.org/officeDocument/2006/relationships/hyperlink" Target="https://www.facebook.com/rapplerdotcom/photos/a.317154781638645/5594264657260938/" TargetMode="External"/><Relationship Id="rId5112" Type="http://schemas.openxmlformats.org/officeDocument/2006/relationships/hyperlink" Target="https://www.facebook.com/gahimaeeeeee" TargetMode="External"/><Relationship Id="rId5113" Type="http://schemas.openxmlformats.org/officeDocument/2006/relationships/hyperlink" Target="https://www.facebook.com/rapplerdotcom/photos/a.317154781638645/5594264657260938/" TargetMode="External"/><Relationship Id="rId5110" Type="http://schemas.openxmlformats.org/officeDocument/2006/relationships/hyperlink" Target="https://www.facebook.com/zion.poliquit.54" TargetMode="External"/><Relationship Id="rId5111" Type="http://schemas.openxmlformats.org/officeDocument/2006/relationships/hyperlink" Target="https://www.facebook.com/rapplerdotcom/photos/a.317154781638645/5594264657260938/" TargetMode="External"/><Relationship Id="rId5116" Type="http://schemas.openxmlformats.org/officeDocument/2006/relationships/hyperlink" Target="https://www.facebook.com/cydrex.bernabe.7" TargetMode="External"/><Relationship Id="rId5117" Type="http://schemas.openxmlformats.org/officeDocument/2006/relationships/hyperlink" Target="https://www.facebook.com/rapplerdotcom/photos/a.317154781638645/5594264657260938/" TargetMode="External"/><Relationship Id="rId5114" Type="http://schemas.openxmlformats.org/officeDocument/2006/relationships/hyperlink" Target="https://www.facebook.com/alvin.loyola.754" TargetMode="External"/><Relationship Id="rId5115" Type="http://schemas.openxmlformats.org/officeDocument/2006/relationships/hyperlink" Target="https://www.facebook.com/rapplerdotcom/photos/a.317154781638645/5594264657260938/" TargetMode="External"/><Relationship Id="rId5109" Type="http://schemas.openxmlformats.org/officeDocument/2006/relationships/hyperlink" Target="https://www.facebook.com/rapplerdotcom/photos/a.317154781638645/5594264657260938/" TargetMode="External"/><Relationship Id="rId5107" Type="http://schemas.openxmlformats.org/officeDocument/2006/relationships/hyperlink" Target="https://www.facebook.com/rapplerdotcom/photos/a.317154781638645/5594264657260938/" TargetMode="External"/><Relationship Id="rId5108" Type="http://schemas.openxmlformats.org/officeDocument/2006/relationships/hyperlink" Target="https://www.facebook.com/zion.poliquit.54" TargetMode="External"/><Relationship Id="rId5101" Type="http://schemas.openxmlformats.org/officeDocument/2006/relationships/hyperlink" Target="https://www.facebook.com/rapplerdotcom/photos/a.317154781638645/5594264657260938/" TargetMode="External"/><Relationship Id="rId5102" Type="http://schemas.openxmlformats.org/officeDocument/2006/relationships/hyperlink" Target="https://www.facebook.com/gahimaeeeeee" TargetMode="External"/><Relationship Id="rId5100" Type="http://schemas.openxmlformats.org/officeDocument/2006/relationships/hyperlink" Target="https://www.facebook.com/zion.poliquit.54" TargetMode="External"/><Relationship Id="rId5105" Type="http://schemas.openxmlformats.org/officeDocument/2006/relationships/hyperlink" Target="https://www.facebook.com/rapplerdotcom/photos/a.317154781638645/5594264657260938/" TargetMode="External"/><Relationship Id="rId5106" Type="http://schemas.openxmlformats.org/officeDocument/2006/relationships/hyperlink" Target="https://www.facebook.com/zion.poliquit.54" TargetMode="External"/><Relationship Id="rId5103" Type="http://schemas.openxmlformats.org/officeDocument/2006/relationships/hyperlink" Target="https://www.facebook.com/rapplerdotcom/photos/a.317154781638645/5594264657260938/" TargetMode="External"/><Relationship Id="rId5104" Type="http://schemas.openxmlformats.org/officeDocument/2006/relationships/hyperlink" Target="https://www.facebook.com/shiela.hechanovasotero" TargetMode="External"/><Relationship Id="rId2940" Type="http://schemas.openxmlformats.org/officeDocument/2006/relationships/hyperlink" Target="https://www.facebook.com/watch/live/?ref=watch_permalink&amp;v=360307549312104" TargetMode="External"/><Relationship Id="rId1610" Type="http://schemas.openxmlformats.org/officeDocument/2006/relationships/hyperlink" Target="https://www.facebook.com/rapplerdotcom/posts/pfbid02AsSA4LQqjQ2Y8SVathQmtduoE3fhoGvQSNhvrzsMerDaJSQJ6jDvApCCiuaE7XCol" TargetMode="External"/><Relationship Id="rId2941" Type="http://schemas.openxmlformats.org/officeDocument/2006/relationships/hyperlink" Target="https://www.facebook.com/mabeltamparong" TargetMode="External"/><Relationship Id="rId1611" Type="http://schemas.openxmlformats.org/officeDocument/2006/relationships/hyperlink" Target="https://www.facebook.com/cenizanestor" TargetMode="External"/><Relationship Id="rId2942" Type="http://schemas.openxmlformats.org/officeDocument/2006/relationships/hyperlink" Target="https://www.facebook.com/watch/live/?ref=watch_permalink&amp;v=360307549312104" TargetMode="External"/><Relationship Id="rId1612" Type="http://schemas.openxmlformats.org/officeDocument/2006/relationships/hyperlink" Target="https://www.facebook.com/rapplerdotcom/posts/pfbid02AsSA4LQqjQ2Y8SVathQmtduoE3fhoGvQSNhvrzsMerDaJSQJ6jDvApCCiuaE7XCol" TargetMode="External"/><Relationship Id="rId2943" Type="http://schemas.openxmlformats.org/officeDocument/2006/relationships/hyperlink" Target="https://www.facebook.com/edralin.munoz.7" TargetMode="External"/><Relationship Id="rId1613" Type="http://schemas.openxmlformats.org/officeDocument/2006/relationships/hyperlink" Target="https://www.facebook.com/nilo.asas" TargetMode="External"/><Relationship Id="rId2944" Type="http://schemas.openxmlformats.org/officeDocument/2006/relationships/hyperlink" Target="https://www.facebook.com/watch/live/?ref=watch_permalink&amp;v=360307549312104" TargetMode="External"/><Relationship Id="rId1614" Type="http://schemas.openxmlformats.org/officeDocument/2006/relationships/hyperlink" Target="https://www.facebook.com/rapplerdotcom/posts/pfbid02AsSA4LQqjQ2Y8SVathQmtduoE3fhoGvQSNhvrzsMerDaJSQJ6jDvApCCiuaE7XCol" TargetMode="External"/><Relationship Id="rId2945" Type="http://schemas.openxmlformats.org/officeDocument/2006/relationships/hyperlink" Target="https://www.facebook.com/arki.ikra" TargetMode="External"/><Relationship Id="rId1615" Type="http://schemas.openxmlformats.org/officeDocument/2006/relationships/hyperlink" Target="https://www.facebook.com/profile.php?id=100008332086519" TargetMode="External"/><Relationship Id="rId2946" Type="http://schemas.openxmlformats.org/officeDocument/2006/relationships/hyperlink" Target="https://www.facebook.com/watch/live/?ref=watch_permalink&amp;v=360307549312104" TargetMode="External"/><Relationship Id="rId1616" Type="http://schemas.openxmlformats.org/officeDocument/2006/relationships/hyperlink" Target="https://www.facebook.com/rapplerdotcom/posts/pfbid02AsSA4LQqjQ2Y8SVathQmtduoE3fhoGvQSNhvrzsMerDaJSQJ6jDvApCCiuaE7XCol" TargetMode="External"/><Relationship Id="rId2947" Type="http://schemas.openxmlformats.org/officeDocument/2006/relationships/hyperlink" Target="https://www.facebook.com/road.mccane" TargetMode="External"/><Relationship Id="rId907" Type="http://schemas.openxmlformats.org/officeDocument/2006/relationships/hyperlink" Target="https://www.facebook.com/jeth17" TargetMode="External"/><Relationship Id="rId1617" Type="http://schemas.openxmlformats.org/officeDocument/2006/relationships/hyperlink" Target="https://www.facebook.com/profile.php?id=100077412090788" TargetMode="External"/><Relationship Id="rId2948" Type="http://schemas.openxmlformats.org/officeDocument/2006/relationships/hyperlink" Target="https://www.facebook.com/watch/live/?ref=watch_permalink&amp;v=360307549312104" TargetMode="External"/><Relationship Id="rId906" Type="http://schemas.openxmlformats.org/officeDocument/2006/relationships/hyperlink" Target="https://www.facebook.com/rapplerdotcom/photos/a.317154781638645/5597592673594803/" TargetMode="External"/><Relationship Id="rId1618" Type="http://schemas.openxmlformats.org/officeDocument/2006/relationships/hyperlink" Target="https://www.facebook.com/rapplerdotcom/posts/pfbid02AsSA4LQqjQ2Y8SVathQmtduoE3fhoGvQSNhvrzsMerDaJSQJ6jDvApCCiuaE7XCol" TargetMode="External"/><Relationship Id="rId2949" Type="http://schemas.openxmlformats.org/officeDocument/2006/relationships/hyperlink" Target="https://www.facebook.com/sham.city" TargetMode="External"/><Relationship Id="rId905" Type="http://schemas.openxmlformats.org/officeDocument/2006/relationships/hyperlink" Target="https://www.facebook.com/jeanette6881" TargetMode="External"/><Relationship Id="rId1619" Type="http://schemas.openxmlformats.org/officeDocument/2006/relationships/hyperlink" Target="https://www.facebook.com/helen.y.dizon" TargetMode="External"/><Relationship Id="rId904" Type="http://schemas.openxmlformats.org/officeDocument/2006/relationships/hyperlink" Target="https://www.facebook.com/rapplerdotcom/photos/a.317154781638645/5597592673594803/" TargetMode="External"/><Relationship Id="rId909" Type="http://schemas.openxmlformats.org/officeDocument/2006/relationships/hyperlink" Target="https://www.facebook.com/profile.php?id=100078911753810" TargetMode="External"/><Relationship Id="rId908" Type="http://schemas.openxmlformats.org/officeDocument/2006/relationships/hyperlink" Target="https://www.facebook.com/rapplerdotcom/photos/a.317154781638645/5597592673594803/" TargetMode="External"/><Relationship Id="rId903" Type="http://schemas.openxmlformats.org/officeDocument/2006/relationships/hyperlink" Target="https://www.facebook.com/profile.php?id=100076074789897" TargetMode="External"/><Relationship Id="rId902" Type="http://schemas.openxmlformats.org/officeDocument/2006/relationships/hyperlink" Target="https://www.facebook.com/rapplerdotcom/photos/a.317154781638645/5597592673594803/" TargetMode="External"/><Relationship Id="rId901" Type="http://schemas.openxmlformats.org/officeDocument/2006/relationships/hyperlink" Target="https://www.facebook.com/Jackbullmastiff" TargetMode="External"/><Relationship Id="rId900" Type="http://schemas.openxmlformats.org/officeDocument/2006/relationships/hyperlink" Target="https://www.facebook.com/rapplerdotcom/photos/a.317154781638645/5597592673594803/" TargetMode="External"/><Relationship Id="rId2930" Type="http://schemas.openxmlformats.org/officeDocument/2006/relationships/hyperlink" Target="https://www.facebook.com/watch/live/?ref=watch_permalink&amp;v=360307549312104" TargetMode="External"/><Relationship Id="rId1600" Type="http://schemas.openxmlformats.org/officeDocument/2006/relationships/hyperlink" Target="https://www.facebook.com/rapplerdotcom/posts/pfbid02AsSA4LQqjQ2Y8SVathQmtduoE3fhoGvQSNhvrzsMerDaJSQJ6jDvApCCiuaE7XCol" TargetMode="External"/><Relationship Id="rId2931" Type="http://schemas.openxmlformats.org/officeDocument/2006/relationships/hyperlink" Target="https://www.facebook.com/mariabella.fernandez.9" TargetMode="External"/><Relationship Id="rId1601" Type="http://schemas.openxmlformats.org/officeDocument/2006/relationships/hyperlink" Target="https://www.facebook.com/edward.deloso" TargetMode="External"/><Relationship Id="rId2932" Type="http://schemas.openxmlformats.org/officeDocument/2006/relationships/hyperlink" Target="https://www.facebook.com/watch/live/?ref=watch_permalink&amp;v=360307549312104" TargetMode="External"/><Relationship Id="rId1602" Type="http://schemas.openxmlformats.org/officeDocument/2006/relationships/hyperlink" Target="https://www.facebook.com/rapplerdotcom/posts/pfbid02AsSA4LQqjQ2Y8SVathQmtduoE3fhoGvQSNhvrzsMerDaJSQJ6jDvApCCiuaE7XCol" TargetMode="External"/><Relationship Id="rId2933" Type="http://schemas.openxmlformats.org/officeDocument/2006/relationships/hyperlink" Target="https://www.facebook.com/gem.hernan" TargetMode="External"/><Relationship Id="rId1603" Type="http://schemas.openxmlformats.org/officeDocument/2006/relationships/hyperlink" Target="https://www.facebook.com/aroemeyen" TargetMode="External"/><Relationship Id="rId2934" Type="http://schemas.openxmlformats.org/officeDocument/2006/relationships/hyperlink" Target="https://www.facebook.com/watch/live/?ref=watch_permalink&amp;v=360307549312104" TargetMode="External"/><Relationship Id="rId1604" Type="http://schemas.openxmlformats.org/officeDocument/2006/relationships/hyperlink" Target="https://www.facebook.com/rapplerdotcom/posts/pfbid02AsSA4LQqjQ2Y8SVathQmtduoE3fhoGvQSNhvrzsMerDaJSQJ6jDvApCCiuaE7XCol" TargetMode="External"/><Relationship Id="rId2935" Type="http://schemas.openxmlformats.org/officeDocument/2006/relationships/hyperlink" Target="https://www.facebook.com/gil.cerin" TargetMode="External"/><Relationship Id="rId1605" Type="http://schemas.openxmlformats.org/officeDocument/2006/relationships/hyperlink" Target="https://www.facebook.com/QuenitoKing" TargetMode="External"/><Relationship Id="rId2936" Type="http://schemas.openxmlformats.org/officeDocument/2006/relationships/hyperlink" Target="https://www.facebook.com/watch/live/?ref=watch_permalink&amp;v=360307549312104" TargetMode="External"/><Relationship Id="rId1606" Type="http://schemas.openxmlformats.org/officeDocument/2006/relationships/hyperlink" Target="https://www.facebook.com/rapplerdotcom/posts/pfbid02AsSA4LQqjQ2Y8SVathQmtduoE3fhoGvQSNhvrzsMerDaJSQJ6jDvApCCiuaE7XCol" TargetMode="External"/><Relationship Id="rId2937" Type="http://schemas.openxmlformats.org/officeDocument/2006/relationships/hyperlink" Target="https://www.facebook.com/ashley.siodena" TargetMode="External"/><Relationship Id="rId1607" Type="http://schemas.openxmlformats.org/officeDocument/2006/relationships/hyperlink" Target="https://www.facebook.com/ngorab.ngidnam" TargetMode="External"/><Relationship Id="rId2938" Type="http://schemas.openxmlformats.org/officeDocument/2006/relationships/hyperlink" Target="https://www.facebook.com/watch/live/?ref=watch_permalink&amp;v=360307549312104" TargetMode="External"/><Relationship Id="rId1608" Type="http://schemas.openxmlformats.org/officeDocument/2006/relationships/hyperlink" Target="https://www.facebook.com/rapplerdotcom/posts/pfbid02AsSA4LQqjQ2Y8SVathQmtduoE3fhoGvQSNhvrzsMerDaJSQJ6jDvApCCiuaE7XCol" TargetMode="External"/><Relationship Id="rId2939" Type="http://schemas.openxmlformats.org/officeDocument/2006/relationships/hyperlink" Target="https://www.facebook.com/0331Dva" TargetMode="External"/><Relationship Id="rId1609" Type="http://schemas.openxmlformats.org/officeDocument/2006/relationships/hyperlink" Target="https://www.facebook.com/profile.php?id=100001866881530" TargetMode="External"/><Relationship Id="rId1631" Type="http://schemas.openxmlformats.org/officeDocument/2006/relationships/hyperlink" Target="https://www.facebook.com/rapkarl04" TargetMode="External"/><Relationship Id="rId2962" Type="http://schemas.openxmlformats.org/officeDocument/2006/relationships/hyperlink" Target="https://www.facebook.com/watch/live/?ref=watch_permalink&amp;v=360307549312104" TargetMode="External"/><Relationship Id="rId1632" Type="http://schemas.openxmlformats.org/officeDocument/2006/relationships/hyperlink" Target="https://www.facebook.com/rapplerdotcom/posts/pfbid02AsSA4LQqjQ2Y8SVathQmtduoE3fhoGvQSNhvrzsMerDaJSQJ6jDvApCCiuaE7XCol" TargetMode="External"/><Relationship Id="rId2963" Type="http://schemas.openxmlformats.org/officeDocument/2006/relationships/hyperlink" Target="https://www.facebook.com/aerol.plamenio" TargetMode="External"/><Relationship Id="rId1633" Type="http://schemas.openxmlformats.org/officeDocument/2006/relationships/hyperlink" Target="https://www.facebook.com/rodel.franco.925" TargetMode="External"/><Relationship Id="rId2964" Type="http://schemas.openxmlformats.org/officeDocument/2006/relationships/hyperlink" Target="https://www.facebook.com/watch/live/?ref=watch_permalink&amp;v=360307549312104" TargetMode="External"/><Relationship Id="rId1634" Type="http://schemas.openxmlformats.org/officeDocument/2006/relationships/hyperlink" Target="https://www.facebook.com/rapplerdotcom/posts/pfbid02AsSA4LQqjQ2Y8SVathQmtduoE3fhoGvQSNhvrzsMerDaJSQJ6jDvApCCiuaE7XCol" TargetMode="External"/><Relationship Id="rId2965" Type="http://schemas.openxmlformats.org/officeDocument/2006/relationships/hyperlink" Target="https://www.facebook.com/profile.php?id=100004812961576" TargetMode="External"/><Relationship Id="rId1635" Type="http://schemas.openxmlformats.org/officeDocument/2006/relationships/hyperlink" Target="https://www.facebook.com/profile.php?id=100002846509290" TargetMode="External"/><Relationship Id="rId2966" Type="http://schemas.openxmlformats.org/officeDocument/2006/relationships/hyperlink" Target="https://www.facebook.com/watch/live/?ref=watch_permalink&amp;v=360307549312104" TargetMode="External"/><Relationship Id="rId1636" Type="http://schemas.openxmlformats.org/officeDocument/2006/relationships/hyperlink" Target="https://www.facebook.com/rapplerdotcom/posts/pfbid02AsSA4LQqjQ2Y8SVathQmtduoE3fhoGvQSNhvrzsMerDaJSQJ6jDvApCCiuaE7XCol" TargetMode="External"/><Relationship Id="rId2967" Type="http://schemas.openxmlformats.org/officeDocument/2006/relationships/hyperlink" Target="https://www.facebook.com/cora.ropeta" TargetMode="External"/><Relationship Id="rId1637" Type="http://schemas.openxmlformats.org/officeDocument/2006/relationships/hyperlink" Target="https://www.facebook.com/0menP0" TargetMode="External"/><Relationship Id="rId2968" Type="http://schemas.openxmlformats.org/officeDocument/2006/relationships/hyperlink" Target="https://www.facebook.com/watch/live/?ref=watch_permalink&amp;v=360307549312104" TargetMode="External"/><Relationship Id="rId1638" Type="http://schemas.openxmlformats.org/officeDocument/2006/relationships/hyperlink" Target="https://www.facebook.com/rapplerdotcom/posts/pfbid02AsSA4LQqjQ2Y8SVathQmtduoE3fhoGvQSNhvrzsMerDaJSQJ6jDvApCCiuaE7XCol" TargetMode="External"/><Relationship Id="rId2969" Type="http://schemas.openxmlformats.org/officeDocument/2006/relationships/hyperlink" Target="https://www.facebook.com/adelfa.abuda" TargetMode="External"/><Relationship Id="rId929" Type="http://schemas.openxmlformats.org/officeDocument/2006/relationships/hyperlink" Target="https://www.facebook.com/khali.gab" TargetMode="External"/><Relationship Id="rId1639" Type="http://schemas.openxmlformats.org/officeDocument/2006/relationships/hyperlink" Target="https://www.facebook.com/jun.dizon.129" TargetMode="External"/><Relationship Id="rId928" Type="http://schemas.openxmlformats.org/officeDocument/2006/relationships/hyperlink" Target="https://www.facebook.com/rapplerdotcom/photos/a.317154781638645/5597592673594803/" TargetMode="External"/><Relationship Id="rId927" Type="http://schemas.openxmlformats.org/officeDocument/2006/relationships/hyperlink" Target="https://www.facebook.com/emeterio.sarvilla" TargetMode="External"/><Relationship Id="rId926" Type="http://schemas.openxmlformats.org/officeDocument/2006/relationships/hyperlink" Target="https://www.facebook.com/rapplerdotcom/photos/a.317154781638645/5597592673594803/" TargetMode="External"/><Relationship Id="rId921" Type="http://schemas.openxmlformats.org/officeDocument/2006/relationships/hyperlink" Target="https://www.facebook.com/geobert.osma" TargetMode="External"/><Relationship Id="rId920" Type="http://schemas.openxmlformats.org/officeDocument/2006/relationships/hyperlink" Target="https://www.facebook.com/rapplerdotcom/photos/a.317154781638645/5597592673594803/" TargetMode="External"/><Relationship Id="rId925" Type="http://schemas.openxmlformats.org/officeDocument/2006/relationships/hyperlink" Target="https://www.facebook.com/jonathan.sajo" TargetMode="External"/><Relationship Id="rId924" Type="http://schemas.openxmlformats.org/officeDocument/2006/relationships/hyperlink" Target="https://www.facebook.com/rapplerdotcom/photos/a.317154781638645/5597592673594803/" TargetMode="External"/><Relationship Id="rId923" Type="http://schemas.openxmlformats.org/officeDocument/2006/relationships/hyperlink" Target="https://www.facebook.com/ven.el.9" TargetMode="External"/><Relationship Id="rId922" Type="http://schemas.openxmlformats.org/officeDocument/2006/relationships/hyperlink" Target="https://www.facebook.com/rapplerdotcom/photos/a.317154781638645/5597592673594803/" TargetMode="External"/><Relationship Id="rId2960" Type="http://schemas.openxmlformats.org/officeDocument/2006/relationships/hyperlink" Target="https://www.facebook.com/watch/live/?ref=watch_permalink&amp;v=360307549312104" TargetMode="External"/><Relationship Id="rId1630" Type="http://schemas.openxmlformats.org/officeDocument/2006/relationships/hyperlink" Target="https://www.facebook.com/rapplerdotcom/posts/pfbid02AsSA4LQqjQ2Y8SVathQmtduoE3fhoGvQSNhvrzsMerDaJSQJ6jDvApCCiuaE7XCol" TargetMode="External"/><Relationship Id="rId2961" Type="http://schemas.openxmlformats.org/officeDocument/2006/relationships/hyperlink" Target="https://www.facebook.com/phoungchanh.nguyen" TargetMode="External"/><Relationship Id="rId1620" Type="http://schemas.openxmlformats.org/officeDocument/2006/relationships/hyperlink" Target="https://www.facebook.com/rapplerdotcom/posts/pfbid02AsSA4LQqjQ2Y8SVathQmtduoE3fhoGvQSNhvrzsMerDaJSQJ6jDvApCCiuaE7XCol" TargetMode="External"/><Relationship Id="rId2951" Type="http://schemas.openxmlformats.org/officeDocument/2006/relationships/hyperlink" Target="https://www.facebook.com/kimashley.simbillo" TargetMode="External"/><Relationship Id="rId1621" Type="http://schemas.openxmlformats.org/officeDocument/2006/relationships/hyperlink" Target="https://www.facebook.com/rose.orain" TargetMode="External"/><Relationship Id="rId2952" Type="http://schemas.openxmlformats.org/officeDocument/2006/relationships/hyperlink" Target="https://www.facebook.com/watch/live/?ref=watch_permalink&amp;v=360307549312104" TargetMode="External"/><Relationship Id="rId1622" Type="http://schemas.openxmlformats.org/officeDocument/2006/relationships/hyperlink" Target="https://www.facebook.com/rapplerdotcom/posts/pfbid02AsSA4LQqjQ2Y8SVathQmtduoE3fhoGvQSNhvrzsMerDaJSQJ6jDvApCCiuaE7XCol" TargetMode="External"/><Relationship Id="rId2953" Type="http://schemas.openxmlformats.org/officeDocument/2006/relationships/hyperlink" Target="https://www.facebook.com/debrah.wasay" TargetMode="External"/><Relationship Id="rId1623" Type="http://schemas.openxmlformats.org/officeDocument/2006/relationships/hyperlink" Target="https://www.facebook.com/virgenia.estrada.1" TargetMode="External"/><Relationship Id="rId2954" Type="http://schemas.openxmlformats.org/officeDocument/2006/relationships/hyperlink" Target="https://www.facebook.com/watch/live/?ref=watch_permalink&amp;v=360307549312104" TargetMode="External"/><Relationship Id="rId1624" Type="http://schemas.openxmlformats.org/officeDocument/2006/relationships/hyperlink" Target="https://www.facebook.com/rapplerdotcom/posts/pfbid02AsSA4LQqjQ2Y8SVathQmtduoE3fhoGvQSNhvrzsMerDaJSQJ6jDvApCCiuaE7XCol" TargetMode="External"/><Relationship Id="rId2955" Type="http://schemas.openxmlformats.org/officeDocument/2006/relationships/hyperlink" Target="https://www.facebook.com/Stain0826" TargetMode="External"/><Relationship Id="rId1625" Type="http://schemas.openxmlformats.org/officeDocument/2006/relationships/hyperlink" Target="https://www.facebook.com/profile.php?id=100007389911616" TargetMode="External"/><Relationship Id="rId2956" Type="http://schemas.openxmlformats.org/officeDocument/2006/relationships/hyperlink" Target="https://www.facebook.com/watch/live/?ref=watch_permalink&amp;v=360307549312104" TargetMode="External"/><Relationship Id="rId1626" Type="http://schemas.openxmlformats.org/officeDocument/2006/relationships/hyperlink" Target="https://www.facebook.com/rapplerdotcom/posts/pfbid02AsSA4LQqjQ2Y8SVathQmtduoE3fhoGvQSNhvrzsMerDaJSQJ6jDvApCCiuaE7XCol" TargetMode="External"/><Relationship Id="rId2957" Type="http://schemas.openxmlformats.org/officeDocument/2006/relationships/hyperlink" Target="https://www.facebook.com/jeannalyn.f.concepcion" TargetMode="External"/><Relationship Id="rId1627" Type="http://schemas.openxmlformats.org/officeDocument/2006/relationships/hyperlink" Target="https://www.facebook.com/virgenia.estrada.1" TargetMode="External"/><Relationship Id="rId2958" Type="http://schemas.openxmlformats.org/officeDocument/2006/relationships/hyperlink" Target="https://www.facebook.com/watch/live/?ref=watch_permalink&amp;v=360307549312104" TargetMode="External"/><Relationship Id="rId918" Type="http://schemas.openxmlformats.org/officeDocument/2006/relationships/hyperlink" Target="https://www.facebook.com/rapplerdotcom/photos/a.317154781638645/5597592673594803/" TargetMode="External"/><Relationship Id="rId1628" Type="http://schemas.openxmlformats.org/officeDocument/2006/relationships/hyperlink" Target="https://www.facebook.com/rapplerdotcom/posts/pfbid02AsSA4LQqjQ2Y8SVathQmtduoE3fhoGvQSNhvrzsMerDaJSQJ6jDvApCCiuaE7XCol" TargetMode="External"/><Relationship Id="rId2959" Type="http://schemas.openxmlformats.org/officeDocument/2006/relationships/hyperlink" Target="https://www.facebook.com/metchroa" TargetMode="External"/><Relationship Id="rId917" Type="http://schemas.openxmlformats.org/officeDocument/2006/relationships/hyperlink" Target="https://www.facebook.com/jheilynn.paz" TargetMode="External"/><Relationship Id="rId1629" Type="http://schemas.openxmlformats.org/officeDocument/2006/relationships/hyperlink" Target="https://www.facebook.com/ramon.l.escueta" TargetMode="External"/><Relationship Id="rId916" Type="http://schemas.openxmlformats.org/officeDocument/2006/relationships/hyperlink" Target="https://www.facebook.com/rapplerdotcom/photos/a.317154781638645/5597592673594803/" TargetMode="External"/><Relationship Id="rId915" Type="http://schemas.openxmlformats.org/officeDocument/2006/relationships/hyperlink" Target="https://www.facebook.com/angelitoljaojr" TargetMode="External"/><Relationship Id="rId919" Type="http://schemas.openxmlformats.org/officeDocument/2006/relationships/hyperlink" Target="https://www.facebook.com/paul.a.estrada.5" TargetMode="External"/><Relationship Id="rId910" Type="http://schemas.openxmlformats.org/officeDocument/2006/relationships/hyperlink" Target="https://www.facebook.com/rapplerdotcom/photos/a.317154781638645/5597592673594803/" TargetMode="External"/><Relationship Id="rId914" Type="http://schemas.openxmlformats.org/officeDocument/2006/relationships/hyperlink" Target="https://www.facebook.com/rapplerdotcom/photos/a.317154781638645/5597592673594803/" TargetMode="External"/><Relationship Id="rId913" Type="http://schemas.openxmlformats.org/officeDocument/2006/relationships/hyperlink" Target="https://www.facebook.com/christian.vicente.104" TargetMode="External"/><Relationship Id="rId912" Type="http://schemas.openxmlformats.org/officeDocument/2006/relationships/hyperlink" Target="https://www.facebook.com/rapplerdotcom/photos/a.317154781638645/5597592673594803/" TargetMode="External"/><Relationship Id="rId911" Type="http://schemas.openxmlformats.org/officeDocument/2006/relationships/hyperlink" Target="https://www.facebook.com/jantenmoto" TargetMode="External"/><Relationship Id="rId2950" Type="http://schemas.openxmlformats.org/officeDocument/2006/relationships/hyperlink" Target="https://www.facebook.com/watch/live/?ref=watch_permalink&amp;v=360307549312104" TargetMode="External"/><Relationship Id="rId2900" Type="http://schemas.openxmlformats.org/officeDocument/2006/relationships/hyperlink" Target="https://www.facebook.com/watch/live/?ref=watch_permalink&amp;v=360307549312104" TargetMode="External"/><Relationship Id="rId2901" Type="http://schemas.openxmlformats.org/officeDocument/2006/relationships/hyperlink" Target="https://www.facebook.com/carizamae.mendoza" TargetMode="External"/><Relationship Id="rId2902" Type="http://schemas.openxmlformats.org/officeDocument/2006/relationships/hyperlink" Target="https://www.facebook.com/watch/live/?ref=watch_permalink&amp;v=360307549312104" TargetMode="External"/><Relationship Id="rId2903" Type="http://schemas.openxmlformats.org/officeDocument/2006/relationships/hyperlink" Target="https://www.facebook.com/profile.php?id=100078423849655" TargetMode="External"/><Relationship Id="rId2904" Type="http://schemas.openxmlformats.org/officeDocument/2006/relationships/hyperlink" Target="https://www.facebook.com/watch/live/?ref=watch_permalink&amp;v=360307549312104" TargetMode="External"/><Relationship Id="rId2905" Type="http://schemas.openxmlformats.org/officeDocument/2006/relationships/hyperlink" Target="https://www.facebook.com/bella.iriberribuniel" TargetMode="External"/><Relationship Id="rId2906" Type="http://schemas.openxmlformats.org/officeDocument/2006/relationships/hyperlink" Target="https://www.facebook.com/watch/live/?ref=watch_permalink&amp;v=360307549312104" TargetMode="External"/><Relationship Id="rId2907" Type="http://schemas.openxmlformats.org/officeDocument/2006/relationships/hyperlink" Target="https://www.facebook.com/roger.espiritu.5" TargetMode="External"/><Relationship Id="rId2908" Type="http://schemas.openxmlformats.org/officeDocument/2006/relationships/hyperlink" Target="https://www.facebook.com/watch/live/?ref=watch_permalink&amp;v=360307549312104" TargetMode="External"/><Relationship Id="rId2909" Type="http://schemas.openxmlformats.org/officeDocument/2006/relationships/hyperlink" Target="https://www.facebook.com/raulg.azcuna" TargetMode="External"/><Relationship Id="rId5170" Type="http://schemas.openxmlformats.org/officeDocument/2006/relationships/hyperlink" Target="https://www.facebook.com/profile.php?id=100051340422684" TargetMode="External"/><Relationship Id="rId5171" Type="http://schemas.openxmlformats.org/officeDocument/2006/relationships/hyperlink" Target="https://www.facebook.com/rapplerdotcom/photos/a.317154781638645/5594264657260938/" TargetMode="External"/><Relationship Id="rId5174" Type="http://schemas.openxmlformats.org/officeDocument/2006/relationships/hyperlink" Target="https://www.facebook.com/venass.mercado.1" TargetMode="External"/><Relationship Id="rId5175" Type="http://schemas.openxmlformats.org/officeDocument/2006/relationships/hyperlink" Target="https://www.facebook.com/rapplerdotcom/photos/a.317154781638645/5594264657260938/" TargetMode="External"/><Relationship Id="rId5172" Type="http://schemas.openxmlformats.org/officeDocument/2006/relationships/hyperlink" Target="https://www.facebook.com/LanieJuson" TargetMode="External"/><Relationship Id="rId5173" Type="http://schemas.openxmlformats.org/officeDocument/2006/relationships/hyperlink" Target="https://www.facebook.com/rapplerdotcom/photos/a.317154781638645/5594264657260938/" TargetMode="External"/><Relationship Id="rId5178" Type="http://schemas.openxmlformats.org/officeDocument/2006/relationships/hyperlink" Target="https://www.facebook.com/russel.hade" TargetMode="External"/><Relationship Id="rId5179" Type="http://schemas.openxmlformats.org/officeDocument/2006/relationships/hyperlink" Target="https://www.facebook.com/rapplerdotcom/photos/a.317154781638645/5594264657260938/" TargetMode="External"/><Relationship Id="rId5176" Type="http://schemas.openxmlformats.org/officeDocument/2006/relationships/hyperlink" Target="https://www.facebook.com/aj.dadivas.7" TargetMode="External"/><Relationship Id="rId5177" Type="http://schemas.openxmlformats.org/officeDocument/2006/relationships/hyperlink" Target="https://www.facebook.com/rapplerdotcom/photos/a.317154781638645/5594264657260938/" TargetMode="External"/><Relationship Id="rId5160" Type="http://schemas.openxmlformats.org/officeDocument/2006/relationships/hyperlink" Target="https://www.facebook.com/reniel.carandang.56" TargetMode="External"/><Relationship Id="rId5163" Type="http://schemas.openxmlformats.org/officeDocument/2006/relationships/hyperlink" Target="https://www.facebook.com/rapplerdotcom/photos/a.317154781638645/5594264657260938/" TargetMode="External"/><Relationship Id="rId5164" Type="http://schemas.openxmlformats.org/officeDocument/2006/relationships/hyperlink" Target="https://www.facebook.com/jefferson.parrocha.3" TargetMode="External"/><Relationship Id="rId5161" Type="http://schemas.openxmlformats.org/officeDocument/2006/relationships/hyperlink" Target="https://www.facebook.com/rapplerdotcom/photos/a.317154781638645/5594264657260938/" TargetMode="External"/><Relationship Id="rId5162" Type="http://schemas.openxmlformats.org/officeDocument/2006/relationships/hyperlink" Target="https://www.facebook.com/gemrose.rescobactol" TargetMode="External"/><Relationship Id="rId5167" Type="http://schemas.openxmlformats.org/officeDocument/2006/relationships/hyperlink" Target="https://www.facebook.com/rapplerdotcom/photos/a.317154781638645/5594264657260938/" TargetMode="External"/><Relationship Id="rId5168" Type="http://schemas.openxmlformats.org/officeDocument/2006/relationships/hyperlink" Target="https://www.facebook.com/RheamaePineda.15" TargetMode="External"/><Relationship Id="rId5165" Type="http://schemas.openxmlformats.org/officeDocument/2006/relationships/hyperlink" Target="https://www.facebook.com/rapplerdotcom/photos/a.317154781638645/5594264657260938/" TargetMode="External"/><Relationship Id="rId5166" Type="http://schemas.openxmlformats.org/officeDocument/2006/relationships/hyperlink" Target="https://www.facebook.com/nilo.asas" TargetMode="External"/><Relationship Id="rId5169" Type="http://schemas.openxmlformats.org/officeDocument/2006/relationships/hyperlink" Target="https://www.facebook.com/rapplerdotcom/photos/a.317154781638645/5594264657260938/" TargetMode="External"/><Relationship Id="rId2920" Type="http://schemas.openxmlformats.org/officeDocument/2006/relationships/hyperlink" Target="https://www.facebook.com/watch/live/?ref=watch_permalink&amp;v=360307549312104" TargetMode="External"/><Relationship Id="rId2921" Type="http://schemas.openxmlformats.org/officeDocument/2006/relationships/hyperlink" Target="https://www.facebook.com/nathann.delacruz.1" TargetMode="External"/><Relationship Id="rId2922" Type="http://schemas.openxmlformats.org/officeDocument/2006/relationships/hyperlink" Target="https://www.facebook.com/watch/live/?ref=watch_permalink&amp;v=360307549312104" TargetMode="External"/><Relationship Id="rId2923" Type="http://schemas.openxmlformats.org/officeDocument/2006/relationships/hyperlink" Target="https://www.facebook.com/nathann.delacruz.1" TargetMode="External"/><Relationship Id="rId2924" Type="http://schemas.openxmlformats.org/officeDocument/2006/relationships/hyperlink" Target="https://www.facebook.com/watch/live/?ref=watch_permalink&amp;v=360307549312104" TargetMode="External"/><Relationship Id="rId2925" Type="http://schemas.openxmlformats.org/officeDocument/2006/relationships/hyperlink" Target="https://www.facebook.com/nathann.delacruz.1" TargetMode="External"/><Relationship Id="rId2926" Type="http://schemas.openxmlformats.org/officeDocument/2006/relationships/hyperlink" Target="https://www.facebook.com/watch/live/?ref=watch_permalink&amp;v=360307549312104" TargetMode="External"/><Relationship Id="rId2927" Type="http://schemas.openxmlformats.org/officeDocument/2006/relationships/hyperlink" Target="https://www.facebook.com/nathann.delacruz.1" TargetMode="External"/><Relationship Id="rId2928" Type="http://schemas.openxmlformats.org/officeDocument/2006/relationships/hyperlink" Target="https://www.facebook.com/watch/live/?ref=watch_permalink&amp;v=360307549312104" TargetMode="External"/><Relationship Id="rId2929" Type="http://schemas.openxmlformats.org/officeDocument/2006/relationships/hyperlink" Target="https://www.facebook.com/emily.capistrano.5" TargetMode="External"/><Relationship Id="rId5192" Type="http://schemas.openxmlformats.org/officeDocument/2006/relationships/hyperlink" Target="https://www.facebook.com/gemrose.rescobactol" TargetMode="External"/><Relationship Id="rId5193" Type="http://schemas.openxmlformats.org/officeDocument/2006/relationships/hyperlink" Target="https://www.facebook.com/rapplerdotcom/photos/a.317154781638645/5594264657260938/" TargetMode="External"/><Relationship Id="rId5190" Type="http://schemas.openxmlformats.org/officeDocument/2006/relationships/hyperlink" Target="https://www.facebook.com/reniel.carandang.56" TargetMode="External"/><Relationship Id="rId5191" Type="http://schemas.openxmlformats.org/officeDocument/2006/relationships/hyperlink" Target="https://www.facebook.com/rapplerdotcom/photos/a.317154781638645/5594264657260938/" TargetMode="External"/><Relationship Id="rId5196" Type="http://schemas.openxmlformats.org/officeDocument/2006/relationships/hyperlink" Target="https://www.facebook.com/liza.smmercado" TargetMode="External"/><Relationship Id="rId5197" Type="http://schemas.openxmlformats.org/officeDocument/2006/relationships/hyperlink" Target="https://www.facebook.com/rapplerdotcom/photos/a.317154781638645/5594264657260938/" TargetMode="External"/><Relationship Id="rId5194" Type="http://schemas.openxmlformats.org/officeDocument/2006/relationships/hyperlink" Target="https://www.facebook.com/ebucayan" TargetMode="External"/><Relationship Id="rId5195" Type="http://schemas.openxmlformats.org/officeDocument/2006/relationships/hyperlink" Target="https://www.facebook.com/rapplerdotcom/photos/a.317154781638645/5594264657260938/" TargetMode="External"/><Relationship Id="rId5198" Type="http://schemas.openxmlformats.org/officeDocument/2006/relationships/hyperlink" Target="https://www.facebook.com/profile.php?id=100075263366177" TargetMode="External"/><Relationship Id="rId5199" Type="http://schemas.openxmlformats.org/officeDocument/2006/relationships/hyperlink" Target="https://www.facebook.com/rapplerdotcom/photos/a.317154781638645/5594264657260938/" TargetMode="External"/><Relationship Id="rId2910" Type="http://schemas.openxmlformats.org/officeDocument/2006/relationships/hyperlink" Target="https://www.facebook.com/watch/live/?ref=watch_permalink&amp;v=360307549312104" TargetMode="External"/><Relationship Id="rId2911" Type="http://schemas.openxmlformats.org/officeDocument/2006/relationships/hyperlink" Target="https://www.facebook.com/elie.cosep.75" TargetMode="External"/><Relationship Id="rId2912" Type="http://schemas.openxmlformats.org/officeDocument/2006/relationships/hyperlink" Target="https://www.facebook.com/watch/live/?ref=watch_permalink&amp;v=360307549312104" TargetMode="External"/><Relationship Id="rId2913" Type="http://schemas.openxmlformats.org/officeDocument/2006/relationships/hyperlink" Target="https://www.facebook.com/marlon.sambile.12" TargetMode="External"/><Relationship Id="rId2914" Type="http://schemas.openxmlformats.org/officeDocument/2006/relationships/hyperlink" Target="https://www.facebook.com/watch/live/?ref=watch_permalink&amp;v=360307549312104" TargetMode="External"/><Relationship Id="rId2915" Type="http://schemas.openxmlformats.org/officeDocument/2006/relationships/hyperlink" Target="https://www.facebook.com/RitaAvilaBooksforChildren" TargetMode="External"/><Relationship Id="rId2916" Type="http://schemas.openxmlformats.org/officeDocument/2006/relationships/hyperlink" Target="https://www.facebook.com/watch/live/?ref=watch_permalink&amp;v=360307549312104" TargetMode="External"/><Relationship Id="rId2917" Type="http://schemas.openxmlformats.org/officeDocument/2006/relationships/hyperlink" Target="https://www.facebook.com/romiel.cabrezajr" TargetMode="External"/><Relationship Id="rId2918" Type="http://schemas.openxmlformats.org/officeDocument/2006/relationships/hyperlink" Target="https://www.facebook.com/watch/live/?ref=watch_permalink&amp;v=360307549312104" TargetMode="External"/><Relationship Id="rId2919" Type="http://schemas.openxmlformats.org/officeDocument/2006/relationships/hyperlink" Target="https://www.facebook.com/mheldzkie.jean.1" TargetMode="External"/><Relationship Id="rId5181" Type="http://schemas.openxmlformats.org/officeDocument/2006/relationships/hyperlink" Target="https://www.facebook.com/rapplerdotcom/photos/a.317154781638645/5594264657260938/" TargetMode="External"/><Relationship Id="rId5182" Type="http://schemas.openxmlformats.org/officeDocument/2006/relationships/hyperlink" Target="https://www.facebook.com/anjadonis11" TargetMode="External"/><Relationship Id="rId5180" Type="http://schemas.openxmlformats.org/officeDocument/2006/relationships/hyperlink" Target="https://www.facebook.com/fortunato.salas.9" TargetMode="External"/><Relationship Id="rId5185" Type="http://schemas.openxmlformats.org/officeDocument/2006/relationships/hyperlink" Target="https://www.facebook.com/rapplerdotcom/photos/a.317154781638645/5594264657260938/" TargetMode="External"/><Relationship Id="rId5186" Type="http://schemas.openxmlformats.org/officeDocument/2006/relationships/hyperlink" Target="https://www.facebook.com/lilian.sunglao" TargetMode="External"/><Relationship Id="rId5183" Type="http://schemas.openxmlformats.org/officeDocument/2006/relationships/hyperlink" Target="https://www.facebook.com/rapplerdotcom/photos/a.317154781638645/5594264657260938/" TargetMode="External"/><Relationship Id="rId5184" Type="http://schemas.openxmlformats.org/officeDocument/2006/relationships/hyperlink" Target="https://www.facebook.com/louie.m.quidlat" TargetMode="External"/><Relationship Id="rId5189" Type="http://schemas.openxmlformats.org/officeDocument/2006/relationships/hyperlink" Target="https://www.facebook.com/rapplerdotcom/photos/a.317154781638645/5594264657260938/" TargetMode="External"/><Relationship Id="rId5187" Type="http://schemas.openxmlformats.org/officeDocument/2006/relationships/hyperlink" Target="https://www.facebook.com/rapplerdotcom/photos/a.317154781638645/5594264657260938/" TargetMode="External"/><Relationship Id="rId5188" Type="http://schemas.openxmlformats.org/officeDocument/2006/relationships/hyperlink" Target="https://www.facebook.com/eugine.flores.5" TargetMode="External"/><Relationship Id="rId1697" Type="http://schemas.openxmlformats.org/officeDocument/2006/relationships/hyperlink" Target="https://www.facebook.com/cory.ander.3" TargetMode="External"/><Relationship Id="rId1698" Type="http://schemas.openxmlformats.org/officeDocument/2006/relationships/hyperlink" Target="https://www.facebook.com/rapplerdotcom/photos/a.317154781638645/5596043783749692/" TargetMode="External"/><Relationship Id="rId1699" Type="http://schemas.openxmlformats.org/officeDocument/2006/relationships/hyperlink" Target="https://www.facebook.com/cory.ander.3" TargetMode="External"/><Relationship Id="rId866" Type="http://schemas.openxmlformats.org/officeDocument/2006/relationships/hyperlink" Target="https://www.facebook.com/rapplerdotcom/photos/a.317154781638645/5597612220259515/" TargetMode="External"/><Relationship Id="rId865" Type="http://schemas.openxmlformats.org/officeDocument/2006/relationships/hyperlink" Target="https://www.facebook.com/factolerin.e" TargetMode="External"/><Relationship Id="rId864" Type="http://schemas.openxmlformats.org/officeDocument/2006/relationships/hyperlink" Target="https://www.facebook.com/rapplerdotcom/photos/a.317154781638645/5597612220259515/" TargetMode="External"/><Relationship Id="rId863" Type="http://schemas.openxmlformats.org/officeDocument/2006/relationships/hyperlink" Target="https://www.facebook.com/iamnoelricardo" TargetMode="External"/><Relationship Id="rId869" Type="http://schemas.openxmlformats.org/officeDocument/2006/relationships/hyperlink" Target="https://www.facebook.com/jonel.c.sandiego" TargetMode="External"/><Relationship Id="rId868" Type="http://schemas.openxmlformats.org/officeDocument/2006/relationships/hyperlink" Target="https://www.facebook.com/rapplerdotcom/photos/a.317154781638645/5597612220259515/" TargetMode="External"/><Relationship Id="rId867" Type="http://schemas.openxmlformats.org/officeDocument/2006/relationships/hyperlink" Target="https://www.facebook.com/dubchaetzu1230" TargetMode="External"/><Relationship Id="rId1690" Type="http://schemas.openxmlformats.org/officeDocument/2006/relationships/hyperlink" Target="https://www.facebook.com/rapplerdotcom/photos/a.317154781638645/5596043783749692/" TargetMode="External"/><Relationship Id="rId1691" Type="http://schemas.openxmlformats.org/officeDocument/2006/relationships/hyperlink" Target="https://www.facebook.com/yongcoonang" TargetMode="External"/><Relationship Id="rId1692" Type="http://schemas.openxmlformats.org/officeDocument/2006/relationships/hyperlink" Target="https://www.facebook.com/rapplerdotcom/photos/a.317154781638645/5596043783749692/" TargetMode="External"/><Relationship Id="rId862" Type="http://schemas.openxmlformats.org/officeDocument/2006/relationships/hyperlink" Target="https://www.facebook.com/rapplerdotcom/photos/a.317154781638645/5597612220259515/" TargetMode="External"/><Relationship Id="rId1693" Type="http://schemas.openxmlformats.org/officeDocument/2006/relationships/hyperlink" Target="https://www.facebook.com/ino.reyes.1441" TargetMode="External"/><Relationship Id="rId861" Type="http://schemas.openxmlformats.org/officeDocument/2006/relationships/hyperlink" Target="https://www.facebook.com/jordan.santos.5667" TargetMode="External"/><Relationship Id="rId1694" Type="http://schemas.openxmlformats.org/officeDocument/2006/relationships/hyperlink" Target="https://www.facebook.com/rapplerdotcom/photos/a.317154781638645/5596043783749692/" TargetMode="External"/><Relationship Id="rId860" Type="http://schemas.openxmlformats.org/officeDocument/2006/relationships/hyperlink" Target="https://www.facebook.com/rapplerdotcom/photos/a.317154781638645/5597612220259515/" TargetMode="External"/><Relationship Id="rId1695" Type="http://schemas.openxmlformats.org/officeDocument/2006/relationships/hyperlink" Target="https://www.facebook.com/felix.bauya.9" TargetMode="External"/><Relationship Id="rId1696" Type="http://schemas.openxmlformats.org/officeDocument/2006/relationships/hyperlink" Target="https://www.facebook.com/rapplerdotcom/photos/a.317154781638645/5596043783749692/" TargetMode="External"/><Relationship Id="rId1686" Type="http://schemas.openxmlformats.org/officeDocument/2006/relationships/hyperlink" Target="https://www.facebook.com/rapplerdotcom/photos/a.317154781638645/5596043783749692/" TargetMode="External"/><Relationship Id="rId1687" Type="http://schemas.openxmlformats.org/officeDocument/2006/relationships/hyperlink" Target="https://www.facebook.com/yongcoonang" TargetMode="External"/><Relationship Id="rId1688" Type="http://schemas.openxmlformats.org/officeDocument/2006/relationships/hyperlink" Target="https://www.facebook.com/rapplerdotcom/photos/a.317154781638645/5596043783749692/" TargetMode="External"/><Relationship Id="rId1689" Type="http://schemas.openxmlformats.org/officeDocument/2006/relationships/hyperlink" Target="https://www.facebook.com/ricollections08" TargetMode="External"/><Relationship Id="rId855" Type="http://schemas.openxmlformats.org/officeDocument/2006/relationships/hyperlink" Target="https://www.facebook.com/budz.ky.14" TargetMode="External"/><Relationship Id="rId854" Type="http://schemas.openxmlformats.org/officeDocument/2006/relationships/hyperlink" Target="https://www.facebook.com/rapplerdotcom/photos/a.317154781638645/5597612220259515/" TargetMode="External"/><Relationship Id="rId853" Type="http://schemas.openxmlformats.org/officeDocument/2006/relationships/hyperlink" Target="https://www.facebook.com/profile.php?id=100074950725815" TargetMode="External"/><Relationship Id="rId852" Type="http://schemas.openxmlformats.org/officeDocument/2006/relationships/hyperlink" Target="https://www.facebook.com/rapplerdotcom/photos/a.317154781638645/5597612220259515/" TargetMode="External"/><Relationship Id="rId859" Type="http://schemas.openxmlformats.org/officeDocument/2006/relationships/hyperlink" Target="https://www.facebook.com/michelle.delosnieves" TargetMode="External"/><Relationship Id="rId858" Type="http://schemas.openxmlformats.org/officeDocument/2006/relationships/hyperlink" Target="https://www.facebook.com/rapplerdotcom/photos/a.317154781638645/5597612220259515/" TargetMode="External"/><Relationship Id="rId857" Type="http://schemas.openxmlformats.org/officeDocument/2006/relationships/hyperlink" Target="https://www.facebook.com/McNolram" TargetMode="External"/><Relationship Id="rId856" Type="http://schemas.openxmlformats.org/officeDocument/2006/relationships/hyperlink" Target="https://www.facebook.com/rapplerdotcom/photos/a.317154781638645/5597612220259515/" TargetMode="External"/><Relationship Id="rId1680" Type="http://schemas.openxmlformats.org/officeDocument/2006/relationships/hyperlink" Target="https://www.facebook.com/rapplerdotcom/photos/a.317154781638645/5596043783749692/" TargetMode="External"/><Relationship Id="rId1681" Type="http://schemas.openxmlformats.org/officeDocument/2006/relationships/hyperlink" Target="https://www.facebook.com/nedned.anobla" TargetMode="External"/><Relationship Id="rId851" Type="http://schemas.openxmlformats.org/officeDocument/2006/relationships/hyperlink" Target="https://www.facebook.com/asuncion.calayan.9" TargetMode="External"/><Relationship Id="rId1682" Type="http://schemas.openxmlformats.org/officeDocument/2006/relationships/hyperlink" Target="https://www.facebook.com/rapplerdotcom/photos/a.317154781638645/5596043783749692/" TargetMode="External"/><Relationship Id="rId850" Type="http://schemas.openxmlformats.org/officeDocument/2006/relationships/hyperlink" Target="https://www.facebook.com/rapplerdotcom/photos/a.317154781638645/5597612220259515/" TargetMode="External"/><Relationship Id="rId1683" Type="http://schemas.openxmlformats.org/officeDocument/2006/relationships/hyperlink" Target="https://www.facebook.com/tony.deguzman.104" TargetMode="External"/><Relationship Id="rId1684" Type="http://schemas.openxmlformats.org/officeDocument/2006/relationships/hyperlink" Target="https://www.facebook.com/rapplerdotcom/photos/a.317154781638645/5596043783749692/" TargetMode="External"/><Relationship Id="rId1685" Type="http://schemas.openxmlformats.org/officeDocument/2006/relationships/hyperlink" Target="https://www.facebook.com/kenneth.shinkim" TargetMode="External"/><Relationship Id="rId888" Type="http://schemas.openxmlformats.org/officeDocument/2006/relationships/hyperlink" Target="https://www.facebook.com/rapplerdotcom/photos/a.317154781638645/5597612220259515/" TargetMode="External"/><Relationship Id="rId887" Type="http://schemas.openxmlformats.org/officeDocument/2006/relationships/hyperlink" Target="https://www.facebook.com/gladys.lazo.31" TargetMode="External"/><Relationship Id="rId886" Type="http://schemas.openxmlformats.org/officeDocument/2006/relationships/hyperlink" Target="https://www.facebook.com/rapplerdotcom/photos/a.317154781638645/5597612220259515/" TargetMode="External"/><Relationship Id="rId885" Type="http://schemas.openxmlformats.org/officeDocument/2006/relationships/hyperlink" Target="https://www.facebook.com/rey.magsayo.399" TargetMode="External"/><Relationship Id="rId889" Type="http://schemas.openxmlformats.org/officeDocument/2006/relationships/hyperlink" Target="https://www.facebook.com/profile.php?id=100010227300304" TargetMode="External"/><Relationship Id="rId880" Type="http://schemas.openxmlformats.org/officeDocument/2006/relationships/hyperlink" Target="https://www.facebook.com/rapplerdotcom/photos/a.317154781638645/5597612220259515/" TargetMode="External"/><Relationship Id="rId884" Type="http://schemas.openxmlformats.org/officeDocument/2006/relationships/hyperlink" Target="https://www.facebook.com/rapplerdotcom/photos/a.317154781638645/5597612220259515/" TargetMode="External"/><Relationship Id="rId883" Type="http://schemas.openxmlformats.org/officeDocument/2006/relationships/hyperlink" Target="https://www.facebook.com/ricardo.arayata" TargetMode="External"/><Relationship Id="rId882" Type="http://schemas.openxmlformats.org/officeDocument/2006/relationships/hyperlink" Target="https://www.facebook.com/rapplerdotcom/photos/a.317154781638645/5597612220259515/" TargetMode="External"/><Relationship Id="rId881" Type="http://schemas.openxmlformats.org/officeDocument/2006/relationships/hyperlink" Target="https://www.facebook.com/dean.loreto" TargetMode="External"/><Relationship Id="rId877" Type="http://schemas.openxmlformats.org/officeDocument/2006/relationships/hyperlink" Target="https://www.facebook.com/debbie.garcia.71216141" TargetMode="External"/><Relationship Id="rId876" Type="http://schemas.openxmlformats.org/officeDocument/2006/relationships/hyperlink" Target="https://www.facebook.com/rapplerdotcom/photos/a.317154781638645/5597612220259515/" TargetMode="External"/><Relationship Id="rId875" Type="http://schemas.openxmlformats.org/officeDocument/2006/relationships/hyperlink" Target="https://www.facebook.com/factolerin.e" TargetMode="External"/><Relationship Id="rId874" Type="http://schemas.openxmlformats.org/officeDocument/2006/relationships/hyperlink" Target="https://www.facebook.com/rapplerdotcom/photos/a.317154781638645/5597612220259515/" TargetMode="External"/><Relationship Id="rId879" Type="http://schemas.openxmlformats.org/officeDocument/2006/relationships/hyperlink" Target="https://www.facebook.com/profile.php?id=100009913030847" TargetMode="External"/><Relationship Id="rId878" Type="http://schemas.openxmlformats.org/officeDocument/2006/relationships/hyperlink" Target="https://www.facebook.com/rapplerdotcom/photos/a.317154781638645/5597612220259515/" TargetMode="External"/><Relationship Id="rId873" Type="http://schemas.openxmlformats.org/officeDocument/2006/relationships/hyperlink" Target="https://www.facebook.com/factolerin.e" TargetMode="External"/><Relationship Id="rId872" Type="http://schemas.openxmlformats.org/officeDocument/2006/relationships/hyperlink" Target="https://www.facebook.com/rapplerdotcom/photos/a.317154781638645/5597612220259515/" TargetMode="External"/><Relationship Id="rId871" Type="http://schemas.openxmlformats.org/officeDocument/2006/relationships/hyperlink" Target="https://www.facebook.com/factolerin.e" TargetMode="External"/><Relationship Id="rId870" Type="http://schemas.openxmlformats.org/officeDocument/2006/relationships/hyperlink" Target="https://www.facebook.com/rapplerdotcom/photos/a.317154781638645/5597612220259515/" TargetMode="External"/><Relationship Id="rId1653" Type="http://schemas.openxmlformats.org/officeDocument/2006/relationships/hyperlink" Target="https://www.facebook.com/henkendeman" TargetMode="External"/><Relationship Id="rId2984" Type="http://schemas.openxmlformats.org/officeDocument/2006/relationships/hyperlink" Target="https://www.facebook.com/watch/live/?ref=watch_permalink&amp;v=360307549312104" TargetMode="External"/><Relationship Id="rId1654" Type="http://schemas.openxmlformats.org/officeDocument/2006/relationships/hyperlink" Target="https://www.facebook.com/rapplerdotcom/posts/pfbid02AsSA4LQqjQ2Y8SVathQmtduoE3fhoGvQSNhvrzsMerDaJSQJ6jDvApCCiuaE7XCol" TargetMode="External"/><Relationship Id="rId2985" Type="http://schemas.openxmlformats.org/officeDocument/2006/relationships/hyperlink" Target="https://www.facebook.com/emily.c.luague" TargetMode="External"/><Relationship Id="rId1655" Type="http://schemas.openxmlformats.org/officeDocument/2006/relationships/hyperlink" Target="https://www.facebook.com/profile.php?id=100078647222981" TargetMode="External"/><Relationship Id="rId2986" Type="http://schemas.openxmlformats.org/officeDocument/2006/relationships/hyperlink" Target="https://www.facebook.com/watch/live/?ref=watch_permalink&amp;v=360307549312104" TargetMode="External"/><Relationship Id="rId1656" Type="http://schemas.openxmlformats.org/officeDocument/2006/relationships/hyperlink" Target="https://www.facebook.com/rapplerdotcom/posts/pfbid02AsSA4LQqjQ2Y8SVathQmtduoE3fhoGvQSNhvrzsMerDaJSQJ6jDvApCCiuaE7XCol" TargetMode="External"/><Relationship Id="rId2987" Type="http://schemas.openxmlformats.org/officeDocument/2006/relationships/hyperlink" Target="https://www.facebook.com/babycoolette" TargetMode="External"/><Relationship Id="rId1657" Type="http://schemas.openxmlformats.org/officeDocument/2006/relationships/hyperlink" Target="https://www.facebook.com/mabelen.a.cartago" TargetMode="External"/><Relationship Id="rId2988" Type="http://schemas.openxmlformats.org/officeDocument/2006/relationships/hyperlink" Target="https://www.facebook.com/watch/live/?ref=watch_permalink&amp;v=360307549312104" TargetMode="External"/><Relationship Id="rId1658" Type="http://schemas.openxmlformats.org/officeDocument/2006/relationships/hyperlink" Target="https://www.facebook.com/rapplerdotcom/posts/pfbid02AsSA4LQqjQ2Y8SVathQmtduoE3fhoGvQSNhvrzsMerDaJSQJ6jDvApCCiuaE7XCol" TargetMode="External"/><Relationship Id="rId2989" Type="http://schemas.openxmlformats.org/officeDocument/2006/relationships/hyperlink" Target="https://www.facebook.com/profile.php?id=100073807421844" TargetMode="External"/><Relationship Id="rId1659" Type="http://schemas.openxmlformats.org/officeDocument/2006/relationships/hyperlink" Target="https://www.facebook.com/pampilo.layson" TargetMode="External"/><Relationship Id="rId829" Type="http://schemas.openxmlformats.org/officeDocument/2006/relationships/hyperlink" Target="https://www.facebook.com/profile.php?id=100073176669689" TargetMode="External"/><Relationship Id="rId828" Type="http://schemas.openxmlformats.org/officeDocument/2006/relationships/hyperlink" Target="https://www.facebook.com/rapplerdotcom/photos/a.317154781638645/5597612220259515/" TargetMode="External"/><Relationship Id="rId827" Type="http://schemas.openxmlformats.org/officeDocument/2006/relationships/hyperlink" Target="https://www.facebook.com/duztinethewind" TargetMode="External"/><Relationship Id="rId822" Type="http://schemas.openxmlformats.org/officeDocument/2006/relationships/hyperlink" Target="https://www.facebook.com/rapplerdotcom/photos/a.317154781638645/5597612220259515/" TargetMode="External"/><Relationship Id="rId821" Type="http://schemas.openxmlformats.org/officeDocument/2006/relationships/hyperlink" Target="https://www.facebook.com/menchu.gamilla" TargetMode="External"/><Relationship Id="rId820" Type="http://schemas.openxmlformats.org/officeDocument/2006/relationships/hyperlink" Target="https://www.facebook.com/rapplerdotcom/photos/a.317154781638645/5597612220259515/" TargetMode="External"/><Relationship Id="rId826" Type="http://schemas.openxmlformats.org/officeDocument/2006/relationships/hyperlink" Target="https://www.facebook.com/rapplerdotcom/photos/a.317154781638645/5597612220259515/" TargetMode="External"/><Relationship Id="rId825" Type="http://schemas.openxmlformats.org/officeDocument/2006/relationships/hyperlink" Target="https://www.facebook.com/noli.collao.3" TargetMode="External"/><Relationship Id="rId824" Type="http://schemas.openxmlformats.org/officeDocument/2006/relationships/hyperlink" Target="https://www.facebook.com/rapplerdotcom/photos/a.317154781638645/5597612220259515/" TargetMode="External"/><Relationship Id="rId823" Type="http://schemas.openxmlformats.org/officeDocument/2006/relationships/hyperlink" Target="https://www.facebook.com/jedmichael.ognayon" TargetMode="External"/><Relationship Id="rId2980" Type="http://schemas.openxmlformats.org/officeDocument/2006/relationships/hyperlink" Target="https://www.facebook.com/watch/live/?ref=watch_permalink&amp;v=360307549312104" TargetMode="External"/><Relationship Id="rId1650" Type="http://schemas.openxmlformats.org/officeDocument/2006/relationships/hyperlink" Target="https://www.facebook.com/rapplerdotcom/posts/pfbid02AsSA4LQqjQ2Y8SVathQmtduoE3fhoGvQSNhvrzsMerDaJSQJ6jDvApCCiuaE7XCol" TargetMode="External"/><Relationship Id="rId2981" Type="http://schemas.openxmlformats.org/officeDocument/2006/relationships/hyperlink" Target="https://www.facebook.com/raul.dizon.5" TargetMode="External"/><Relationship Id="rId1651" Type="http://schemas.openxmlformats.org/officeDocument/2006/relationships/hyperlink" Target="https://www.facebook.com/Derolferrot" TargetMode="External"/><Relationship Id="rId2982" Type="http://schemas.openxmlformats.org/officeDocument/2006/relationships/hyperlink" Target="https://www.facebook.com/watch/live/?ref=watch_permalink&amp;v=360307549312104" TargetMode="External"/><Relationship Id="rId1652" Type="http://schemas.openxmlformats.org/officeDocument/2006/relationships/hyperlink" Target="https://www.facebook.com/rapplerdotcom/posts/pfbid02AsSA4LQqjQ2Y8SVathQmtduoE3fhoGvQSNhvrzsMerDaJSQJ6jDvApCCiuaE7XCol" TargetMode="External"/><Relationship Id="rId2983" Type="http://schemas.openxmlformats.org/officeDocument/2006/relationships/hyperlink" Target="https://www.facebook.com/rowena.o.alvarez" TargetMode="External"/><Relationship Id="rId1642" Type="http://schemas.openxmlformats.org/officeDocument/2006/relationships/hyperlink" Target="https://www.facebook.com/rapplerdotcom/posts/pfbid02AsSA4LQqjQ2Y8SVathQmtduoE3fhoGvQSNhvrzsMerDaJSQJ6jDvApCCiuaE7XCol" TargetMode="External"/><Relationship Id="rId2973" Type="http://schemas.openxmlformats.org/officeDocument/2006/relationships/hyperlink" Target="https://www.facebook.com/bong.umpa.1" TargetMode="External"/><Relationship Id="rId1643" Type="http://schemas.openxmlformats.org/officeDocument/2006/relationships/hyperlink" Target="https://www.facebook.com/antondee60" TargetMode="External"/><Relationship Id="rId2974" Type="http://schemas.openxmlformats.org/officeDocument/2006/relationships/hyperlink" Target="https://www.facebook.com/watch/live/?ref=watch_permalink&amp;v=360307549312104" TargetMode="External"/><Relationship Id="rId1644" Type="http://schemas.openxmlformats.org/officeDocument/2006/relationships/hyperlink" Target="https://www.facebook.com/rapplerdotcom/posts/pfbid02AsSA4LQqjQ2Y8SVathQmtduoE3fhoGvQSNhvrzsMerDaJSQJ6jDvApCCiuaE7XCol" TargetMode="External"/><Relationship Id="rId2975" Type="http://schemas.openxmlformats.org/officeDocument/2006/relationships/hyperlink" Target="https://www.facebook.com/antonette.fernandez.583" TargetMode="External"/><Relationship Id="rId1645" Type="http://schemas.openxmlformats.org/officeDocument/2006/relationships/hyperlink" Target="https://www.facebook.com/DBTunacao" TargetMode="External"/><Relationship Id="rId2976" Type="http://schemas.openxmlformats.org/officeDocument/2006/relationships/hyperlink" Target="https://www.facebook.com/watch/live/?ref=watch_permalink&amp;v=360307549312104" TargetMode="External"/><Relationship Id="rId1646" Type="http://schemas.openxmlformats.org/officeDocument/2006/relationships/hyperlink" Target="https://www.facebook.com/rapplerdotcom/posts/pfbid02AsSA4LQqjQ2Y8SVathQmtduoE3fhoGvQSNhvrzsMerDaJSQJ6jDvApCCiuaE7XCol" TargetMode="External"/><Relationship Id="rId2977" Type="http://schemas.openxmlformats.org/officeDocument/2006/relationships/hyperlink" Target="https://www.facebook.com/profile.php?id=100011473596628" TargetMode="External"/><Relationship Id="rId1647" Type="http://schemas.openxmlformats.org/officeDocument/2006/relationships/hyperlink" Target="https://www.facebook.com/ZenUnchi" TargetMode="External"/><Relationship Id="rId2978" Type="http://schemas.openxmlformats.org/officeDocument/2006/relationships/hyperlink" Target="https://www.facebook.com/watch/live/?ref=watch_permalink&amp;v=360307549312104" TargetMode="External"/><Relationship Id="rId1648" Type="http://schemas.openxmlformats.org/officeDocument/2006/relationships/hyperlink" Target="https://www.facebook.com/rapplerdotcom/posts/pfbid02AsSA4LQqjQ2Y8SVathQmtduoE3fhoGvQSNhvrzsMerDaJSQJ6jDvApCCiuaE7XCol" TargetMode="External"/><Relationship Id="rId2979" Type="http://schemas.openxmlformats.org/officeDocument/2006/relationships/hyperlink" Target="https://www.facebook.com/jerry.deguzman1" TargetMode="External"/><Relationship Id="rId1649" Type="http://schemas.openxmlformats.org/officeDocument/2006/relationships/hyperlink" Target="https://www.facebook.com/oteng.gai" TargetMode="External"/><Relationship Id="rId819" Type="http://schemas.openxmlformats.org/officeDocument/2006/relationships/hyperlink" Target="https://www.facebook.com/tirso.musa.94" TargetMode="External"/><Relationship Id="rId818" Type="http://schemas.openxmlformats.org/officeDocument/2006/relationships/hyperlink" Target="https://www.facebook.com/rapplerdotcom/photos/a.317154781638645/5597612220259515/" TargetMode="External"/><Relationship Id="rId817" Type="http://schemas.openxmlformats.org/officeDocument/2006/relationships/hyperlink" Target="https://www.facebook.com/steve.tamayo.18" TargetMode="External"/><Relationship Id="rId816" Type="http://schemas.openxmlformats.org/officeDocument/2006/relationships/hyperlink" Target="https://www.facebook.com/rapplerdotcom/photos/a.317154781638645/5597612220259515/" TargetMode="External"/><Relationship Id="rId811" Type="http://schemas.openxmlformats.org/officeDocument/2006/relationships/hyperlink" Target="https://www.facebook.com/florence.sabado.7" TargetMode="External"/><Relationship Id="rId810" Type="http://schemas.openxmlformats.org/officeDocument/2006/relationships/hyperlink" Target="https://www.facebook.com/rapplerdotcom/photos/a.317154781638645/5597612220259515/" TargetMode="External"/><Relationship Id="rId815" Type="http://schemas.openxmlformats.org/officeDocument/2006/relationships/hyperlink" Target="https://www.facebook.com/profile.php?id=100063521917527" TargetMode="External"/><Relationship Id="rId814" Type="http://schemas.openxmlformats.org/officeDocument/2006/relationships/hyperlink" Target="https://www.facebook.com/rapplerdotcom/photos/a.317154781638645/5597612220259515/" TargetMode="External"/><Relationship Id="rId813" Type="http://schemas.openxmlformats.org/officeDocument/2006/relationships/hyperlink" Target="https://www.facebook.com/resi.sitjar.9" TargetMode="External"/><Relationship Id="rId812" Type="http://schemas.openxmlformats.org/officeDocument/2006/relationships/hyperlink" Target="https://www.facebook.com/rapplerdotcom/photos/a.317154781638645/5597612220259515/" TargetMode="External"/><Relationship Id="rId2970" Type="http://schemas.openxmlformats.org/officeDocument/2006/relationships/hyperlink" Target="https://www.facebook.com/watch/live/?ref=watch_permalink&amp;v=360307549312104" TargetMode="External"/><Relationship Id="rId1640" Type="http://schemas.openxmlformats.org/officeDocument/2006/relationships/hyperlink" Target="https://www.facebook.com/rapplerdotcom/posts/pfbid02AsSA4LQqjQ2Y8SVathQmtduoE3fhoGvQSNhvrzsMerDaJSQJ6jDvApCCiuaE7XCol" TargetMode="External"/><Relationship Id="rId2971" Type="http://schemas.openxmlformats.org/officeDocument/2006/relationships/hyperlink" Target="https://www.facebook.com/jowel.geroy" TargetMode="External"/><Relationship Id="rId1641" Type="http://schemas.openxmlformats.org/officeDocument/2006/relationships/hyperlink" Target="https://www.facebook.com/nes.jularbal.69" TargetMode="External"/><Relationship Id="rId2972" Type="http://schemas.openxmlformats.org/officeDocument/2006/relationships/hyperlink" Target="https://www.facebook.com/watch/live/?ref=watch_permalink&amp;v=360307549312104" TargetMode="External"/><Relationship Id="rId1675" Type="http://schemas.openxmlformats.org/officeDocument/2006/relationships/hyperlink" Target="https://www.facebook.com/pepe.ledesma.7140" TargetMode="External"/><Relationship Id="rId1676" Type="http://schemas.openxmlformats.org/officeDocument/2006/relationships/hyperlink" Target="https://www.facebook.com/rapplerdotcom/photos/a.317154781638645/5596043783749692/" TargetMode="External"/><Relationship Id="rId1677" Type="http://schemas.openxmlformats.org/officeDocument/2006/relationships/hyperlink" Target="https://www.facebook.com/jening.martinez" TargetMode="External"/><Relationship Id="rId1678" Type="http://schemas.openxmlformats.org/officeDocument/2006/relationships/hyperlink" Target="https://www.facebook.com/rapplerdotcom/photos/a.317154781638645/5596043783749692/" TargetMode="External"/><Relationship Id="rId1679" Type="http://schemas.openxmlformats.org/officeDocument/2006/relationships/hyperlink" Target="https://www.facebook.com/yongcoonang" TargetMode="External"/><Relationship Id="rId849" Type="http://schemas.openxmlformats.org/officeDocument/2006/relationships/hyperlink" Target="https://www.facebook.com/rogelio.deguzman.73157" TargetMode="External"/><Relationship Id="rId844" Type="http://schemas.openxmlformats.org/officeDocument/2006/relationships/hyperlink" Target="https://www.facebook.com/rapplerdotcom/photos/a.317154781638645/5597612220259515/" TargetMode="External"/><Relationship Id="rId843" Type="http://schemas.openxmlformats.org/officeDocument/2006/relationships/hyperlink" Target="https://www.facebook.com/factolerin.e" TargetMode="External"/><Relationship Id="rId842" Type="http://schemas.openxmlformats.org/officeDocument/2006/relationships/hyperlink" Target="https://www.facebook.com/rapplerdotcom/photos/a.317154781638645/5597612220259515/" TargetMode="External"/><Relationship Id="rId841" Type="http://schemas.openxmlformats.org/officeDocument/2006/relationships/hyperlink" Target="https://www.facebook.com/mxile" TargetMode="External"/><Relationship Id="rId848" Type="http://schemas.openxmlformats.org/officeDocument/2006/relationships/hyperlink" Target="https://www.facebook.com/rapplerdotcom/photos/a.317154781638645/5597612220259515/" TargetMode="External"/><Relationship Id="rId847" Type="http://schemas.openxmlformats.org/officeDocument/2006/relationships/hyperlink" Target="https://www.facebook.com/teresita.gonzales.33865854" TargetMode="External"/><Relationship Id="rId846" Type="http://schemas.openxmlformats.org/officeDocument/2006/relationships/hyperlink" Target="https://www.facebook.com/rapplerdotcom/photos/a.317154781638645/5597612220259515/" TargetMode="External"/><Relationship Id="rId845" Type="http://schemas.openxmlformats.org/officeDocument/2006/relationships/hyperlink" Target="https://www.facebook.com/josielyn.villafrancamendoza" TargetMode="External"/><Relationship Id="rId1670" Type="http://schemas.openxmlformats.org/officeDocument/2006/relationships/hyperlink" Target="https://www.facebook.com/rapplerdotcom/posts/pfbid02AsSA4LQqjQ2Y8SVathQmtduoE3fhoGvQSNhvrzsMerDaJSQJ6jDvApCCiuaE7XCol" TargetMode="External"/><Relationship Id="rId840" Type="http://schemas.openxmlformats.org/officeDocument/2006/relationships/hyperlink" Target="https://www.facebook.com/rapplerdotcom/photos/a.317154781638645/5597612220259515/" TargetMode="External"/><Relationship Id="rId1671" Type="http://schemas.openxmlformats.org/officeDocument/2006/relationships/hyperlink" Target="https://www.facebook.com/julius.alonzo.5" TargetMode="External"/><Relationship Id="rId1672" Type="http://schemas.openxmlformats.org/officeDocument/2006/relationships/hyperlink" Target="https://www.facebook.com/rapplerdotcom/photos/a.317154781638645/5596043783749692/" TargetMode="External"/><Relationship Id="rId1673" Type="http://schemas.openxmlformats.org/officeDocument/2006/relationships/hyperlink" Target="https://www.facebook.com/dr.julius.uy" TargetMode="External"/><Relationship Id="rId1674" Type="http://schemas.openxmlformats.org/officeDocument/2006/relationships/hyperlink" Target="https://www.facebook.com/rapplerdotcom/photos/a.317154781638645/5596043783749692/" TargetMode="External"/><Relationship Id="rId1664" Type="http://schemas.openxmlformats.org/officeDocument/2006/relationships/hyperlink" Target="https://www.facebook.com/rapplerdotcom/posts/pfbid02AsSA4LQqjQ2Y8SVathQmtduoE3fhoGvQSNhvrzsMerDaJSQJ6jDvApCCiuaE7XCol" TargetMode="External"/><Relationship Id="rId2995" Type="http://schemas.openxmlformats.org/officeDocument/2006/relationships/hyperlink" Target="https://www.facebook.com/sialexto" TargetMode="External"/><Relationship Id="rId1665" Type="http://schemas.openxmlformats.org/officeDocument/2006/relationships/hyperlink" Target="https://www.facebook.com/dan.mendoza.5602" TargetMode="External"/><Relationship Id="rId2996" Type="http://schemas.openxmlformats.org/officeDocument/2006/relationships/hyperlink" Target="https://www.facebook.com/watch/live/?ref=watch_permalink&amp;v=360307549312104" TargetMode="External"/><Relationship Id="rId1666" Type="http://schemas.openxmlformats.org/officeDocument/2006/relationships/hyperlink" Target="https://www.facebook.com/rapplerdotcom/posts/pfbid02AsSA4LQqjQ2Y8SVathQmtduoE3fhoGvQSNhvrzsMerDaJSQJ6jDvApCCiuaE7XCol" TargetMode="External"/><Relationship Id="rId2997" Type="http://schemas.openxmlformats.org/officeDocument/2006/relationships/hyperlink" Target="https://www.facebook.com/marygrace.bruma" TargetMode="External"/><Relationship Id="rId1667" Type="http://schemas.openxmlformats.org/officeDocument/2006/relationships/hyperlink" Target="https://www.facebook.com/carlreyes09" TargetMode="External"/><Relationship Id="rId2998" Type="http://schemas.openxmlformats.org/officeDocument/2006/relationships/hyperlink" Target="https://www.facebook.com/watch/live/?ref=watch_permalink&amp;v=360307549312104" TargetMode="External"/><Relationship Id="rId1668" Type="http://schemas.openxmlformats.org/officeDocument/2006/relationships/hyperlink" Target="https://www.facebook.com/rapplerdotcom/posts/pfbid02AsSA4LQqjQ2Y8SVathQmtduoE3fhoGvQSNhvrzsMerDaJSQJ6jDvApCCiuaE7XCol" TargetMode="External"/><Relationship Id="rId2999" Type="http://schemas.openxmlformats.org/officeDocument/2006/relationships/hyperlink" Target="https://www.facebook.com/pearl.a.pedroso" TargetMode="External"/><Relationship Id="rId1669" Type="http://schemas.openxmlformats.org/officeDocument/2006/relationships/hyperlink" Target="https://www.facebook.com/eddie.d.cruz.7" TargetMode="External"/><Relationship Id="rId839" Type="http://schemas.openxmlformats.org/officeDocument/2006/relationships/hyperlink" Target="https://www.facebook.com/merlaflores.bendicion" TargetMode="External"/><Relationship Id="rId838" Type="http://schemas.openxmlformats.org/officeDocument/2006/relationships/hyperlink" Target="https://www.facebook.com/rapplerdotcom/photos/a.317154781638645/5597612220259515/" TargetMode="External"/><Relationship Id="rId833" Type="http://schemas.openxmlformats.org/officeDocument/2006/relationships/hyperlink" Target="https://www.facebook.com/miguel.lambino.75" TargetMode="External"/><Relationship Id="rId832" Type="http://schemas.openxmlformats.org/officeDocument/2006/relationships/hyperlink" Target="https://www.facebook.com/rapplerdotcom/photos/a.317154781638645/5597612220259515/" TargetMode="External"/><Relationship Id="rId831" Type="http://schemas.openxmlformats.org/officeDocument/2006/relationships/hyperlink" Target="https://www.facebook.com/cesar.d.cueva" TargetMode="External"/><Relationship Id="rId830" Type="http://schemas.openxmlformats.org/officeDocument/2006/relationships/hyperlink" Target="https://www.facebook.com/rapplerdotcom/photos/a.317154781638645/5597612220259515/" TargetMode="External"/><Relationship Id="rId837" Type="http://schemas.openxmlformats.org/officeDocument/2006/relationships/hyperlink" Target="https://www.facebook.com/aidalegarci" TargetMode="External"/><Relationship Id="rId836" Type="http://schemas.openxmlformats.org/officeDocument/2006/relationships/hyperlink" Target="https://www.facebook.com/rapplerdotcom/photos/a.317154781638645/5597612220259515/" TargetMode="External"/><Relationship Id="rId835" Type="http://schemas.openxmlformats.org/officeDocument/2006/relationships/hyperlink" Target="https://www.facebook.com/matotubo" TargetMode="External"/><Relationship Id="rId834" Type="http://schemas.openxmlformats.org/officeDocument/2006/relationships/hyperlink" Target="https://www.facebook.com/rapplerdotcom/photos/a.317154781638645/5597612220259515/" TargetMode="External"/><Relationship Id="rId2990" Type="http://schemas.openxmlformats.org/officeDocument/2006/relationships/hyperlink" Target="https://www.facebook.com/watch/live/?ref=watch_permalink&amp;v=360307549312104" TargetMode="External"/><Relationship Id="rId1660" Type="http://schemas.openxmlformats.org/officeDocument/2006/relationships/hyperlink" Target="https://www.facebook.com/rapplerdotcom/posts/pfbid02AsSA4LQqjQ2Y8SVathQmtduoE3fhoGvQSNhvrzsMerDaJSQJ6jDvApCCiuaE7XCol" TargetMode="External"/><Relationship Id="rId2991" Type="http://schemas.openxmlformats.org/officeDocument/2006/relationships/hyperlink" Target="https://www.facebook.com/sandra.siaton" TargetMode="External"/><Relationship Id="rId1661" Type="http://schemas.openxmlformats.org/officeDocument/2006/relationships/hyperlink" Target="https://www.facebook.com/profile.php?id=100078745816266" TargetMode="External"/><Relationship Id="rId2992" Type="http://schemas.openxmlformats.org/officeDocument/2006/relationships/hyperlink" Target="https://www.facebook.com/watch/live/?ref=watch_permalink&amp;v=360307549312104" TargetMode="External"/><Relationship Id="rId1662" Type="http://schemas.openxmlformats.org/officeDocument/2006/relationships/hyperlink" Target="https://www.facebook.com/rapplerdotcom/posts/pfbid02AsSA4LQqjQ2Y8SVathQmtduoE3fhoGvQSNhvrzsMerDaJSQJ6jDvApCCiuaE7XCol" TargetMode="External"/><Relationship Id="rId2993" Type="http://schemas.openxmlformats.org/officeDocument/2006/relationships/hyperlink" Target="https://www.facebook.com/adelfa.abuda" TargetMode="External"/><Relationship Id="rId1663" Type="http://schemas.openxmlformats.org/officeDocument/2006/relationships/hyperlink" Target="https://www.facebook.com/cruz.marc.9" TargetMode="External"/><Relationship Id="rId2994" Type="http://schemas.openxmlformats.org/officeDocument/2006/relationships/hyperlink" Target="https://www.facebook.com/watch/live/?ref=watch_permalink&amp;v=360307549312104" TargetMode="External"/><Relationship Id="rId899" Type="http://schemas.openxmlformats.org/officeDocument/2006/relationships/hyperlink" Target="https://www.facebook.com/tony.deguzman.104" TargetMode="External"/><Relationship Id="rId898" Type="http://schemas.openxmlformats.org/officeDocument/2006/relationships/hyperlink" Target="https://www.facebook.com/rapplerdotcom/photos/a.317154781638645/5597592673594803/" TargetMode="External"/><Relationship Id="rId897" Type="http://schemas.openxmlformats.org/officeDocument/2006/relationships/hyperlink" Target="https://www.facebook.com/ninovincent.dbollino.3" TargetMode="External"/><Relationship Id="rId896" Type="http://schemas.openxmlformats.org/officeDocument/2006/relationships/hyperlink" Target="https://www.facebook.com/rapplerdotcom/photos/a.317154781638645/5597592673594803/" TargetMode="External"/><Relationship Id="rId891" Type="http://schemas.openxmlformats.org/officeDocument/2006/relationships/hyperlink" Target="https://www.facebook.com/profile.php?id=100009810850262" TargetMode="External"/><Relationship Id="rId890" Type="http://schemas.openxmlformats.org/officeDocument/2006/relationships/hyperlink" Target="https://www.facebook.com/rapplerdotcom/photos/a.317154781638645/5597612220259515/" TargetMode="External"/><Relationship Id="rId895" Type="http://schemas.openxmlformats.org/officeDocument/2006/relationships/hyperlink" Target="https://www.facebook.com/bmarichue" TargetMode="External"/><Relationship Id="rId894" Type="http://schemas.openxmlformats.org/officeDocument/2006/relationships/hyperlink" Target="https://www.facebook.com/rapplerdotcom/photos/a.317154781638645/5597612220259515/" TargetMode="External"/><Relationship Id="rId893" Type="http://schemas.openxmlformats.org/officeDocument/2006/relationships/hyperlink" Target="https://www.facebook.com/nextnehszph" TargetMode="External"/><Relationship Id="rId892" Type="http://schemas.openxmlformats.org/officeDocument/2006/relationships/hyperlink" Target="https://www.facebook.com/rapplerdotcom/photos/a.317154781638645/559761222025951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5" max="5" width="85.13"/>
    <col customWidth="1" min="9" max="9" width="70.63"/>
  </cols>
  <sheetData>
    <row r="1">
      <c r="A1" s="1" t="str">
        <f>IFERROR(__xludf.DUMMYFUNCTION("importdata(""https://cache1.phantombooster.com/v7AfaPkLEUM/rUOb69AcpjKO4r1G6WjLSQ/RapplerMarch27.csv"")"),"profileUrl")</f>
        <v>profileUrl</v>
      </c>
      <c r="B1" s="1" t="str">
        <f>IFERROR(__xludf.DUMMYFUNCTION("""COMPUTED_VALUE"""),"name")</f>
        <v>name</v>
      </c>
      <c r="C1" s="1" t="str">
        <f>IFERROR(__xludf.DUMMYFUNCTION("""COMPUTED_VALUE"""),"firstName")</f>
        <v>firstName</v>
      </c>
      <c r="D1" s="1" t="str">
        <f>IFERROR(__xludf.DUMMYFUNCTION("""COMPUTED_VALUE"""),"lastName")</f>
        <v>lastName</v>
      </c>
      <c r="E1" s="1" t="str">
        <f>IFERROR(__xludf.DUMMYFUNCTION("""COMPUTED_VALUE"""),"comment")</f>
        <v>comment</v>
      </c>
      <c r="F1" s="1" t="str">
        <f>IFERROR(__xludf.DUMMYFUNCTION("""COMPUTED_VALUE"""),"reactionCount")</f>
        <v>reactionCount</v>
      </c>
      <c r="G1" s="1" t="str">
        <f>IFERROR(__xludf.DUMMYFUNCTION("""COMPUTED_VALUE"""),"commentDate")</f>
        <v>commentDate</v>
      </c>
      <c r="H1" s="1" t="str">
        <f>IFERROR(__xludf.DUMMYFUNCTION("""COMPUTED_VALUE"""),"type")</f>
        <v>type</v>
      </c>
      <c r="I1" s="1" t="str">
        <f>IFERROR(__xludf.DUMMYFUNCTION("""COMPUTED_VALUE"""),"query")</f>
        <v>query</v>
      </c>
      <c r="J1" s="1" t="str">
        <f>IFERROR(__xludf.DUMMYFUNCTION("""COMPUTED_VALUE"""),"timestamp")</f>
        <v>timestamp</v>
      </c>
      <c r="K1" s="1" t="str">
        <f>IFERROR(__xludf.DUMMYFUNCTION("""COMPUTED_VALUE"""),"error")</f>
        <v>error</v>
      </c>
    </row>
    <row r="2">
      <c r="A2" s="2" t="str">
        <f>IFERROR(__xludf.DUMMYFUNCTION("""COMPUTED_VALUE"""),"https://www.facebook.com/angie.t.carlsen")</f>
        <v>https://www.facebook.com/angie.t.carlsen</v>
      </c>
      <c r="B2" s="1" t="str">
        <f>IFERROR(__xludf.DUMMYFUNCTION("""COMPUTED_VALUE"""),"Angie Tan Carlsen")</f>
        <v>Angie Tan Carlsen</v>
      </c>
      <c r="C2" s="1" t="str">
        <f>IFERROR(__xludf.DUMMYFUNCTION("""COMPUTED_VALUE"""),"Angie")</f>
        <v>Angie</v>
      </c>
      <c r="D2" s="1" t="str">
        <f>IFERROR(__xludf.DUMMYFUNCTION("""COMPUTED_VALUE"""),"Tan Carlsen")</f>
        <v>Tan Carlsen</v>
      </c>
      <c r="E2" s="1" t="str">
        <f>IFERROR(__xludf.DUMMYFUNCTION("""COMPUTED_VALUE"""),"I wouldn’t say the same for the candidates. Hindi na nga makashow up sa debate, rain pa kaya.")</f>
        <v>I wouldn’t say the same for the candidates. Hindi na nga makashow up sa debate, rain pa kaya.</v>
      </c>
      <c r="F2" s="1">
        <f>IFERROR(__xludf.DUMMYFUNCTION("""COMPUTED_VALUE"""),50.0)</f>
        <v>50</v>
      </c>
      <c r="G2" s="1" t="str">
        <f>IFERROR(__xludf.DUMMYFUNCTION("""COMPUTED_VALUE"""),"3 mos")</f>
        <v>3 mos</v>
      </c>
      <c r="H2" s="1" t="str">
        <f>IFERROR(__xludf.DUMMYFUNCTION("""COMPUTED_VALUE"""),"comment")</f>
        <v>comment</v>
      </c>
      <c r="I2" s="2" t="str">
        <f>IFERROR(__xludf.DUMMYFUNCTION("""COMPUTED_VALUE"""),"https://www.facebook.com/rapplerdotcom/posts/pfbid0DUh4iFcrxZuR1UbiGhcAHcMdzsaV29GSeHCY1HabtqcnUWkjStX9TDaVqzzt92GDl")</f>
        <v>https://www.facebook.com/rapplerdotcom/posts/pfbid0DUh4iFcrxZuR1UbiGhcAHcMdzsaV29GSeHCY1HabtqcnUWkjStX9TDaVqzzt92GDl</v>
      </c>
      <c r="J2" s="1" t="str">
        <f>IFERROR(__xludf.DUMMYFUNCTION("""COMPUTED_VALUE"""),"2022-07-04T11:08:02.658Z")</f>
        <v>2022-07-04T11:08:02.658Z</v>
      </c>
      <c r="K2" s="1"/>
    </row>
    <row r="3">
      <c r="A3" s="2" t="str">
        <f>IFERROR(__xludf.DUMMYFUNCTION("""COMPUTED_VALUE"""),"https://www.facebook.com/agripina.timbrezabellobrillantes")</f>
        <v>https://www.facebook.com/agripina.timbrezabellobrillantes</v>
      </c>
      <c r="B3" s="1" t="str">
        <f>IFERROR(__xludf.DUMMYFUNCTION("""COMPUTED_VALUE"""),"Agripina Timbreza Bello Brillantes")</f>
        <v>Agripina Timbreza Bello Brillantes</v>
      </c>
      <c r="C3" s="1" t="str">
        <f>IFERROR(__xludf.DUMMYFUNCTION("""COMPUTED_VALUE"""),"Agripina")</f>
        <v>Agripina</v>
      </c>
      <c r="D3" s="1" t="str">
        <f>IFERROR(__xludf.DUMMYFUNCTION("""COMPUTED_VALUE"""),"Timbreza Bello Brillantes")</f>
        <v>Timbreza Bello Brillantes</v>
      </c>
      <c r="E3" s="1" t="str">
        <f>IFERROR(__xludf.DUMMYFUNCTION("""COMPUTED_VALUE"""),"Angie Tan Carlsen So yong tatlo na always nagshow up sa debate kayang  magpaulan.🤣🤣🤣🤣")</f>
        <v>Angie Tan Carlsen So yong tatlo na always nagshow up sa debate kayang  magpaulan.🤣🤣🤣🤣</v>
      </c>
      <c r="F3" s="1">
        <f>IFERROR(__xludf.DUMMYFUNCTION("""COMPUTED_VALUE"""),3.0)</f>
        <v>3</v>
      </c>
      <c r="G3" s="1" t="str">
        <f>IFERROR(__xludf.DUMMYFUNCTION("""COMPUTED_VALUE"""),"3 mos")</f>
        <v>3 mos</v>
      </c>
      <c r="H3" s="1" t="str">
        <f>IFERROR(__xludf.DUMMYFUNCTION("""COMPUTED_VALUE"""),"reply")</f>
        <v>reply</v>
      </c>
      <c r="I3" s="2" t="str">
        <f>IFERROR(__xludf.DUMMYFUNCTION("""COMPUTED_VALUE"""),"https://www.facebook.com/rapplerdotcom/posts/pfbid0DUh4iFcrxZuR1UbiGhcAHcMdzsaV29GSeHCY1HabtqcnUWkjStX9TDaVqzzt92GDl")</f>
        <v>https://www.facebook.com/rapplerdotcom/posts/pfbid0DUh4iFcrxZuR1UbiGhcAHcMdzsaV29GSeHCY1HabtqcnUWkjStX9TDaVqzzt92GDl</v>
      </c>
      <c r="J3" s="1" t="str">
        <f>IFERROR(__xludf.DUMMYFUNCTION("""COMPUTED_VALUE"""),"2022-07-04T11:08:02.658Z")</f>
        <v>2022-07-04T11:08:02.658Z</v>
      </c>
      <c r="K3" s="1"/>
    </row>
    <row r="4">
      <c r="A4" s="2" t="str">
        <f>IFERROR(__xludf.DUMMYFUNCTION("""COMPUTED_VALUE"""),"https://www.facebook.com/janjan.sugang")</f>
        <v>https://www.facebook.com/janjan.sugang</v>
      </c>
      <c r="B4" s="1" t="str">
        <f>IFERROR(__xludf.DUMMYFUNCTION("""COMPUTED_VALUE"""),"Sug-ang Remix")</f>
        <v>Sug-ang Remix</v>
      </c>
      <c r="C4" s="1" t="str">
        <f>IFERROR(__xludf.DUMMYFUNCTION("""COMPUTED_VALUE"""),"Sug-ang")</f>
        <v>Sug-ang</v>
      </c>
      <c r="D4" s="1" t="str">
        <f>IFERROR(__xludf.DUMMYFUNCTION("""COMPUTED_VALUE"""),"Remix")</f>
        <v>Remix</v>
      </c>
      <c r="E4" s="1" t="str">
        <f>IFERROR(__xludf.DUMMYFUNCTION("""COMPUTED_VALUE"""),"Angie Tan Carlsen Ikaw baka gusto mong sumali sa debate go")</f>
        <v>Angie Tan Carlsen Ikaw baka gusto mong sumali sa debate go</v>
      </c>
      <c r="F4" s="1"/>
      <c r="G4" s="1" t="str">
        <f>IFERROR(__xludf.DUMMYFUNCTION("""COMPUTED_VALUE"""),"3 mos")</f>
        <v>3 mos</v>
      </c>
      <c r="H4" s="1" t="str">
        <f>IFERROR(__xludf.DUMMYFUNCTION("""COMPUTED_VALUE"""),"reply")</f>
        <v>reply</v>
      </c>
      <c r="I4" s="2" t="str">
        <f>IFERROR(__xludf.DUMMYFUNCTION("""COMPUTED_VALUE"""),"https://www.facebook.com/rapplerdotcom/posts/pfbid0DUh4iFcrxZuR1UbiGhcAHcMdzsaV29GSeHCY1HabtqcnUWkjStX9TDaVqzzt92GDl")</f>
        <v>https://www.facebook.com/rapplerdotcom/posts/pfbid0DUh4iFcrxZuR1UbiGhcAHcMdzsaV29GSeHCY1HabtqcnUWkjStX9TDaVqzzt92GDl</v>
      </c>
      <c r="J4" s="1" t="str">
        <f>IFERROR(__xludf.DUMMYFUNCTION("""COMPUTED_VALUE"""),"2022-07-04T11:08:02.658Z")</f>
        <v>2022-07-04T11:08:02.658Z</v>
      </c>
      <c r="K4" s="1"/>
    </row>
    <row r="5">
      <c r="A5" s="2" t="str">
        <f>IFERROR(__xludf.DUMMYFUNCTION("""COMPUTED_VALUE"""),"https://www.facebook.com/rico.sanyo.7")</f>
        <v>https://www.facebook.com/rico.sanyo.7</v>
      </c>
      <c r="B5" s="1" t="str">
        <f>IFERROR(__xludf.DUMMYFUNCTION("""COMPUTED_VALUE"""),"Rico Sanyo")</f>
        <v>Rico Sanyo</v>
      </c>
      <c r="C5" s="1" t="str">
        <f>IFERROR(__xludf.DUMMYFUNCTION("""COMPUTED_VALUE"""),"Rico")</f>
        <v>Rico</v>
      </c>
      <c r="D5" s="1" t="str">
        <f>IFERROR(__xludf.DUMMYFUNCTION("""COMPUTED_VALUE"""),"Sanyo")</f>
        <v>Sanyo</v>
      </c>
      <c r="E5" s="1" t="str">
        <f>IFERROR(__xludf.DUMMYFUNCTION("""COMPUTED_VALUE"""),"Angie Tan Carlsen tana")</f>
        <v>Angie Tan Carlsen tana</v>
      </c>
      <c r="F5" s="1"/>
      <c r="G5" s="1" t="str">
        <f>IFERROR(__xludf.DUMMYFUNCTION("""COMPUTED_VALUE"""),"3 mos")</f>
        <v>3 mos</v>
      </c>
      <c r="H5" s="1" t="str">
        <f>IFERROR(__xludf.DUMMYFUNCTION("""COMPUTED_VALUE"""),"reply")</f>
        <v>reply</v>
      </c>
      <c r="I5" s="2" t="str">
        <f>IFERROR(__xludf.DUMMYFUNCTION("""COMPUTED_VALUE"""),"https://www.facebook.com/rapplerdotcom/posts/pfbid0DUh4iFcrxZuR1UbiGhcAHcMdzsaV29GSeHCY1HabtqcnUWkjStX9TDaVqzzt92GDl")</f>
        <v>https://www.facebook.com/rapplerdotcom/posts/pfbid0DUh4iFcrxZuR1UbiGhcAHcMdzsaV29GSeHCY1HabtqcnUWkjStX9TDaVqzzt92GDl</v>
      </c>
      <c r="J5" s="1" t="str">
        <f>IFERROR(__xludf.DUMMYFUNCTION("""COMPUTED_VALUE"""),"2022-07-04T11:08:02.658Z")</f>
        <v>2022-07-04T11:08:02.658Z</v>
      </c>
      <c r="K5" s="1"/>
    </row>
    <row r="6">
      <c r="A6" s="2" t="str">
        <f>IFERROR(__xludf.DUMMYFUNCTION("""COMPUTED_VALUE"""),"https://www.facebook.com/aqoucii.makmak")</f>
        <v>https://www.facebook.com/aqoucii.makmak</v>
      </c>
      <c r="B6" s="1" t="str">
        <f>IFERROR(__xludf.DUMMYFUNCTION("""COMPUTED_VALUE"""),"Makmak Sepi Panalunsong")</f>
        <v>Makmak Sepi Panalunsong</v>
      </c>
      <c r="C6" s="1" t="str">
        <f>IFERROR(__xludf.DUMMYFUNCTION("""COMPUTED_VALUE"""),"Makmak")</f>
        <v>Makmak</v>
      </c>
      <c r="D6" s="1" t="str">
        <f>IFERROR(__xludf.DUMMYFUNCTION("""COMPUTED_VALUE"""),"Sepi Panalunsong")</f>
        <v>Sepi Panalunsong</v>
      </c>
      <c r="E6" s="1" t="str">
        <f>IFERROR(__xludf.DUMMYFUNCTION("""COMPUTED_VALUE"""),"Angie Tan Carlsen ambabaw ng utak neto")</f>
        <v>Angie Tan Carlsen ambabaw ng utak neto</v>
      </c>
      <c r="F6" s="1"/>
      <c r="G6" s="1" t="str">
        <f>IFERROR(__xludf.DUMMYFUNCTION("""COMPUTED_VALUE"""),"3 mos")</f>
        <v>3 mos</v>
      </c>
      <c r="H6" s="1" t="str">
        <f>IFERROR(__xludf.DUMMYFUNCTION("""COMPUTED_VALUE"""),"reply")</f>
        <v>reply</v>
      </c>
      <c r="I6" s="2" t="str">
        <f>IFERROR(__xludf.DUMMYFUNCTION("""COMPUTED_VALUE"""),"https://www.facebook.com/rapplerdotcom/posts/pfbid0DUh4iFcrxZuR1UbiGhcAHcMdzsaV29GSeHCY1HabtqcnUWkjStX9TDaVqzzt92GDl")</f>
        <v>https://www.facebook.com/rapplerdotcom/posts/pfbid0DUh4iFcrxZuR1UbiGhcAHcMdzsaV29GSeHCY1HabtqcnUWkjStX9TDaVqzzt92GDl</v>
      </c>
      <c r="J6" s="1" t="str">
        <f>IFERROR(__xludf.DUMMYFUNCTION("""COMPUTED_VALUE"""),"2022-07-04T11:08:02.658Z")</f>
        <v>2022-07-04T11:08:02.658Z</v>
      </c>
      <c r="K6" s="1"/>
    </row>
    <row r="7">
      <c r="A7" s="2" t="str">
        <f>IFERROR(__xludf.DUMMYFUNCTION("""COMPUTED_VALUE"""),"https://www.facebook.com/profile.php?id=100073334618156")</f>
        <v>https://www.facebook.com/profile.php?id=100073334618156</v>
      </c>
      <c r="B7" s="1" t="str">
        <f>IFERROR(__xludf.DUMMYFUNCTION("""COMPUTED_VALUE"""),"Sonia Madlangbayan")</f>
        <v>Sonia Madlangbayan</v>
      </c>
      <c r="C7" s="1" t="str">
        <f>IFERROR(__xludf.DUMMYFUNCTION("""COMPUTED_VALUE"""),"Sonia")</f>
        <v>Sonia</v>
      </c>
      <c r="D7" s="1" t="str">
        <f>IFERROR(__xludf.DUMMYFUNCTION("""COMPUTED_VALUE"""),"Madlangbayan")</f>
        <v>Madlangbayan</v>
      </c>
      <c r="E7" s="1" t="str">
        <f>IFERROR(__xludf.DUMMYFUNCTION("""COMPUTED_VALUE"""),"Agripina Timbreza Bello Brillantes hindi lng ulan, kahit harangan man at sumakay sa sidecar gagawin makarating lng, kahit bigla bigla ang ipabungkal ng kalye dadating, itanong mo k Gob. Remulla")</f>
        <v>Agripina Timbreza Bello Brillantes hindi lng ulan, kahit harangan man at sumakay sa sidecar gagawin makarating lng, kahit bigla bigla ang ipabungkal ng kalye dadating, itanong mo k Gob. Remulla</v>
      </c>
      <c r="F7" s="1">
        <f>IFERROR(__xludf.DUMMYFUNCTION("""COMPUTED_VALUE"""),6.0)</f>
        <v>6</v>
      </c>
      <c r="G7" s="1" t="str">
        <f>IFERROR(__xludf.DUMMYFUNCTION("""COMPUTED_VALUE"""),"3 mos")</f>
        <v>3 mos</v>
      </c>
      <c r="H7" s="1" t="str">
        <f>IFERROR(__xludf.DUMMYFUNCTION("""COMPUTED_VALUE"""),"reply")</f>
        <v>reply</v>
      </c>
      <c r="I7" s="2" t="str">
        <f>IFERROR(__xludf.DUMMYFUNCTION("""COMPUTED_VALUE"""),"https://www.facebook.com/rapplerdotcom/posts/pfbid0DUh4iFcrxZuR1UbiGhcAHcMdzsaV29GSeHCY1HabtqcnUWkjStX9TDaVqzzt92GDl")</f>
        <v>https://www.facebook.com/rapplerdotcom/posts/pfbid0DUh4iFcrxZuR1UbiGhcAHcMdzsaV29GSeHCY1HabtqcnUWkjStX9TDaVqzzt92GDl</v>
      </c>
      <c r="J7" s="1" t="str">
        <f>IFERROR(__xludf.DUMMYFUNCTION("""COMPUTED_VALUE"""),"2022-07-04T11:08:02.658Z")</f>
        <v>2022-07-04T11:08:02.658Z</v>
      </c>
      <c r="K7" s="1"/>
    </row>
    <row r="8">
      <c r="A8" s="2" t="str">
        <f>IFERROR(__xludf.DUMMYFUNCTION("""COMPUTED_VALUE"""),"https://www.facebook.com/jellyanzerauj")</f>
        <v>https://www.facebook.com/jellyanzerauj</v>
      </c>
      <c r="B8" s="1" t="str">
        <f>IFERROR(__xludf.DUMMYFUNCTION("""COMPUTED_VALUE"""),"Jelly Mae Juarez")</f>
        <v>Jelly Mae Juarez</v>
      </c>
      <c r="C8" s="1" t="str">
        <f>IFERROR(__xludf.DUMMYFUNCTION("""COMPUTED_VALUE"""),"Jelly")</f>
        <v>Jelly</v>
      </c>
      <c r="D8" s="1" t="str">
        <f>IFERROR(__xludf.DUMMYFUNCTION("""COMPUTED_VALUE"""),"Mae Juarez")</f>
        <v>Mae Juarez</v>
      </c>
      <c r="E8" s="1" t="str">
        <f>IFERROR(__xludf.DUMMYFUNCTION("""COMPUTED_VALUE"""),"Angie Tan Carlsen wala daw sila pake sayo😂")</f>
        <v>Angie Tan Carlsen wala daw sila pake sayo😂</v>
      </c>
      <c r="F8" s="1"/>
      <c r="G8" s="1" t="str">
        <f>IFERROR(__xludf.DUMMYFUNCTION("""COMPUTED_VALUE"""),"3 mos")</f>
        <v>3 mos</v>
      </c>
      <c r="H8" s="1" t="str">
        <f>IFERROR(__xludf.DUMMYFUNCTION("""COMPUTED_VALUE"""),"reply")</f>
        <v>reply</v>
      </c>
      <c r="I8" s="2" t="str">
        <f>IFERROR(__xludf.DUMMYFUNCTION("""COMPUTED_VALUE"""),"https://www.facebook.com/rapplerdotcom/posts/pfbid0DUh4iFcrxZuR1UbiGhcAHcMdzsaV29GSeHCY1HabtqcnUWkjStX9TDaVqzzt92GDl")</f>
        <v>https://www.facebook.com/rapplerdotcom/posts/pfbid0DUh4iFcrxZuR1UbiGhcAHcMdzsaV29GSeHCY1HabtqcnUWkjStX9TDaVqzzt92GDl</v>
      </c>
      <c r="J8" s="1" t="str">
        <f>IFERROR(__xludf.DUMMYFUNCTION("""COMPUTED_VALUE"""),"2022-07-04T11:08:02.658Z")</f>
        <v>2022-07-04T11:08:02.658Z</v>
      </c>
      <c r="K8" s="1"/>
    </row>
    <row r="9">
      <c r="A9" s="2" t="str">
        <f>IFERROR(__xludf.DUMMYFUNCTION("""COMPUTED_VALUE"""),"https://www.facebook.com/berlanie18")</f>
        <v>https://www.facebook.com/berlanie18</v>
      </c>
      <c r="B9" s="1" t="str">
        <f>IFERROR(__xludf.DUMMYFUNCTION("""COMPUTED_VALUE"""),"Maliya Ortsac")</f>
        <v>Maliya Ortsac</v>
      </c>
      <c r="C9" s="1" t="str">
        <f>IFERROR(__xludf.DUMMYFUNCTION("""COMPUTED_VALUE"""),"Maliya")</f>
        <v>Maliya</v>
      </c>
      <c r="D9" s="1" t="str">
        <f>IFERROR(__xludf.DUMMYFUNCTION("""COMPUTED_VALUE"""),"Ortsac")</f>
        <v>Ortsac</v>
      </c>
      <c r="E9" s="1" t="str">
        <f>IFERROR(__xludf.DUMMYFUNCTION("""COMPUTED_VALUE"""),"Angie Tan Carlsen hahahaha look who's talking debate na may advance question! hahaha ayaw nila doon kay prof. clarita patawa ka rin ano! hilom oi")</f>
        <v>Angie Tan Carlsen hahahaha look who's talking debate na may advance question! hahaha ayaw nila doon kay prof. clarita patawa ka rin ano! hilom oi</v>
      </c>
      <c r="F9" s="1"/>
      <c r="G9" s="1" t="str">
        <f>IFERROR(__xludf.DUMMYFUNCTION("""COMPUTED_VALUE"""),"3 mos")</f>
        <v>3 mos</v>
      </c>
      <c r="H9" s="1" t="str">
        <f>IFERROR(__xludf.DUMMYFUNCTION("""COMPUTED_VALUE"""),"reply")</f>
        <v>reply</v>
      </c>
      <c r="I9" s="2" t="str">
        <f>IFERROR(__xludf.DUMMYFUNCTION("""COMPUTED_VALUE"""),"https://www.facebook.com/rapplerdotcom/posts/pfbid0DUh4iFcrxZuR1UbiGhcAHcMdzsaV29GSeHCY1HabtqcnUWkjStX9TDaVqzzt92GDl")</f>
        <v>https://www.facebook.com/rapplerdotcom/posts/pfbid0DUh4iFcrxZuR1UbiGhcAHcMdzsaV29GSeHCY1HabtqcnUWkjStX9TDaVqzzt92GDl</v>
      </c>
      <c r="J9" s="1" t="str">
        <f>IFERROR(__xludf.DUMMYFUNCTION("""COMPUTED_VALUE"""),"2022-07-04T11:08:02.658Z")</f>
        <v>2022-07-04T11:08:02.658Z</v>
      </c>
      <c r="K9" s="1"/>
    </row>
    <row r="10">
      <c r="A10" s="2" t="str">
        <f>IFERROR(__xludf.DUMMYFUNCTION("""COMPUTED_VALUE"""),"https://www.facebook.com/carrie.carisma")</f>
        <v>https://www.facebook.com/carrie.carisma</v>
      </c>
      <c r="B10" s="1" t="str">
        <f>IFERROR(__xludf.DUMMYFUNCTION("""COMPUTED_VALUE"""),"Cacay Amsirac")</f>
        <v>Cacay Amsirac</v>
      </c>
      <c r="C10" s="1" t="str">
        <f>IFERROR(__xludf.DUMMYFUNCTION("""COMPUTED_VALUE"""),"Cacay")</f>
        <v>Cacay</v>
      </c>
      <c r="D10" s="1" t="str">
        <f>IFERROR(__xludf.DUMMYFUNCTION("""COMPUTED_VALUE"""),"Amsirac")</f>
        <v>Amsirac</v>
      </c>
      <c r="E10" s="1" t="str">
        <f>IFERROR(__xludf.DUMMYFUNCTION("""COMPUTED_VALUE"""),"Finally, dinagdagan na at kasama sa  bayad  ang mabasa sa ulan para hindi magsiuwian. 😁😁😁")</f>
        <v>Finally, dinagdagan na at kasama sa  bayad  ang mabasa sa ulan para hindi magsiuwian. 😁😁😁</v>
      </c>
      <c r="F10" s="1">
        <f>IFERROR(__xludf.DUMMYFUNCTION("""COMPUTED_VALUE"""),5.0)</f>
        <v>5</v>
      </c>
      <c r="G10" s="1" t="str">
        <f>IFERROR(__xludf.DUMMYFUNCTION("""COMPUTED_VALUE"""),"3 mos")</f>
        <v>3 mos</v>
      </c>
      <c r="H10" s="1" t="str">
        <f>IFERROR(__xludf.DUMMYFUNCTION("""COMPUTED_VALUE"""),"comment")</f>
        <v>comment</v>
      </c>
      <c r="I10"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 s="1" t="str">
        <f>IFERROR(__xludf.DUMMYFUNCTION("""COMPUTED_VALUE"""),"2022-07-04T11:08:02.658Z")</f>
        <v>2022-07-04T11:08:02.658Z</v>
      </c>
      <c r="K10" s="1"/>
    </row>
    <row r="11">
      <c r="A11" s="2" t="str">
        <f>IFERROR(__xludf.DUMMYFUNCTION("""COMPUTED_VALUE"""),"https://www.facebook.com/emerita.sacluti")</f>
        <v>https://www.facebook.com/emerita.sacluti</v>
      </c>
      <c r="B11" s="1" t="str">
        <f>IFERROR(__xludf.DUMMYFUNCTION("""COMPUTED_VALUE"""),"Basilio Sacluti")</f>
        <v>Basilio Sacluti</v>
      </c>
      <c r="C11" s="1" t="str">
        <f>IFERROR(__xludf.DUMMYFUNCTION("""COMPUTED_VALUE"""),"Basilio")</f>
        <v>Basilio</v>
      </c>
      <c r="D11" s="1" t="str">
        <f>IFERROR(__xludf.DUMMYFUNCTION("""COMPUTED_VALUE"""),"Sacluti")</f>
        <v>Sacluti</v>
      </c>
      <c r="E11" s="1" t="str">
        <f>IFERROR(__xludf.DUMMYFUNCTION("""COMPUTED_VALUE"""),"It’s the money that make them anxious to see him.")</f>
        <v>It’s the money that make them anxious to see him.</v>
      </c>
      <c r="F11" s="1">
        <f>IFERROR(__xludf.DUMMYFUNCTION("""COMPUTED_VALUE"""),179.0)</f>
        <v>179</v>
      </c>
      <c r="G11" s="1" t="str">
        <f>IFERROR(__xludf.DUMMYFUNCTION("""COMPUTED_VALUE"""),"3 mos")</f>
        <v>3 mos</v>
      </c>
      <c r="H11" s="1" t="str">
        <f>IFERROR(__xludf.DUMMYFUNCTION("""COMPUTED_VALUE"""),"comment")</f>
        <v>comment</v>
      </c>
      <c r="I11" s="2" t="str">
        <f>IFERROR(__xludf.DUMMYFUNCTION("""COMPUTED_VALUE"""),"https://www.facebook.com/rapplerdotcom/posts/pfbid0DUh4iFcrxZuR1UbiGhcAHcMdzsaV29GSeHCY1HabtqcnUWkjStX9TDaVqzzt92GDl")</f>
        <v>https://www.facebook.com/rapplerdotcom/posts/pfbid0DUh4iFcrxZuR1UbiGhcAHcMdzsaV29GSeHCY1HabtqcnUWkjStX9TDaVqzzt92GDl</v>
      </c>
      <c r="J11" s="1" t="str">
        <f>IFERROR(__xludf.DUMMYFUNCTION("""COMPUTED_VALUE"""),"2022-07-04T11:08:02.658Z")</f>
        <v>2022-07-04T11:08:02.658Z</v>
      </c>
      <c r="K11" s="1"/>
    </row>
    <row r="12">
      <c r="A12" s="2" t="str">
        <f>IFERROR(__xludf.DUMMYFUNCTION("""COMPUTED_VALUE"""),"https://www.facebook.com/ronmsalvador")</f>
        <v>https://www.facebook.com/ronmsalvador</v>
      </c>
      <c r="B12" s="1" t="str">
        <f>IFERROR(__xludf.DUMMYFUNCTION("""COMPUTED_VALUE"""),"Ron Salvador")</f>
        <v>Ron Salvador</v>
      </c>
      <c r="C12" s="1" t="str">
        <f>IFERROR(__xludf.DUMMYFUNCTION("""COMPUTED_VALUE"""),"Ron")</f>
        <v>Ron</v>
      </c>
      <c r="D12" s="1" t="str">
        <f>IFERROR(__xludf.DUMMYFUNCTION("""COMPUTED_VALUE"""),"Salvador")</f>
        <v>Salvador</v>
      </c>
      <c r="E12" s="1" t="str">
        <f>IFERROR(__xludf.DUMMYFUNCTION("""COMPUTED_VALUE"""),"Joi D Avril tallano gold or yamashita treasure?")</f>
        <v>Joi D Avril tallano gold or yamashita treasure?</v>
      </c>
      <c r="F12" s="1"/>
      <c r="G12" s="1" t="str">
        <f>IFERROR(__xludf.DUMMYFUNCTION("""COMPUTED_VALUE"""),"3 mos")</f>
        <v>3 mos</v>
      </c>
      <c r="H12" s="1" t="str">
        <f>IFERROR(__xludf.DUMMYFUNCTION("""COMPUTED_VALUE"""),"reply")</f>
        <v>reply</v>
      </c>
      <c r="I12" s="2" t="str">
        <f>IFERROR(__xludf.DUMMYFUNCTION("""COMPUTED_VALUE"""),"https://www.facebook.com/rapplerdotcom/posts/pfbid0DUh4iFcrxZuR1UbiGhcAHcMdzsaV29GSeHCY1HabtqcnUWkjStX9TDaVqzzt92GDl")</f>
        <v>https://www.facebook.com/rapplerdotcom/posts/pfbid0DUh4iFcrxZuR1UbiGhcAHcMdzsaV29GSeHCY1HabtqcnUWkjStX9TDaVqzzt92GDl</v>
      </c>
      <c r="J12" s="1" t="str">
        <f>IFERROR(__xludf.DUMMYFUNCTION("""COMPUTED_VALUE"""),"2022-07-04T11:08:02.658Z")</f>
        <v>2022-07-04T11:08:02.658Z</v>
      </c>
      <c r="K12" s="1"/>
    </row>
    <row r="13">
      <c r="A13" s="2" t="str">
        <f>IFERROR(__xludf.DUMMYFUNCTION("""COMPUTED_VALUE"""),"https://www.facebook.com/oliver.susano")</f>
        <v>https://www.facebook.com/oliver.susano</v>
      </c>
      <c r="B13" s="1" t="str">
        <f>IFERROR(__xludf.DUMMYFUNCTION("""COMPUTED_VALUE"""),"Oliver Susano")</f>
        <v>Oliver Susano</v>
      </c>
      <c r="C13" s="1" t="str">
        <f>IFERROR(__xludf.DUMMYFUNCTION("""COMPUTED_VALUE"""),"Oliver")</f>
        <v>Oliver</v>
      </c>
      <c r="D13" s="1" t="str">
        <f>IFERROR(__xludf.DUMMYFUNCTION("""COMPUTED_VALUE"""),"Susano")</f>
        <v>Susano</v>
      </c>
      <c r="E13" s="1" t="str">
        <f>IFERROR(__xludf.DUMMYFUNCTION("""COMPUTED_VALUE"""),"Basilio Sacluti proof?")</f>
        <v>Basilio Sacluti proof?</v>
      </c>
      <c r="F13" s="1"/>
      <c r="G13" s="1" t="str">
        <f>IFERROR(__xludf.DUMMYFUNCTION("""COMPUTED_VALUE"""),"3 mos")</f>
        <v>3 mos</v>
      </c>
      <c r="H13" s="1" t="str">
        <f>IFERROR(__xludf.DUMMYFUNCTION("""COMPUTED_VALUE"""),"reply")</f>
        <v>reply</v>
      </c>
      <c r="I13" s="2" t="str">
        <f>IFERROR(__xludf.DUMMYFUNCTION("""COMPUTED_VALUE"""),"https://www.facebook.com/rapplerdotcom/posts/pfbid0DUh4iFcrxZuR1UbiGhcAHcMdzsaV29GSeHCY1HabtqcnUWkjStX9TDaVqzzt92GDl")</f>
        <v>https://www.facebook.com/rapplerdotcom/posts/pfbid0DUh4iFcrxZuR1UbiGhcAHcMdzsaV29GSeHCY1HabtqcnUWkjStX9TDaVqzzt92GDl</v>
      </c>
      <c r="J13" s="1" t="str">
        <f>IFERROR(__xludf.DUMMYFUNCTION("""COMPUTED_VALUE"""),"2022-07-04T11:08:02.658Z")</f>
        <v>2022-07-04T11:08:02.658Z</v>
      </c>
      <c r="K13" s="1"/>
    </row>
    <row r="14">
      <c r="A14" s="2" t="str">
        <f>IFERROR(__xludf.DUMMYFUNCTION("""COMPUTED_VALUE"""),"https://www.facebook.com/rdsarmiento1")</f>
        <v>https://www.facebook.com/rdsarmiento1</v>
      </c>
      <c r="B14" s="1" t="str">
        <f>IFERROR(__xludf.DUMMYFUNCTION("""COMPUTED_VALUE"""),"Robert Duran Sarmiento")</f>
        <v>Robert Duran Sarmiento</v>
      </c>
      <c r="C14" s="1" t="str">
        <f>IFERROR(__xludf.DUMMYFUNCTION("""COMPUTED_VALUE"""),"Robert")</f>
        <v>Robert</v>
      </c>
      <c r="D14" s="1" t="str">
        <f>IFERROR(__xludf.DUMMYFUNCTION("""COMPUTED_VALUE"""),"Duran Sarmiento")</f>
        <v>Duran Sarmiento</v>
      </c>
      <c r="E14" s="1" t="str">
        <f>IFERROR(__xludf.DUMMYFUNCTION("""COMPUTED_VALUE"""),"Basilio Sacluti so true, i think. 😁😁😁")</f>
        <v>Basilio Sacluti so true, i think. 😁😁😁</v>
      </c>
      <c r="F14" s="1">
        <f>IFERROR(__xludf.DUMMYFUNCTION("""COMPUTED_VALUE"""),5.0)</f>
        <v>5</v>
      </c>
      <c r="G14" s="1" t="str">
        <f>IFERROR(__xludf.DUMMYFUNCTION("""COMPUTED_VALUE"""),"3 mos")</f>
        <v>3 mos</v>
      </c>
      <c r="H14" s="1" t="str">
        <f>IFERROR(__xludf.DUMMYFUNCTION("""COMPUTED_VALUE"""),"reply")</f>
        <v>reply</v>
      </c>
      <c r="I14" s="2" t="str">
        <f>IFERROR(__xludf.DUMMYFUNCTION("""COMPUTED_VALUE"""),"https://www.facebook.com/rapplerdotcom/posts/pfbid0DUh4iFcrxZuR1UbiGhcAHcMdzsaV29GSeHCY1HabtqcnUWkjStX9TDaVqzzt92GDl")</f>
        <v>https://www.facebook.com/rapplerdotcom/posts/pfbid0DUh4iFcrxZuR1UbiGhcAHcMdzsaV29GSeHCY1HabtqcnUWkjStX9TDaVqzzt92GDl</v>
      </c>
      <c r="J14" s="1" t="str">
        <f>IFERROR(__xludf.DUMMYFUNCTION("""COMPUTED_VALUE"""),"2022-07-04T11:08:02.658Z")</f>
        <v>2022-07-04T11:08:02.658Z</v>
      </c>
      <c r="K14" s="1"/>
    </row>
    <row r="15">
      <c r="A15" s="2" t="str">
        <f>IFERROR(__xludf.DUMMYFUNCTION("""COMPUTED_VALUE"""),"https://www.facebook.com/julietamananquil")</f>
        <v>https://www.facebook.com/julietamananquil</v>
      </c>
      <c r="B15" s="1" t="str">
        <f>IFERROR(__xludf.DUMMYFUNCTION("""COMPUTED_VALUE"""),"Jhulz Mananquil")</f>
        <v>Jhulz Mananquil</v>
      </c>
      <c r="C15" s="1" t="str">
        <f>IFERROR(__xludf.DUMMYFUNCTION("""COMPUTED_VALUE"""),"Jhulz")</f>
        <v>Jhulz</v>
      </c>
      <c r="D15" s="1" t="str">
        <f>IFERROR(__xludf.DUMMYFUNCTION("""COMPUTED_VALUE"""),"Mananquil")</f>
        <v>Mananquil</v>
      </c>
      <c r="E15" s="1" t="str">
        <f>IFERROR(__xludf.DUMMYFUNCTION("""COMPUTED_VALUE"""),"That’s the reality of a good trapo hahaha old style kase si BabyM namana sa tatay na pilit nyang ginagaya. Ang layo naman nila tatay nya graduate ng UP at totoong may diploma eh sya ano bitbit nya PERA? O pera ng mga chuwariwa nya para manalo lang sya? Pa"&amp;"ra tuliy ang ligaya? Hahaha")</f>
        <v>That’s the reality of a good trapo hahaha old style kase si BabyM namana sa tatay na pilit nyang ginagaya. Ang layo naman nila tatay nya graduate ng UP at totoong may diploma eh sya ano bitbit nya PERA? O pera ng mga chuwariwa nya para manalo lang sya? Para tuliy ang ligaya? Hahaha</v>
      </c>
      <c r="F15" s="1">
        <f>IFERROR(__xludf.DUMMYFUNCTION("""COMPUTED_VALUE"""),13.0)</f>
        <v>13</v>
      </c>
      <c r="G15" s="1" t="str">
        <f>IFERROR(__xludf.DUMMYFUNCTION("""COMPUTED_VALUE"""),"3 mos")</f>
        <v>3 mos</v>
      </c>
      <c r="H15" s="1" t="str">
        <f>IFERROR(__xludf.DUMMYFUNCTION("""COMPUTED_VALUE"""),"reply")</f>
        <v>reply</v>
      </c>
      <c r="I15" s="2" t="str">
        <f>IFERROR(__xludf.DUMMYFUNCTION("""COMPUTED_VALUE"""),"https://www.facebook.com/rapplerdotcom/posts/pfbid0DUh4iFcrxZuR1UbiGhcAHcMdzsaV29GSeHCY1HabtqcnUWkjStX9TDaVqzzt92GDl")</f>
        <v>https://www.facebook.com/rapplerdotcom/posts/pfbid0DUh4iFcrxZuR1UbiGhcAHcMdzsaV29GSeHCY1HabtqcnUWkjStX9TDaVqzzt92GDl</v>
      </c>
      <c r="J15" s="1" t="str">
        <f>IFERROR(__xludf.DUMMYFUNCTION("""COMPUTED_VALUE"""),"2022-07-04T11:08:02.658Z")</f>
        <v>2022-07-04T11:08:02.658Z</v>
      </c>
      <c r="K15" s="1"/>
    </row>
    <row r="16">
      <c r="A16" s="2" t="str">
        <f>IFERROR(__xludf.DUMMYFUNCTION("""COMPUTED_VALUE"""),"https://www.facebook.com/jorelyn.salvador.7")</f>
        <v>https://www.facebook.com/jorelyn.salvador.7</v>
      </c>
      <c r="B16" s="1" t="str">
        <f>IFERROR(__xludf.DUMMYFUNCTION("""COMPUTED_VALUE"""),"Jorelyn Jamella Salvador")</f>
        <v>Jorelyn Jamella Salvador</v>
      </c>
      <c r="C16" s="1" t="str">
        <f>IFERROR(__xludf.DUMMYFUNCTION("""COMPUTED_VALUE"""),"Jorelyn")</f>
        <v>Jorelyn</v>
      </c>
      <c r="D16" s="1" t="str">
        <f>IFERROR(__xludf.DUMMYFUNCTION("""COMPUTED_VALUE"""),"Jamella Salvador")</f>
        <v>Jamella Salvador</v>
      </c>
      <c r="E16" s="1" t="str">
        <f>IFERROR(__xludf.DUMMYFUNCTION("""COMPUTED_VALUE"""),"Jhulz Mananquil Sure??")</f>
        <v>Jhulz Mananquil Sure??</v>
      </c>
      <c r="F16" s="1"/>
      <c r="G16" s="1" t="str">
        <f>IFERROR(__xludf.DUMMYFUNCTION("""COMPUTED_VALUE"""),"3 mos")</f>
        <v>3 mos</v>
      </c>
      <c r="H16" s="1" t="str">
        <f>IFERROR(__xludf.DUMMYFUNCTION("""COMPUTED_VALUE"""),"reply")</f>
        <v>reply</v>
      </c>
      <c r="I16" s="2" t="str">
        <f>IFERROR(__xludf.DUMMYFUNCTION("""COMPUTED_VALUE"""),"https://www.facebook.com/rapplerdotcom/posts/pfbid0DUh4iFcrxZuR1UbiGhcAHcMdzsaV29GSeHCY1HabtqcnUWkjStX9TDaVqzzt92GDl")</f>
        <v>https://www.facebook.com/rapplerdotcom/posts/pfbid0DUh4iFcrxZuR1UbiGhcAHcMdzsaV29GSeHCY1HabtqcnUWkjStX9TDaVqzzt92GDl</v>
      </c>
      <c r="J16" s="1" t="str">
        <f>IFERROR(__xludf.DUMMYFUNCTION("""COMPUTED_VALUE"""),"2022-07-04T11:08:02.658Z")</f>
        <v>2022-07-04T11:08:02.658Z</v>
      </c>
      <c r="K16" s="1"/>
    </row>
    <row r="17">
      <c r="A17" s="2" t="str">
        <f>IFERROR(__xludf.DUMMYFUNCTION("""COMPUTED_VALUE"""),"https://www.facebook.com/ju.nelle.3701")</f>
        <v>https://www.facebook.com/ju.nelle.3701</v>
      </c>
      <c r="B17" s="1" t="str">
        <f>IFERROR(__xludf.DUMMYFUNCTION("""COMPUTED_VALUE"""),"Brandon Bon")</f>
        <v>Brandon Bon</v>
      </c>
      <c r="C17" s="1" t="str">
        <f>IFERROR(__xludf.DUMMYFUNCTION("""COMPUTED_VALUE"""),"Brandon")</f>
        <v>Brandon</v>
      </c>
      <c r="D17" s="1" t="str">
        <f>IFERROR(__xludf.DUMMYFUNCTION("""COMPUTED_VALUE"""),"Bon")</f>
        <v>Bon</v>
      </c>
      <c r="E17" s="1" t="str">
        <f>IFERROR(__xludf.DUMMYFUNCTION("""COMPUTED_VALUE"""),"#cybercrime  #cyberbullying  #nbicybercrimeunit  #NBI")</f>
        <v>#cybercrime  #cyberbullying  #nbicybercrimeunit  #NBI</v>
      </c>
      <c r="F17" s="1"/>
      <c r="G17" s="1" t="str">
        <f>IFERROR(__xludf.DUMMYFUNCTION("""COMPUTED_VALUE"""),"3 mos")</f>
        <v>3 mos</v>
      </c>
      <c r="H17" s="1" t="str">
        <f>IFERROR(__xludf.DUMMYFUNCTION("""COMPUTED_VALUE"""),"reply")</f>
        <v>reply</v>
      </c>
      <c r="I17" s="2" t="str">
        <f>IFERROR(__xludf.DUMMYFUNCTION("""COMPUTED_VALUE"""),"https://www.facebook.com/rapplerdotcom/posts/pfbid0DUh4iFcrxZuR1UbiGhcAHcMdzsaV29GSeHCY1HabtqcnUWkjStX9TDaVqzzt92GDl")</f>
        <v>https://www.facebook.com/rapplerdotcom/posts/pfbid0DUh4iFcrxZuR1UbiGhcAHcMdzsaV29GSeHCY1HabtqcnUWkjStX9TDaVqzzt92GDl</v>
      </c>
      <c r="J17" s="1" t="str">
        <f>IFERROR(__xludf.DUMMYFUNCTION("""COMPUTED_VALUE"""),"2022-07-04T11:08:02.658Z")</f>
        <v>2022-07-04T11:08:02.658Z</v>
      </c>
      <c r="K17" s="1"/>
    </row>
    <row r="18">
      <c r="A18" s="2" t="str">
        <f>IFERROR(__xludf.DUMMYFUNCTION("""COMPUTED_VALUE"""),"https://www.facebook.com/eon.flux.33")</f>
        <v>https://www.facebook.com/eon.flux.33</v>
      </c>
      <c r="B18" s="1" t="str">
        <f>IFERROR(__xludf.DUMMYFUNCTION("""COMPUTED_VALUE"""),"Eon Flux")</f>
        <v>Eon Flux</v>
      </c>
      <c r="C18" s="1" t="str">
        <f>IFERROR(__xludf.DUMMYFUNCTION("""COMPUTED_VALUE"""),"Eon")</f>
        <v>Eon</v>
      </c>
      <c r="D18" s="1" t="str">
        <f>IFERROR(__xludf.DUMMYFUNCTION("""COMPUTED_VALUE"""),"Flux")</f>
        <v>Flux</v>
      </c>
      <c r="E18" s="1" t="str">
        <f>IFERROR(__xludf.DUMMYFUNCTION("""COMPUTED_VALUE"""),"Basilio Sacluti resibo?")</f>
        <v>Basilio Sacluti resibo?</v>
      </c>
      <c r="F18" s="1"/>
      <c r="G18" s="1" t="str">
        <f>IFERROR(__xludf.DUMMYFUNCTION("""COMPUTED_VALUE"""),"3 mos")</f>
        <v>3 mos</v>
      </c>
      <c r="H18" s="1" t="str">
        <f>IFERROR(__xludf.DUMMYFUNCTION("""COMPUTED_VALUE"""),"reply")</f>
        <v>reply</v>
      </c>
      <c r="I18" s="2" t="str">
        <f>IFERROR(__xludf.DUMMYFUNCTION("""COMPUTED_VALUE"""),"https://www.facebook.com/rapplerdotcom/posts/pfbid0DUh4iFcrxZuR1UbiGhcAHcMdzsaV29GSeHCY1HabtqcnUWkjStX9TDaVqzzt92GDl")</f>
        <v>https://www.facebook.com/rapplerdotcom/posts/pfbid0DUh4iFcrxZuR1UbiGhcAHcMdzsaV29GSeHCY1HabtqcnUWkjStX9TDaVqzzt92GDl</v>
      </c>
      <c r="J18" s="1" t="str">
        <f>IFERROR(__xludf.DUMMYFUNCTION("""COMPUTED_VALUE"""),"2022-07-04T11:08:02.658Z")</f>
        <v>2022-07-04T11:08:02.658Z</v>
      </c>
      <c r="K18" s="1"/>
    </row>
    <row r="19">
      <c r="A19" s="2" t="str">
        <f>IFERROR(__xludf.DUMMYFUNCTION("""COMPUTED_VALUE"""),"https://www.facebook.com/rogercasidsid.villanueva")</f>
        <v>https://www.facebook.com/rogercasidsid.villanueva</v>
      </c>
      <c r="B19" s="1" t="str">
        <f>IFERROR(__xludf.DUMMYFUNCTION("""COMPUTED_VALUE"""),"Ermalyn Pitua Villanueva")</f>
        <v>Ermalyn Pitua Villanueva</v>
      </c>
      <c r="C19" s="1" t="str">
        <f>IFERROR(__xludf.DUMMYFUNCTION("""COMPUTED_VALUE"""),"Ermalyn")</f>
        <v>Ermalyn</v>
      </c>
      <c r="D19" s="1" t="str">
        <f>IFERROR(__xludf.DUMMYFUNCTION("""COMPUTED_VALUE"""),"Pitua Villanueva")</f>
        <v>Pitua Villanueva</v>
      </c>
      <c r="E19" s="1" t="str">
        <f>IFERROR(__xludf.DUMMYFUNCTION("""COMPUTED_VALUE"""),"As if ung ibang kandidato sasabihing walang money involve!  Abunado pa kami!  2022 na oi.. Cge lang paglolokohin nyo mga sarili nyo!  #anghilignyomagmalinis")</f>
        <v>As if ung ibang kandidato sasabihing walang money involve!  Abunado pa kami!  2022 na oi.. Cge lang paglolokohin nyo mga sarili nyo!  #anghilignyomagmalinis</v>
      </c>
      <c r="F19" s="1">
        <f>IFERROR(__xludf.DUMMYFUNCTION("""COMPUTED_VALUE"""),1.0)</f>
        <v>1</v>
      </c>
      <c r="G19" s="1" t="str">
        <f>IFERROR(__xludf.DUMMYFUNCTION("""COMPUTED_VALUE"""),"3 mos")</f>
        <v>3 mos</v>
      </c>
      <c r="H19" s="1" t="str">
        <f>IFERROR(__xludf.DUMMYFUNCTION("""COMPUTED_VALUE"""),"reply")</f>
        <v>reply</v>
      </c>
      <c r="I19" s="2" t="str">
        <f>IFERROR(__xludf.DUMMYFUNCTION("""COMPUTED_VALUE"""),"https://www.facebook.com/rapplerdotcom/posts/pfbid0DUh4iFcrxZuR1UbiGhcAHcMdzsaV29GSeHCY1HabtqcnUWkjStX9TDaVqzzt92GDl")</f>
        <v>https://www.facebook.com/rapplerdotcom/posts/pfbid0DUh4iFcrxZuR1UbiGhcAHcMdzsaV29GSeHCY1HabtqcnUWkjStX9TDaVqzzt92GDl</v>
      </c>
      <c r="J19" s="1" t="str">
        <f>IFERROR(__xludf.DUMMYFUNCTION("""COMPUTED_VALUE"""),"2022-07-04T11:08:02.658Z")</f>
        <v>2022-07-04T11:08:02.658Z</v>
      </c>
      <c r="K19" s="1"/>
    </row>
    <row r="20">
      <c r="A20" s="2" t="str">
        <f>IFERROR(__xludf.DUMMYFUNCTION("""COMPUTED_VALUE"""),"https://www.facebook.com/alfredofabro.boking")</f>
        <v>https://www.facebook.com/alfredofabro.boking</v>
      </c>
      <c r="B20" s="1" t="str">
        <f>IFERROR(__xludf.DUMMYFUNCTION("""COMPUTED_VALUE"""),"Alfredo Fabro Boking")</f>
        <v>Alfredo Fabro Boking</v>
      </c>
      <c r="C20" s="1" t="str">
        <f>IFERROR(__xludf.DUMMYFUNCTION("""COMPUTED_VALUE"""),"Alfredo")</f>
        <v>Alfredo</v>
      </c>
      <c r="D20" s="1" t="str">
        <f>IFERROR(__xludf.DUMMYFUNCTION("""COMPUTED_VALUE"""),"Fabro Boking")</f>
        <v>Fabro Boking</v>
      </c>
      <c r="E20" s="1" t="str">
        <f>IFERROR(__xludf.DUMMYFUNCTION("""COMPUTED_VALUE"""),"Basilio Sacluti iyaaaakkk🤣😂🤣😂🤣")</f>
        <v>Basilio Sacluti iyaaaakkk🤣😂🤣😂🤣</v>
      </c>
      <c r="F20" s="1"/>
      <c r="G20" s="1" t="str">
        <f>IFERROR(__xludf.DUMMYFUNCTION("""COMPUTED_VALUE"""),"3 mos")</f>
        <v>3 mos</v>
      </c>
      <c r="H20" s="1" t="str">
        <f>IFERROR(__xludf.DUMMYFUNCTION("""COMPUTED_VALUE"""),"reply")</f>
        <v>reply</v>
      </c>
      <c r="I20" s="2" t="str">
        <f>IFERROR(__xludf.DUMMYFUNCTION("""COMPUTED_VALUE"""),"https://www.facebook.com/rapplerdotcom/posts/pfbid0DUh4iFcrxZuR1UbiGhcAHcMdzsaV29GSeHCY1HabtqcnUWkjStX9TDaVqzzt92GDl")</f>
        <v>https://www.facebook.com/rapplerdotcom/posts/pfbid0DUh4iFcrxZuR1UbiGhcAHcMdzsaV29GSeHCY1HabtqcnUWkjStX9TDaVqzzt92GDl</v>
      </c>
      <c r="J20" s="1" t="str">
        <f>IFERROR(__xludf.DUMMYFUNCTION("""COMPUTED_VALUE"""),"2022-07-04T11:08:02.658Z")</f>
        <v>2022-07-04T11:08:02.658Z</v>
      </c>
      <c r="K20" s="1"/>
    </row>
    <row r="21">
      <c r="A21" s="2" t="str">
        <f>IFERROR(__xludf.DUMMYFUNCTION("""COMPUTED_VALUE"""),"https://www.facebook.com/alfredofabro.boking")</f>
        <v>https://www.facebook.com/alfredofabro.boking</v>
      </c>
      <c r="B21" s="1" t="str">
        <f>IFERROR(__xludf.DUMMYFUNCTION("""COMPUTED_VALUE"""),"Alfredo Fabro Boking")</f>
        <v>Alfredo Fabro Boking</v>
      </c>
      <c r="C21" s="1" t="str">
        <f>IFERROR(__xludf.DUMMYFUNCTION("""COMPUTED_VALUE"""),"Alfredo")</f>
        <v>Alfredo</v>
      </c>
      <c r="D21" s="1" t="str">
        <f>IFERROR(__xludf.DUMMYFUNCTION("""COMPUTED_VALUE"""),"Fabro Boking")</f>
        <v>Fabro Boking</v>
      </c>
      <c r="E21" s="1" t="str">
        <f>IFERROR(__xludf.DUMMYFUNCTION("""COMPUTED_VALUE"""),"Jhulz Mananquil iyaaaakkkkk pa more 🤣🤣🤣🤣🤣🤣")</f>
        <v>Jhulz Mananquil iyaaaakkkkk pa more 🤣🤣🤣🤣🤣🤣</v>
      </c>
      <c r="F21" s="1"/>
      <c r="G21" s="1" t="str">
        <f>IFERROR(__xludf.DUMMYFUNCTION("""COMPUTED_VALUE"""),"3 mos")</f>
        <v>3 mos</v>
      </c>
      <c r="H21" s="1" t="str">
        <f>IFERROR(__xludf.DUMMYFUNCTION("""COMPUTED_VALUE"""),"reply")</f>
        <v>reply</v>
      </c>
      <c r="I21" s="2" t="str">
        <f>IFERROR(__xludf.DUMMYFUNCTION("""COMPUTED_VALUE"""),"https://www.facebook.com/rapplerdotcom/posts/pfbid0DUh4iFcrxZuR1UbiGhcAHcMdzsaV29GSeHCY1HabtqcnUWkjStX9TDaVqzzt92GDl")</f>
        <v>https://www.facebook.com/rapplerdotcom/posts/pfbid0DUh4iFcrxZuR1UbiGhcAHcMdzsaV29GSeHCY1HabtqcnUWkjStX9TDaVqzzt92GDl</v>
      </c>
      <c r="J21" s="1" t="str">
        <f>IFERROR(__xludf.DUMMYFUNCTION("""COMPUTED_VALUE"""),"2022-07-04T11:08:02.658Z")</f>
        <v>2022-07-04T11:08:02.658Z</v>
      </c>
      <c r="K21" s="1"/>
    </row>
    <row r="22">
      <c r="A22" s="2" t="str">
        <f>IFERROR(__xludf.DUMMYFUNCTION("""COMPUTED_VALUE"""),"https://www.facebook.com/roselyn.pira.1")</f>
        <v>https://www.facebook.com/roselyn.pira.1</v>
      </c>
      <c r="B22" s="1" t="str">
        <f>IFERROR(__xludf.DUMMYFUNCTION("""COMPUTED_VALUE"""),"Roselyn Pira")</f>
        <v>Roselyn Pira</v>
      </c>
      <c r="C22" s="1" t="str">
        <f>IFERROR(__xludf.DUMMYFUNCTION("""COMPUTED_VALUE"""),"Roselyn")</f>
        <v>Roselyn</v>
      </c>
      <c r="D22" s="1" t="str">
        <f>IFERROR(__xludf.DUMMYFUNCTION("""COMPUTED_VALUE"""),"Pira")</f>
        <v>Pira</v>
      </c>
      <c r="E22" s="1" t="str">
        <f>IFERROR(__xludf.DUMMYFUNCTION("""COMPUTED_VALUE"""),"Max Francine Bautista oo dto sa cavite panay pera ang inilabas kaya maraming pumunta..may raffle pa ..sanay na kami dyan...pati bigayan ..kaya okk lng election..")</f>
        <v>Max Francine Bautista oo dto sa cavite panay pera ang inilabas kaya maraming pumunta..may raffle pa ..sanay na kami dyan...pati bigayan ..kaya okk lng election..</v>
      </c>
      <c r="F22" s="1"/>
      <c r="G22" s="1" t="str">
        <f>IFERROR(__xludf.DUMMYFUNCTION("""COMPUTED_VALUE"""),"3 mos")</f>
        <v>3 mos</v>
      </c>
      <c r="H22" s="1" t="str">
        <f>IFERROR(__xludf.DUMMYFUNCTION("""COMPUTED_VALUE"""),"reply")</f>
        <v>reply</v>
      </c>
      <c r="I22" s="2" t="str">
        <f>IFERROR(__xludf.DUMMYFUNCTION("""COMPUTED_VALUE"""),"https://www.facebook.com/rapplerdotcom/posts/pfbid0DUh4iFcrxZuR1UbiGhcAHcMdzsaV29GSeHCY1HabtqcnUWkjStX9TDaVqzzt92GDl")</f>
        <v>https://www.facebook.com/rapplerdotcom/posts/pfbid0DUh4iFcrxZuR1UbiGhcAHcMdzsaV29GSeHCY1HabtqcnUWkjStX9TDaVqzzt92GDl</v>
      </c>
      <c r="J22" s="1" t="str">
        <f>IFERROR(__xludf.DUMMYFUNCTION("""COMPUTED_VALUE"""),"2022-07-04T11:08:02.658Z")</f>
        <v>2022-07-04T11:08:02.658Z</v>
      </c>
      <c r="K22" s="1"/>
    </row>
    <row r="23">
      <c r="A23" s="2" t="str">
        <f>IFERROR(__xludf.DUMMYFUNCTION("""COMPUTED_VALUE"""),"https://www.facebook.com/roselyn.pira.1")</f>
        <v>https://www.facebook.com/roselyn.pira.1</v>
      </c>
      <c r="B23" s="1" t="str">
        <f>IFERROR(__xludf.DUMMYFUNCTION("""COMPUTED_VALUE"""),"Roselyn Pira")</f>
        <v>Roselyn Pira</v>
      </c>
      <c r="C23" s="1" t="str">
        <f>IFERROR(__xludf.DUMMYFUNCTION("""COMPUTED_VALUE"""),"Roselyn")</f>
        <v>Roselyn</v>
      </c>
      <c r="D23" s="1" t="str">
        <f>IFERROR(__xludf.DUMMYFUNCTION("""COMPUTED_VALUE"""),"Pira")</f>
        <v>Pira</v>
      </c>
      <c r="E23" s="1" t="str">
        <f>IFERROR(__xludf.DUMMYFUNCTION("""COMPUTED_VALUE"""),"Jc Mintu ikaw hindi bayad ang iba bayad hahaha...ayaw mo aminin its okk its election kasi ..")</f>
        <v>Jc Mintu ikaw hindi bayad ang iba bayad hahaha...ayaw mo aminin its okk its election kasi ..</v>
      </c>
      <c r="F23" s="1"/>
      <c r="G23" s="1" t="str">
        <f>IFERROR(__xludf.DUMMYFUNCTION("""COMPUTED_VALUE"""),"3 mos")</f>
        <v>3 mos</v>
      </c>
      <c r="H23" s="1" t="str">
        <f>IFERROR(__xludf.DUMMYFUNCTION("""COMPUTED_VALUE"""),"reply")</f>
        <v>reply</v>
      </c>
      <c r="I23" s="2" t="str">
        <f>IFERROR(__xludf.DUMMYFUNCTION("""COMPUTED_VALUE"""),"https://www.facebook.com/rapplerdotcom/posts/pfbid0DUh4iFcrxZuR1UbiGhcAHcMdzsaV29GSeHCY1HabtqcnUWkjStX9TDaVqzzt92GDl")</f>
        <v>https://www.facebook.com/rapplerdotcom/posts/pfbid0DUh4iFcrxZuR1UbiGhcAHcMdzsaV29GSeHCY1HabtqcnUWkjStX9TDaVqzzt92GDl</v>
      </c>
      <c r="J23" s="1" t="str">
        <f>IFERROR(__xludf.DUMMYFUNCTION("""COMPUTED_VALUE"""),"2022-07-04T11:08:02.658Z")</f>
        <v>2022-07-04T11:08:02.658Z</v>
      </c>
      <c r="K23" s="1"/>
    </row>
    <row r="24">
      <c r="A24" s="2" t="str">
        <f>IFERROR(__xludf.DUMMYFUNCTION("""COMPUTED_VALUE"""),"https://www.facebook.com/pauljeric.queipo.1")</f>
        <v>https://www.facebook.com/pauljeric.queipo.1</v>
      </c>
      <c r="B24" s="1" t="str">
        <f>IFERROR(__xludf.DUMMYFUNCTION("""COMPUTED_VALUE"""),"Paul Jeric Queipo")</f>
        <v>Paul Jeric Queipo</v>
      </c>
      <c r="C24" s="1" t="str">
        <f>IFERROR(__xludf.DUMMYFUNCTION("""COMPUTED_VALUE"""),"Paul")</f>
        <v>Paul</v>
      </c>
      <c r="D24" s="1" t="str">
        <f>IFERROR(__xludf.DUMMYFUNCTION("""COMPUTED_VALUE"""),"Jeric Queipo")</f>
        <v>Jeric Queipo</v>
      </c>
      <c r="E24" s="1" t="str">
        <f>IFERROR(__xludf.DUMMYFUNCTION("""COMPUTED_VALUE"""),"Basilio Sacluti lol pag inggit pikit 🤣 walang hakotn bus yan 🤣🤣🤣🤣 ooops")</f>
        <v>Basilio Sacluti lol pag inggit pikit 🤣 walang hakotn bus yan 🤣🤣🤣🤣 ooops</v>
      </c>
      <c r="F24" s="1"/>
      <c r="G24" s="1" t="str">
        <f>IFERROR(__xludf.DUMMYFUNCTION("""COMPUTED_VALUE"""),"3 mos")</f>
        <v>3 mos</v>
      </c>
      <c r="H24" s="1" t="str">
        <f>IFERROR(__xludf.DUMMYFUNCTION("""COMPUTED_VALUE"""),"reply")</f>
        <v>reply</v>
      </c>
      <c r="I24" s="2" t="str">
        <f>IFERROR(__xludf.DUMMYFUNCTION("""COMPUTED_VALUE"""),"https://www.facebook.com/rapplerdotcom/posts/pfbid0DUh4iFcrxZuR1UbiGhcAHcMdzsaV29GSeHCY1HabtqcnUWkjStX9TDaVqzzt92GDl")</f>
        <v>https://www.facebook.com/rapplerdotcom/posts/pfbid0DUh4iFcrxZuR1UbiGhcAHcMdzsaV29GSeHCY1HabtqcnUWkjStX9TDaVqzzt92GDl</v>
      </c>
      <c r="J24" s="1" t="str">
        <f>IFERROR(__xludf.DUMMYFUNCTION("""COMPUTED_VALUE"""),"2022-07-04T11:08:02.658Z")</f>
        <v>2022-07-04T11:08:02.658Z</v>
      </c>
      <c r="K24" s="1"/>
    </row>
    <row r="25">
      <c r="A25" s="2" t="str">
        <f>IFERROR(__xludf.DUMMYFUNCTION("""COMPUTED_VALUE"""),"https://www.facebook.com/pauljeric.queipo.1")</f>
        <v>https://www.facebook.com/pauljeric.queipo.1</v>
      </c>
      <c r="B25" s="1" t="str">
        <f>IFERROR(__xludf.DUMMYFUNCTION("""COMPUTED_VALUE"""),"Paul Jeric Queipo")</f>
        <v>Paul Jeric Queipo</v>
      </c>
      <c r="C25" s="1" t="str">
        <f>IFERROR(__xludf.DUMMYFUNCTION("""COMPUTED_VALUE"""),"Paul")</f>
        <v>Paul</v>
      </c>
      <c r="D25" s="1" t="str">
        <f>IFERROR(__xludf.DUMMYFUNCTION("""COMPUTED_VALUE"""),"Jeric Queipo")</f>
        <v>Jeric Queipo</v>
      </c>
      <c r="E25" s="1" t="str">
        <f>IFERROR(__xludf.DUMMYFUNCTION("""COMPUTED_VALUE"""),"Rose Andrade Austria hindi bayad, hakot lang sabay sabay from 1700 hundred island of the Philippines hahaha loooooser")</f>
        <v>Rose Andrade Austria hindi bayad, hakot lang sabay sabay from 1700 hundred island of the Philippines hahaha loooooser</v>
      </c>
      <c r="F25" s="1">
        <f>IFERROR(__xludf.DUMMYFUNCTION("""COMPUTED_VALUE"""),4.0)</f>
        <v>4</v>
      </c>
      <c r="G25" s="1" t="str">
        <f>IFERROR(__xludf.DUMMYFUNCTION("""COMPUTED_VALUE"""),"3 mos")</f>
        <v>3 mos</v>
      </c>
      <c r="H25" s="1" t="str">
        <f>IFERROR(__xludf.DUMMYFUNCTION("""COMPUTED_VALUE"""),"reply")</f>
        <v>reply</v>
      </c>
      <c r="I25" s="2" t="str">
        <f>IFERROR(__xludf.DUMMYFUNCTION("""COMPUTED_VALUE"""),"https://www.facebook.com/rapplerdotcom/posts/pfbid0DUh4iFcrxZuR1UbiGhcAHcMdzsaV29GSeHCY1HabtqcnUWkjStX9TDaVqzzt92GDl")</f>
        <v>https://www.facebook.com/rapplerdotcom/posts/pfbid0DUh4iFcrxZuR1UbiGhcAHcMdzsaV29GSeHCY1HabtqcnUWkjStX9TDaVqzzt92GDl</v>
      </c>
      <c r="J25" s="1" t="str">
        <f>IFERROR(__xludf.DUMMYFUNCTION("""COMPUTED_VALUE"""),"2022-07-04T11:08:02.658Z")</f>
        <v>2022-07-04T11:08:02.658Z</v>
      </c>
      <c r="K25" s="1"/>
    </row>
    <row r="26">
      <c r="A26" s="2" t="str">
        <f>IFERROR(__xludf.DUMMYFUNCTION("""COMPUTED_VALUE"""),"https://www.facebook.com/pauljeric.queipo.1")</f>
        <v>https://www.facebook.com/pauljeric.queipo.1</v>
      </c>
      <c r="B26" s="1" t="str">
        <f>IFERROR(__xludf.DUMMYFUNCTION("""COMPUTED_VALUE"""),"Paul Jeric Queipo")</f>
        <v>Paul Jeric Queipo</v>
      </c>
      <c r="C26" s="1" t="str">
        <f>IFERROR(__xludf.DUMMYFUNCTION("""COMPUTED_VALUE"""),"Paul")</f>
        <v>Paul</v>
      </c>
      <c r="D26" s="1" t="str">
        <f>IFERROR(__xludf.DUMMYFUNCTION("""COMPUTED_VALUE"""),"Jeric Queipo")</f>
        <v>Jeric Queipo</v>
      </c>
      <c r="E26" s="1" t="str">
        <f>IFERROR(__xludf.DUMMYFUNCTION("""COMPUTED_VALUE"""),"Ermalyn Pitua Villanueva pilit na elite kasi hahaha mga poorita naman talaga")</f>
        <v>Ermalyn Pitua Villanueva pilit na elite kasi hahaha mga poorita naman talaga</v>
      </c>
      <c r="F26" s="1"/>
      <c r="G26" s="1" t="str">
        <f>IFERROR(__xludf.DUMMYFUNCTION("""COMPUTED_VALUE"""),"3 mos")</f>
        <v>3 mos</v>
      </c>
      <c r="H26" s="1" t="str">
        <f>IFERROR(__xludf.DUMMYFUNCTION("""COMPUTED_VALUE"""),"reply")</f>
        <v>reply</v>
      </c>
      <c r="I26" s="2" t="str">
        <f>IFERROR(__xludf.DUMMYFUNCTION("""COMPUTED_VALUE"""),"https://www.facebook.com/rapplerdotcom/posts/pfbid0DUh4iFcrxZuR1UbiGhcAHcMdzsaV29GSeHCY1HabtqcnUWkjStX9TDaVqzzt92GDl")</f>
        <v>https://www.facebook.com/rapplerdotcom/posts/pfbid0DUh4iFcrxZuR1UbiGhcAHcMdzsaV29GSeHCY1HabtqcnUWkjStX9TDaVqzzt92GDl</v>
      </c>
      <c r="J26" s="1" t="str">
        <f>IFERROR(__xludf.DUMMYFUNCTION("""COMPUTED_VALUE"""),"2022-07-04T11:08:02.658Z")</f>
        <v>2022-07-04T11:08:02.658Z</v>
      </c>
      <c r="K26" s="1"/>
    </row>
    <row r="27">
      <c r="A27" s="2" t="str">
        <f>IFERROR(__xludf.DUMMYFUNCTION("""COMPUTED_VALUE"""),"https://www.facebook.com/anthony.valeza")</f>
        <v>https://www.facebook.com/anthony.valeza</v>
      </c>
      <c r="B27" s="1" t="str">
        <f>IFERROR(__xludf.DUMMYFUNCTION("""COMPUTED_VALUE"""),"Anthony Valeza")</f>
        <v>Anthony Valeza</v>
      </c>
      <c r="C27" s="1" t="str">
        <f>IFERROR(__xludf.DUMMYFUNCTION("""COMPUTED_VALUE"""),"Anthony")</f>
        <v>Anthony</v>
      </c>
      <c r="D27" s="1" t="str">
        <f>IFERROR(__xludf.DUMMYFUNCTION("""COMPUTED_VALUE"""),"Valeza")</f>
        <v>Valeza</v>
      </c>
      <c r="E27" s="1" t="str">
        <f>IFERROR(__xludf.DUMMYFUNCTION("""COMPUTED_VALUE"""),"Basilio Sacluti agree.")</f>
        <v>Basilio Sacluti agree.</v>
      </c>
      <c r="F27" s="1"/>
      <c r="G27" s="1" t="str">
        <f>IFERROR(__xludf.DUMMYFUNCTION("""COMPUTED_VALUE"""),"3 mos")</f>
        <v>3 mos</v>
      </c>
      <c r="H27" s="1" t="str">
        <f>IFERROR(__xludf.DUMMYFUNCTION("""COMPUTED_VALUE"""),"reply")</f>
        <v>reply</v>
      </c>
      <c r="I27" s="2" t="str">
        <f>IFERROR(__xludf.DUMMYFUNCTION("""COMPUTED_VALUE"""),"https://www.facebook.com/rapplerdotcom/posts/pfbid0DUh4iFcrxZuR1UbiGhcAHcMdzsaV29GSeHCY1HabtqcnUWkjStX9TDaVqzzt92GDl")</f>
        <v>https://www.facebook.com/rapplerdotcom/posts/pfbid0DUh4iFcrxZuR1UbiGhcAHcMdzsaV29GSeHCY1HabtqcnUWkjStX9TDaVqzzt92GDl</v>
      </c>
      <c r="J27" s="1" t="str">
        <f>IFERROR(__xludf.DUMMYFUNCTION("""COMPUTED_VALUE"""),"2022-07-04T11:08:02.658Z")</f>
        <v>2022-07-04T11:08:02.658Z</v>
      </c>
      <c r="K27" s="1"/>
    </row>
    <row r="28">
      <c r="A28" s="2" t="str">
        <f>IFERROR(__xludf.DUMMYFUNCTION("""COMPUTED_VALUE"""),"https://www.facebook.com/www.joeysampang")</f>
        <v>https://www.facebook.com/www.joeysampang</v>
      </c>
      <c r="B28" s="1" t="str">
        <f>IFERROR(__xludf.DUMMYFUNCTION("""COMPUTED_VALUE"""),"Joey Villanueva Sampang")</f>
        <v>Joey Villanueva Sampang</v>
      </c>
      <c r="C28" s="1" t="str">
        <f>IFERROR(__xludf.DUMMYFUNCTION("""COMPUTED_VALUE"""),"Joey")</f>
        <v>Joey</v>
      </c>
      <c r="D28" s="1" t="str">
        <f>IFERROR(__xludf.DUMMYFUNCTION("""COMPUTED_VALUE"""),"Villanueva Sampang")</f>
        <v>Villanueva Sampang</v>
      </c>
      <c r="E28" s="1" t="str">
        <f>IFERROR(__xludf.DUMMYFUNCTION("""COMPUTED_VALUE"""),"Basilio Sacluti yes")</f>
        <v>Basilio Sacluti yes</v>
      </c>
      <c r="F28" s="1"/>
      <c r="G28" s="1" t="str">
        <f>IFERROR(__xludf.DUMMYFUNCTION("""COMPUTED_VALUE"""),"3 mos")</f>
        <v>3 mos</v>
      </c>
      <c r="H28" s="1" t="str">
        <f>IFERROR(__xludf.DUMMYFUNCTION("""COMPUTED_VALUE"""),"reply")</f>
        <v>reply</v>
      </c>
      <c r="I28" s="2" t="str">
        <f>IFERROR(__xludf.DUMMYFUNCTION("""COMPUTED_VALUE"""),"https://www.facebook.com/rapplerdotcom/posts/pfbid0DUh4iFcrxZuR1UbiGhcAHcMdzsaV29GSeHCY1HabtqcnUWkjStX9TDaVqzzt92GDl")</f>
        <v>https://www.facebook.com/rapplerdotcom/posts/pfbid0DUh4iFcrxZuR1UbiGhcAHcMdzsaV29GSeHCY1HabtqcnUWkjStX9TDaVqzzt92GDl</v>
      </c>
      <c r="J28" s="1" t="str">
        <f>IFERROR(__xludf.DUMMYFUNCTION("""COMPUTED_VALUE"""),"2022-07-04T11:08:02.658Z")</f>
        <v>2022-07-04T11:08:02.658Z</v>
      </c>
      <c r="K28" s="1"/>
    </row>
    <row r="29">
      <c r="A29" s="2" t="str">
        <f>IFERROR(__xludf.DUMMYFUNCTION("""COMPUTED_VALUE"""),"https://www.facebook.com/aqoucii.makmak")</f>
        <v>https://www.facebook.com/aqoucii.makmak</v>
      </c>
      <c r="B29" s="1" t="str">
        <f>IFERROR(__xludf.DUMMYFUNCTION("""COMPUTED_VALUE"""),"Makmak Sepi Panalunsong")</f>
        <v>Makmak Sepi Panalunsong</v>
      </c>
      <c r="C29" s="1" t="str">
        <f>IFERROR(__xludf.DUMMYFUNCTION("""COMPUTED_VALUE"""),"Makmak")</f>
        <v>Makmak</v>
      </c>
      <c r="D29" s="1" t="str">
        <f>IFERROR(__xludf.DUMMYFUNCTION("""COMPUTED_VALUE"""),"Sepi Panalunsong")</f>
        <v>Sepi Panalunsong</v>
      </c>
      <c r="E29" s="1" t="str">
        <f>IFERROR(__xludf.DUMMYFUNCTION("""COMPUTED_VALUE"""),"Basilio Sacluti are sure?u mean mukhang pera taga mindanao or taga cotabato?baka kau")</f>
        <v>Basilio Sacluti are sure?u mean mukhang pera taga mindanao or taga cotabato?baka kau</v>
      </c>
      <c r="F29" s="1">
        <f>IFERROR(__xludf.DUMMYFUNCTION("""COMPUTED_VALUE"""),1.0)</f>
        <v>1</v>
      </c>
      <c r="G29" s="1" t="str">
        <f>IFERROR(__xludf.DUMMYFUNCTION("""COMPUTED_VALUE"""),"3 mos")</f>
        <v>3 mos</v>
      </c>
      <c r="H29" s="1" t="str">
        <f>IFERROR(__xludf.DUMMYFUNCTION("""COMPUTED_VALUE"""),"reply")</f>
        <v>reply</v>
      </c>
      <c r="I29" s="2" t="str">
        <f>IFERROR(__xludf.DUMMYFUNCTION("""COMPUTED_VALUE"""),"https://www.facebook.com/rapplerdotcom/posts/pfbid0DUh4iFcrxZuR1UbiGhcAHcMdzsaV29GSeHCY1HabtqcnUWkjStX9TDaVqzzt92GDl")</f>
        <v>https://www.facebook.com/rapplerdotcom/posts/pfbid0DUh4iFcrxZuR1UbiGhcAHcMdzsaV29GSeHCY1HabtqcnUWkjStX9TDaVqzzt92GDl</v>
      </c>
      <c r="J29" s="1" t="str">
        <f>IFERROR(__xludf.DUMMYFUNCTION("""COMPUTED_VALUE"""),"2022-07-04T11:08:02.659Z")</f>
        <v>2022-07-04T11:08:02.659Z</v>
      </c>
      <c r="K29" s="1"/>
    </row>
    <row r="30">
      <c r="A30" s="2" t="str">
        <f>IFERROR(__xludf.DUMMYFUNCTION("""COMPUTED_VALUE"""),"https://www.facebook.com/rico.sanyo.7")</f>
        <v>https://www.facebook.com/rico.sanyo.7</v>
      </c>
      <c r="B30" s="1" t="str">
        <f>IFERROR(__xludf.DUMMYFUNCTION("""COMPUTED_VALUE"""),"Rico Sanyo")</f>
        <v>Rico Sanyo</v>
      </c>
      <c r="C30" s="1" t="str">
        <f>IFERROR(__xludf.DUMMYFUNCTION("""COMPUTED_VALUE"""),"Rico")</f>
        <v>Rico</v>
      </c>
      <c r="D30" s="1" t="str">
        <f>IFERROR(__xludf.DUMMYFUNCTION("""COMPUTED_VALUE"""),"Sanyo")</f>
        <v>Sanyo</v>
      </c>
      <c r="E30" s="1" t="str">
        <f>IFERROR(__xludf.DUMMYFUNCTION("""COMPUTED_VALUE"""),"Jhulz Mananquil  nag ngangalngal ng bunganga si babyjr pag nagsasalita.  bakit kaya?")</f>
        <v>Jhulz Mananquil  nag ngangalngal ng bunganga si babyjr pag nagsasalita.  bakit kaya?</v>
      </c>
      <c r="F30" s="1"/>
      <c r="G30" s="1" t="str">
        <f>IFERROR(__xludf.DUMMYFUNCTION("""COMPUTED_VALUE"""),"3 mos")</f>
        <v>3 mos</v>
      </c>
      <c r="H30" s="1" t="str">
        <f>IFERROR(__xludf.DUMMYFUNCTION("""COMPUTED_VALUE"""),"reply")</f>
        <v>reply</v>
      </c>
      <c r="I30" s="2" t="str">
        <f>IFERROR(__xludf.DUMMYFUNCTION("""COMPUTED_VALUE"""),"https://www.facebook.com/rapplerdotcom/posts/pfbid0DUh4iFcrxZuR1UbiGhcAHcMdzsaV29GSeHCY1HabtqcnUWkjStX9TDaVqzzt92GDl")</f>
        <v>https://www.facebook.com/rapplerdotcom/posts/pfbid0DUh4iFcrxZuR1UbiGhcAHcMdzsaV29GSeHCY1HabtqcnUWkjStX9TDaVqzzt92GDl</v>
      </c>
      <c r="J30" s="1" t="str">
        <f>IFERROR(__xludf.DUMMYFUNCTION("""COMPUTED_VALUE"""),"2022-07-04T11:08:02.659Z")</f>
        <v>2022-07-04T11:08:02.659Z</v>
      </c>
      <c r="K30" s="1"/>
    </row>
    <row r="31">
      <c r="A31" s="2" t="str">
        <f>IFERROR(__xludf.DUMMYFUNCTION("""COMPUTED_VALUE"""),"https://www.facebook.com/deliza.esmeralda")</f>
        <v>https://www.facebook.com/deliza.esmeralda</v>
      </c>
      <c r="B31" s="1" t="str">
        <f>IFERROR(__xludf.DUMMYFUNCTION("""COMPUTED_VALUE"""),"Tyrellyn Esmeralda Ace")</f>
        <v>Tyrellyn Esmeralda Ace</v>
      </c>
      <c r="C31" s="1" t="str">
        <f>IFERROR(__xludf.DUMMYFUNCTION("""COMPUTED_VALUE"""),"Tyrellyn")</f>
        <v>Tyrellyn</v>
      </c>
      <c r="D31" s="1" t="str">
        <f>IFERROR(__xludf.DUMMYFUNCTION("""COMPUTED_VALUE"""),"Esmeralda Ace")</f>
        <v>Esmeralda Ace</v>
      </c>
      <c r="E31" s="1" t="str">
        <f>IFERROR(__xludf.DUMMYFUNCTION("""COMPUTED_VALUE"""),"Rain is a blessing!!!!woow ha !!!!")</f>
        <v>Rain is a blessing!!!!woow ha !!!!</v>
      </c>
      <c r="F31" s="1"/>
      <c r="G31" s="1" t="str">
        <f>IFERROR(__xludf.DUMMYFUNCTION("""COMPUTED_VALUE"""),"3 mos")</f>
        <v>3 mos</v>
      </c>
      <c r="H31" s="1" t="str">
        <f>IFERROR(__xludf.DUMMYFUNCTION("""COMPUTED_VALUE"""),"reply")</f>
        <v>reply</v>
      </c>
      <c r="I31" s="2" t="str">
        <f>IFERROR(__xludf.DUMMYFUNCTION("""COMPUTED_VALUE"""),"https://www.facebook.com/rapplerdotcom/posts/pfbid0DUh4iFcrxZuR1UbiGhcAHcMdzsaV29GSeHCY1HabtqcnUWkjStX9TDaVqzzt92GDl")</f>
        <v>https://www.facebook.com/rapplerdotcom/posts/pfbid0DUh4iFcrxZuR1UbiGhcAHcMdzsaV29GSeHCY1HabtqcnUWkjStX9TDaVqzzt92GDl</v>
      </c>
      <c r="J31" s="1" t="str">
        <f>IFERROR(__xludf.DUMMYFUNCTION("""COMPUTED_VALUE"""),"2022-07-04T11:08:02.659Z")</f>
        <v>2022-07-04T11:08:02.659Z</v>
      </c>
      <c r="K31" s="1"/>
    </row>
    <row r="32">
      <c r="A32" s="2" t="str">
        <f>IFERROR(__xludf.DUMMYFUNCTION("""COMPUTED_VALUE"""),"https://www.facebook.com/chris.bugasto")</f>
        <v>https://www.facebook.com/chris.bugasto</v>
      </c>
      <c r="B32" s="1" t="str">
        <f>IFERROR(__xludf.DUMMYFUNCTION("""COMPUTED_VALUE"""),"Chris Thugz Bugasto")</f>
        <v>Chris Thugz Bugasto</v>
      </c>
      <c r="C32" s="1" t="str">
        <f>IFERROR(__xludf.DUMMYFUNCTION("""COMPUTED_VALUE"""),"Chris")</f>
        <v>Chris</v>
      </c>
      <c r="D32" s="1" t="str">
        <f>IFERROR(__xludf.DUMMYFUNCTION("""COMPUTED_VALUE"""),"Thugz Bugasto")</f>
        <v>Thugz Bugasto</v>
      </c>
      <c r="E32" s="1" t="str">
        <f>IFERROR(__xludf.DUMMYFUNCTION("""COMPUTED_VALUE"""),"Rose Andrade Austria siempre wala pa yung envelop... Tiis daw muna... 🤣🤣🤣")</f>
        <v>Rose Andrade Austria siempre wala pa yung envelop... Tiis daw muna... 🤣🤣🤣</v>
      </c>
      <c r="F32" s="1"/>
      <c r="G32" s="1" t="str">
        <f>IFERROR(__xludf.DUMMYFUNCTION("""COMPUTED_VALUE"""),"3 mos")</f>
        <v>3 mos</v>
      </c>
      <c r="H32" s="1" t="str">
        <f>IFERROR(__xludf.DUMMYFUNCTION("""COMPUTED_VALUE"""),"reply")</f>
        <v>reply</v>
      </c>
      <c r="I32" s="2" t="str">
        <f>IFERROR(__xludf.DUMMYFUNCTION("""COMPUTED_VALUE"""),"https://www.facebook.com/rapplerdotcom/posts/pfbid0DUh4iFcrxZuR1UbiGhcAHcMdzsaV29GSeHCY1HabtqcnUWkjStX9TDaVqzzt92GDl")</f>
        <v>https://www.facebook.com/rapplerdotcom/posts/pfbid0DUh4iFcrxZuR1UbiGhcAHcMdzsaV29GSeHCY1HabtqcnUWkjStX9TDaVqzzt92GDl</v>
      </c>
      <c r="J32" s="1" t="str">
        <f>IFERROR(__xludf.DUMMYFUNCTION("""COMPUTED_VALUE"""),"2022-07-04T11:08:02.659Z")</f>
        <v>2022-07-04T11:08:02.659Z</v>
      </c>
      <c r="K32" s="1"/>
    </row>
    <row r="33">
      <c r="A33" s="2" t="str">
        <f>IFERROR(__xludf.DUMMYFUNCTION("""COMPUTED_VALUE"""),"https://www.facebook.com/berlanie18")</f>
        <v>https://www.facebook.com/berlanie18</v>
      </c>
      <c r="B33" s="1" t="str">
        <f>IFERROR(__xludf.DUMMYFUNCTION("""COMPUTED_VALUE"""),"Maliya Ortsac")</f>
        <v>Maliya Ortsac</v>
      </c>
      <c r="C33" s="1" t="str">
        <f>IFERROR(__xludf.DUMMYFUNCTION("""COMPUTED_VALUE"""),"Maliya")</f>
        <v>Maliya</v>
      </c>
      <c r="D33" s="1" t="str">
        <f>IFERROR(__xludf.DUMMYFUNCTION("""COMPUTED_VALUE"""),"Ortsac")</f>
        <v>Ortsac</v>
      </c>
      <c r="E33" s="1" t="str">
        <f>IFERROR(__xludf.DUMMYFUNCTION("""COMPUTED_VALUE"""),"Basilio Sacluti may ebedensya ka po?!patawa ka din ano!")</f>
        <v>Basilio Sacluti may ebedensya ka po?!patawa ka din ano!</v>
      </c>
      <c r="F33" s="1"/>
      <c r="G33" s="1" t="str">
        <f>IFERROR(__xludf.DUMMYFUNCTION("""COMPUTED_VALUE"""),"3 mos")</f>
        <v>3 mos</v>
      </c>
      <c r="H33" s="1" t="str">
        <f>IFERROR(__xludf.DUMMYFUNCTION("""COMPUTED_VALUE"""),"reply")</f>
        <v>reply</v>
      </c>
      <c r="I33" s="2" t="str">
        <f>IFERROR(__xludf.DUMMYFUNCTION("""COMPUTED_VALUE"""),"https://www.facebook.com/rapplerdotcom/posts/pfbid0DUh4iFcrxZuR1UbiGhcAHcMdzsaV29GSeHCY1HabtqcnUWkjStX9TDaVqzzt92GDl")</f>
        <v>https://www.facebook.com/rapplerdotcom/posts/pfbid0DUh4iFcrxZuR1UbiGhcAHcMdzsaV29GSeHCY1HabtqcnUWkjStX9TDaVqzzt92GDl</v>
      </c>
      <c r="J33" s="1" t="str">
        <f>IFERROR(__xludf.DUMMYFUNCTION("""COMPUTED_VALUE"""),"2022-07-04T11:08:02.659Z")</f>
        <v>2022-07-04T11:08:02.659Z</v>
      </c>
      <c r="K33" s="1"/>
    </row>
    <row r="34">
      <c r="A34" s="2" t="str">
        <f>IFERROR(__xludf.DUMMYFUNCTION("""COMPUTED_VALUE"""),"https://www.facebook.com/evelyn.ruiz.79230305")</f>
        <v>https://www.facebook.com/evelyn.ruiz.79230305</v>
      </c>
      <c r="B34" s="1" t="str">
        <f>IFERROR(__xludf.DUMMYFUNCTION("""COMPUTED_VALUE"""),"Evelyn Ruiz")</f>
        <v>Evelyn Ruiz</v>
      </c>
      <c r="C34" s="1" t="str">
        <f>IFERROR(__xludf.DUMMYFUNCTION("""COMPUTED_VALUE"""),"Evelyn")</f>
        <v>Evelyn</v>
      </c>
      <c r="D34" s="1" t="str">
        <f>IFERROR(__xludf.DUMMYFUNCTION("""COMPUTED_VALUE"""),"Ruiz")</f>
        <v>Ruiz</v>
      </c>
      <c r="E34" s="1" t="str">
        <f>IFERROR(__xludf.DUMMYFUNCTION("""COMPUTED_VALUE"""),"Kawawa naman tayo pag nakabalik yan sa pwesto.")</f>
        <v>Kawawa naman tayo pag nakabalik yan sa pwesto.</v>
      </c>
      <c r="F34" s="1"/>
      <c r="G34" s="1" t="str">
        <f>IFERROR(__xludf.DUMMYFUNCTION("""COMPUTED_VALUE"""),"3 mos")</f>
        <v>3 mos</v>
      </c>
      <c r="H34" s="1" t="str">
        <f>IFERROR(__xludf.DUMMYFUNCTION("""COMPUTED_VALUE"""),"comment")</f>
        <v>comment</v>
      </c>
      <c r="I34" s="2" t="str">
        <f>IFERROR(__xludf.DUMMYFUNCTION("""COMPUTED_VALUE"""),"https://www.facebook.com/rapplerdotcom/posts/pfbid0DUh4iFcrxZuR1UbiGhcAHcMdzsaV29GSeHCY1HabtqcnUWkjStX9TDaVqzzt92GDl")</f>
        <v>https://www.facebook.com/rapplerdotcom/posts/pfbid0DUh4iFcrxZuR1UbiGhcAHcMdzsaV29GSeHCY1HabtqcnUWkjStX9TDaVqzzt92GDl</v>
      </c>
      <c r="J34" s="1" t="str">
        <f>IFERROR(__xludf.DUMMYFUNCTION("""COMPUTED_VALUE"""),"2022-07-04T11:08:02.659Z")</f>
        <v>2022-07-04T11:08:02.659Z</v>
      </c>
      <c r="K34" s="1"/>
    </row>
    <row r="35">
      <c r="A35" s="2" t="str">
        <f>IFERROR(__xludf.DUMMYFUNCTION("""COMPUTED_VALUE"""),"https://www.facebook.com/rey.pilapil.940")</f>
        <v>https://www.facebook.com/rey.pilapil.940</v>
      </c>
      <c r="B35" s="1" t="str">
        <f>IFERROR(__xludf.DUMMYFUNCTION("""COMPUTED_VALUE"""),"Rey Pilapil")</f>
        <v>Rey Pilapil</v>
      </c>
      <c r="C35" s="1" t="str">
        <f>IFERROR(__xludf.DUMMYFUNCTION("""COMPUTED_VALUE"""),"Rey")</f>
        <v>Rey</v>
      </c>
      <c r="D35" s="1" t="str">
        <f>IFERROR(__xludf.DUMMYFUNCTION("""COMPUTED_VALUE"""),"Pilapil")</f>
        <v>Pilapil</v>
      </c>
      <c r="E35" s="1" t="str">
        <f>IFERROR(__xludf.DUMMYFUNCTION("""COMPUTED_VALUE"""),"Pera hakot yan ang tatak nila 😂😂😂 kung walang pera walang suporta...")</f>
        <v>Pera hakot yan ang tatak nila 😂😂😂 kung walang pera walang suporta...</v>
      </c>
      <c r="F35" s="1">
        <f>IFERROR(__xludf.DUMMYFUNCTION("""COMPUTED_VALUE"""),2.0)</f>
        <v>2</v>
      </c>
      <c r="G35" s="1" t="str">
        <f>IFERROR(__xludf.DUMMYFUNCTION("""COMPUTED_VALUE"""),"3 mos")</f>
        <v>3 mos</v>
      </c>
      <c r="H35" s="1" t="str">
        <f>IFERROR(__xludf.DUMMYFUNCTION("""COMPUTED_VALUE"""),"comment")</f>
        <v>comment</v>
      </c>
      <c r="I35" s="2" t="str">
        <f>IFERROR(__xludf.DUMMYFUNCTION("""COMPUTED_VALUE"""),"https://www.facebook.com/rapplerdotcom/posts/pfbid0DUh4iFcrxZuR1UbiGhcAHcMdzsaV29GSeHCY1HabtqcnUWkjStX9TDaVqzzt92GDl")</f>
        <v>https://www.facebook.com/rapplerdotcom/posts/pfbid0DUh4iFcrxZuR1UbiGhcAHcMdzsaV29GSeHCY1HabtqcnUWkjStX9TDaVqzzt92GDl</v>
      </c>
      <c r="J35" s="1" t="str">
        <f>IFERROR(__xludf.DUMMYFUNCTION("""COMPUTED_VALUE"""),"2022-07-04T11:08:02.659Z")</f>
        <v>2022-07-04T11:08:02.659Z</v>
      </c>
      <c r="K35" s="1"/>
    </row>
    <row r="36">
      <c r="A36" s="2" t="str">
        <f>IFERROR(__xludf.DUMMYFUNCTION("""COMPUTED_VALUE"""),"https://www.facebook.com/profile.php?id=100076323624998")</f>
        <v>https://www.facebook.com/profile.php?id=100076323624998</v>
      </c>
      <c r="B36" s="1" t="str">
        <f>IFERROR(__xludf.DUMMYFUNCTION("""COMPUTED_VALUE"""),"Rodrigo Cua Lee")</f>
        <v>Rodrigo Cua Lee</v>
      </c>
      <c r="C36" s="1" t="str">
        <f>IFERROR(__xludf.DUMMYFUNCTION("""COMPUTED_VALUE"""),"Rodrigo")</f>
        <v>Rodrigo</v>
      </c>
      <c r="D36" s="1" t="str">
        <f>IFERROR(__xludf.DUMMYFUNCTION("""COMPUTED_VALUE"""),"Cua Lee")</f>
        <v>Cua Lee</v>
      </c>
      <c r="E36" s="1" t="str">
        <f>IFERROR(__xludf.DUMMYFUNCTION("""COMPUTED_VALUE"""),"Rey Pilapil katulad ni alvarez?800 million ?")</f>
        <v>Rey Pilapil katulad ni alvarez?800 million ?</v>
      </c>
      <c r="F36" s="1"/>
      <c r="G36" s="1" t="str">
        <f>IFERROR(__xludf.DUMMYFUNCTION("""COMPUTED_VALUE"""),"3 mos")</f>
        <v>3 mos</v>
      </c>
      <c r="H36" s="1" t="str">
        <f>IFERROR(__xludf.DUMMYFUNCTION("""COMPUTED_VALUE"""),"reply")</f>
        <v>reply</v>
      </c>
      <c r="I36" s="2" t="str">
        <f>IFERROR(__xludf.DUMMYFUNCTION("""COMPUTED_VALUE"""),"https://www.facebook.com/rapplerdotcom/posts/pfbid0DUh4iFcrxZuR1UbiGhcAHcMdzsaV29GSeHCY1HabtqcnUWkjStX9TDaVqzzt92GDl")</f>
        <v>https://www.facebook.com/rapplerdotcom/posts/pfbid0DUh4iFcrxZuR1UbiGhcAHcMdzsaV29GSeHCY1HabtqcnUWkjStX9TDaVqzzt92GDl</v>
      </c>
      <c r="J36" s="1" t="str">
        <f>IFERROR(__xludf.DUMMYFUNCTION("""COMPUTED_VALUE"""),"2022-07-04T11:08:02.659Z")</f>
        <v>2022-07-04T11:08:02.659Z</v>
      </c>
      <c r="K36" s="1"/>
    </row>
    <row r="37">
      <c r="A37" s="2" t="str">
        <f>IFERROR(__xludf.DUMMYFUNCTION("""COMPUTED_VALUE"""),"https://www.facebook.com/profile.php?id=100070766584402")</f>
        <v>https://www.facebook.com/profile.php?id=100070766584402</v>
      </c>
      <c r="B37" s="1" t="str">
        <f>IFERROR(__xludf.DUMMYFUNCTION("""COMPUTED_VALUE"""),"John Earl Caballero")</f>
        <v>John Earl Caballero</v>
      </c>
      <c r="C37" s="1" t="str">
        <f>IFERROR(__xludf.DUMMYFUNCTION("""COMPUTED_VALUE"""),"John")</f>
        <v>John</v>
      </c>
      <c r="D37" s="1" t="str">
        <f>IFERROR(__xludf.DUMMYFUNCTION("""COMPUTED_VALUE"""),"Earl Caballero")</f>
        <v>Earl Caballero</v>
      </c>
      <c r="E37" s="1" t="str">
        <f>IFERROR(__xludf.DUMMYFUNCTION("""COMPUTED_VALUE"""),"Rey Pilapil bhee wag piling inosente sa inyo rin naman😶👏😌")</f>
        <v>Rey Pilapil bhee wag piling inosente sa inyo rin naman😶👏😌</v>
      </c>
      <c r="F37" s="1"/>
      <c r="G37" s="1" t="str">
        <f>IFERROR(__xludf.DUMMYFUNCTION("""COMPUTED_VALUE"""),"3 mos")</f>
        <v>3 mos</v>
      </c>
      <c r="H37" s="1" t="str">
        <f>IFERROR(__xludf.DUMMYFUNCTION("""COMPUTED_VALUE"""),"reply")</f>
        <v>reply</v>
      </c>
      <c r="I37" s="2" t="str">
        <f>IFERROR(__xludf.DUMMYFUNCTION("""COMPUTED_VALUE"""),"https://www.facebook.com/rapplerdotcom/posts/pfbid0DUh4iFcrxZuR1UbiGhcAHcMdzsaV29GSeHCY1HabtqcnUWkjStX9TDaVqzzt92GDl")</f>
        <v>https://www.facebook.com/rapplerdotcom/posts/pfbid0DUh4iFcrxZuR1UbiGhcAHcMdzsaV29GSeHCY1HabtqcnUWkjStX9TDaVqzzt92GDl</v>
      </c>
      <c r="J37" s="1" t="str">
        <f>IFERROR(__xludf.DUMMYFUNCTION("""COMPUTED_VALUE"""),"2022-07-04T11:08:02.659Z")</f>
        <v>2022-07-04T11:08:02.659Z</v>
      </c>
      <c r="K37" s="1"/>
    </row>
    <row r="38">
      <c r="A38" s="2" t="str">
        <f>IFERROR(__xludf.DUMMYFUNCTION("""COMPUTED_VALUE"""),"https://www.facebook.com/profile.php?id=100078059580817")</f>
        <v>https://www.facebook.com/profile.php?id=100078059580817</v>
      </c>
      <c r="B38" s="1" t="str">
        <f>IFERROR(__xludf.DUMMYFUNCTION("""COMPUTED_VALUE"""),"Dwyane Johnson")</f>
        <v>Dwyane Johnson</v>
      </c>
      <c r="C38" s="1" t="str">
        <f>IFERROR(__xludf.DUMMYFUNCTION("""COMPUTED_VALUE"""),"Dwyane")</f>
        <v>Dwyane</v>
      </c>
      <c r="D38" s="1" t="str">
        <f>IFERROR(__xludf.DUMMYFUNCTION("""COMPUTED_VALUE"""),"Johnson")</f>
        <v>Johnson</v>
      </c>
      <c r="E38" s="1" t="str">
        <f>IFERROR(__xludf.DUMMYFUNCTION("""COMPUTED_VALUE"""),"Rey Pilapil Jesus Ang hakot c lutang sa cavite galing bicol Ang bus 20 piraso hahhaha")</f>
        <v>Rey Pilapil Jesus Ang hakot c lutang sa cavite galing bicol Ang bus 20 piraso hahhaha</v>
      </c>
      <c r="F38" s="1">
        <f>IFERROR(__xludf.DUMMYFUNCTION("""COMPUTED_VALUE"""),1.0)</f>
        <v>1</v>
      </c>
      <c r="G38" s="1" t="str">
        <f>IFERROR(__xludf.DUMMYFUNCTION("""COMPUTED_VALUE"""),"3 mos")</f>
        <v>3 mos</v>
      </c>
      <c r="H38" s="1" t="str">
        <f>IFERROR(__xludf.DUMMYFUNCTION("""COMPUTED_VALUE"""),"reply")</f>
        <v>reply</v>
      </c>
      <c r="I38" s="2" t="str">
        <f>IFERROR(__xludf.DUMMYFUNCTION("""COMPUTED_VALUE"""),"https://www.facebook.com/rapplerdotcom/posts/pfbid0DUh4iFcrxZuR1UbiGhcAHcMdzsaV29GSeHCY1HabtqcnUWkjStX9TDaVqzzt92GDl")</f>
        <v>https://www.facebook.com/rapplerdotcom/posts/pfbid0DUh4iFcrxZuR1UbiGhcAHcMdzsaV29GSeHCY1HabtqcnUWkjStX9TDaVqzzt92GDl</v>
      </c>
      <c r="J38" s="1" t="str">
        <f>IFERROR(__xludf.DUMMYFUNCTION("""COMPUTED_VALUE"""),"2022-07-04T11:08:02.659Z")</f>
        <v>2022-07-04T11:08:02.659Z</v>
      </c>
      <c r="K38" s="1"/>
    </row>
    <row r="39">
      <c r="A39" s="2" t="str">
        <f>IFERROR(__xludf.DUMMYFUNCTION("""COMPUTED_VALUE"""),"https://www.facebook.com/rey.pilapil.940")</f>
        <v>https://www.facebook.com/rey.pilapil.940</v>
      </c>
      <c r="B39" s="1" t="str">
        <f>IFERROR(__xludf.DUMMYFUNCTION("""COMPUTED_VALUE"""),"Rey Pilapil")</f>
        <v>Rey Pilapil</v>
      </c>
      <c r="C39" s="1" t="str">
        <f>IFERROR(__xludf.DUMMYFUNCTION("""COMPUTED_VALUE"""),"Rey")</f>
        <v>Rey</v>
      </c>
      <c r="D39" s="1" t="str">
        <f>IFERROR(__xludf.DUMMYFUNCTION("""COMPUTED_VALUE"""),"Pilapil")</f>
        <v>Pilapil</v>
      </c>
      <c r="E39" s="1" t="str">
        <f>IFERROR(__xludf.DUMMYFUNCTION("""COMPUTED_VALUE"""),"Dwyane Johnson taga cavite ka ba kung hindi wala kang alam sa sinasabi mo,pero kung taga gentri ka lutang ang utak mo dahil bulag ka 😂😂😂")</f>
        <v>Dwyane Johnson taga cavite ka ba kung hindi wala kang alam sa sinasabi mo,pero kung taga gentri ka lutang ang utak mo dahil bulag ka 😂😂😂</v>
      </c>
      <c r="F39" s="1"/>
      <c r="G39" s="1" t="str">
        <f>IFERROR(__xludf.DUMMYFUNCTION("""COMPUTED_VALUE"""),"3 mos")</f>
        <v>3 mos</v>
      </c>
      <c r="H39" s="1" t="str">
        <f>IFERROR(__xludf.DUMMYFUNCTION("""COMPUTED_VALUE"""),"reply")</f>
        <v>reply</v>
      </c>
      <c r="I39" s="2" t="str">
        <f>IFERROR(__xludf.DUMMYFUNCTION("""COMPUTED_VALUE"""),"https://www.facebook.com/rapplerdotcom/posts/pfbid0DUh4iFcrxZuR1UbiGhcAHcMdzsaV29GSeHCY1HabtqcnUWkjStX9TDaVqzzt92GDl")</f>
        <v>https://www.facebook.com/rapplerdotcom/posts/pfbid0DUh4iFcrxZuR1UbiGhcAHcMdzsaV29GSeHCY1HabtqcnUWkjStX9TDaVqzzt92GDl</v>
      </c>
      <c r="J39" s="1" t="str">
        <f>IFERROR(__xludf.DUMMYFUNCTION("""COMPUTED_VALUE"""),"2022-07-04T11:08:02.659Z")</f>
        <v>2022-07-04T11:08:02.659Z</v>
      </c>
      <c r="K39" s="1"/>
    </row>
    <row r="40">
      <c r="A40" s="2" t="str">
        <f>IFERROR(__xludf.DUMMYFUNCTION("""COMPUTED_VALUE"""),"https://www.facebook.com/profile.php?id=100078059580817")</f>
        <v>https://www.facebook.com/profile.php?id=100078059580817</v>
      </c>
      <c r="B40" s="1" t="str">
        <f>IFERROR(__xludf.DUMMYFUNCTION("""COMPUTED_VALUE"""),"Dwyane Johnson")</f>
        <v>Dwyane Johnson</v>
      </c>
      <c r="C40" s="1" t="str">
        <f>IFERROR(__xludf.DUMMYFUNCTION("""COMPUTED_VALUE"""),"Dwyane")</f>
        <v>Dwyane</v>
      </c>
      <c r="D40" s="1" t="str">
        <f>IFERROR(__xludf.DUMMYFUNCTION("""COMPUTED_VALUE"""),"Johnson")</f>
        <v>Johnson</v>
      </c>
      <c r="E40" s="1" t="str">
        <f>IFERROR(__xludf.DUMMYFUNCTION("""COMPUTED_VALUE"""),"Rey Pilapil anong sinabi ni remulia Ikaw Ang buang")</f>
        <v>Rey Pilapil anong sinabi ni remulia Ikaw Ang buang</v>
      </c>
      <c r="F40" s="1">
        <f>IFERROR(__xludf.DUMMYFUNCTION("""COMPUTED_VALUE"""),1.0)</f>
        <v>1</v>
      </c>
      <c r="G40" s="1" t="str">
        <f>IFERROR(__xludf.DUMMYFUNCTION("""COMPUTED_VALUE"""),"3 mos")</f>
        <v>3 mos</v>
      </c>
      <c r="H40" s="1" t="str">
        <f>IFERROR(__xludf.DUMMYFUNCTION("""COMPUTED_VALUE"""),"reply")</f>
        <v>reply</v>
      </c>
      <c r="I40" s="2" t="str">
        <f>IFERROR(__xludf.DUMMYFUNCTION("""COMPUTED_VALUE"""),"https://www.facebook.com/rapplerdotcom/posts/pfbid0DUh4iFcrxZuR1UbiGhcAHcMdzsaV29GSeHCY1HabtqcnUWkjStX9TDaVqzzt92GDl")</f>
        <v>https://www.facebook.com/rapplerdotcom/posts/pfbid0DUh4iFcrxZuR1UbiGhcAHcMdzsaV29GSeHCY1HabtqcnUWkjStX9TDaVqzzt92GDl</v>
      </c>
      <c r="J40" s="1" t="str">
        <f>IFERROR(__xludf.DUMMYFUNCTION("""COMPUTED_VALUE"""),"2022-07-04T11:08:02.659Z")</f>
        <v>2022-07-04T11:08:02.659Z</v>
      </c>
      <c r="K40" s="1"/>
    </row>
    <row r="41">
      <c r="A41" s="2" t="str">
        <f>IFERROR(__xludf.DUMMYFUNCTION("""COMPUTED_VALUE"""),"https://www.facebook.com/profile.php?id=100078059580817")</f>
        <v>https://www.facebook.com/profile.php?id=100078059580817</v>
      </c>
      <c r="B41" s="1" t="str">
        <f>IFERROR(__xludf.DUMMYFUNCTION("""COMPUTED_VALUE"""),"Dwyane Johnson")</f>
        <v>Dwyane Johnson</v>
      </c>
      <c r="C41" s="1" t="str">
        <f>IFERROR(__xludf.DUMMYFUNCTION("""COMPUTED_VALUE"""),"Dwyane")</f>
        <v>Dwyane</v>
      </c>
      <c r="D41" s="1" t="str">
        <f>IFERROR(__xludf.DUMMYFUNCTION("""COMPUTED_VALUE"""),"Johnson")</f>
        <v>Johnson</v>
      </c>
      <c r="E41" s="1" t="str">
        <f>IFERROR(__xludf.DUMMYFUNCTION("""COMPUTED_VALUE"""),"Rey Pilapil bading")</f>
        <v>Rey Pilapil bading</v>
      </c>
      <c r="F41" s="1">
        <f>IFERROR(__xludf.DUMMYFUNCTION("""COMPUTED_VALUE"""),1.0)</f>
        <v>1</v>
      </c>
      <c r="G41" s="1" t="str">
        <f>IFERROR(__xludf.DUMMYFUNCTION("""COMPUTED_VALUE"""),"3 mos")</f>
        <v>3 mos</v>
      </c>
      <c r="H41" s="1" t="str">
        <f>IFERROR(__xludf.DUMMYFUNCTION("""COMPUTED_VALUE"""),"reply")</f>
        <v>reply</v>
      </c>
      <c r="I41" s="2" t="str">
        <f>IFERROR(__xludf.DUMMYFUNCTION("""COMPUTED_VALUE"""),"https://www.facebook.com/rapplerdotcom/posts/pfbid0DUh4iFcrxZuR1UbiGhcAHcMdzsaV29GSeHCY1HabtqcnUWkjStX9TDaVqzzt92GDl")</f>
        <v>https://www.facebook.com/rapplerdotcom/posts/pfbid0DUh4iFcrxZuR1UbiGhcAHcMdzsaV29GSeHCY1HabtqcnUWkjStX9TDaVqzzt92GDl</v>
      </c>
      <c r="J41" s="1" t="str">
        <f>IFERROR(__xludf.DUMMYFUNCTION("""COMPUTED_VALUE"""),"2022-07-04T11:08:02.659Z")</f>
        <v>2022-07-04T11:08:02.659Z</v>
      </c>
      <c r="K41" s="1"/>
    </row>
    <row r="42">
      <c r="A42" s="2" t="str">
        <f>IFERROR(__xludf.DUMMYFUNCTION("""COMPUTED_VALUE"""),"https://www.facebook.com/rey.pilapil.940")</f>
        <v>https://www.facebook.com/rey.pilapil.940</v>
      </c>
      <c r="B42" s="1" t="str">
        <f>IFERROR(__xludf.DUMMYFUNCTION("""COMPUTED_VALUE"""),"Rey Pilapil")</f>
        <v>Rey Pilapil</v>
      </c>
      <c r="C42" s="1" t="str">
        <f>IFERROR(__xludf.DUMMYFUNCTION("""COMPUTED_VALUE"""),"Rey")</f>
        <v>Rey</v>
      </c>
      <c r="D42" s="1" t="str">
        <f>IFERROR(__xludf.DUMMYFUNCTION("""COMPUTED_VALUE"""),"Pilapil")</f>
        <v>Pilapil</v>
      </c>
      <c r="E42" s="1" t="str">
        <f>IFERROR(__xludf.DUMMYFUNCTION("""COMPUTED_VALUE"""),"Dwyane Johnson sino sa remulla ang sinasabi mo,sila ngang magkapatid hindi mag tugma ang sinasabi 😂😂😂")</f>
        <v>Dwyane Johnson sino sa remulla ang sinasabi mo,sila ngang magkapatid hindi mag tugma ang sinasabi 😂😂😂</v>
      </c>
      <c r="F42" s="1"/>
      <c r="G42" s="1" t="str">
        <f>IFERROR(__xludf.DUMMYFUNCTION("""COMPUTED_VALUE"""),"3 mos")</f>
        <v>3 mos</v>
      </c>
      <c r="H42" s="1" t="str">
        <f>IFERROR(__xludf.DUMMYFUNCTION("""COMPUTED_VALUE"""),"reply")</f>
        <v>reply</v>
      </c>
      <c r="I42" s="2" t="str">
        <f>IFERROR(__xludf.DUMMYFUNCTION("""COMPUTED_VALUE"""),"https://www.facebook.com/rapplerdotcom/posts/pfbid0DUh4iFcrxZuR1UbiGhcAHcMdzsaV29GSeHCY1HabtqcnUWkjStX9TDaVqzzt92GDl")</f>
        <v>https://www.facebook.com/rapplerdotcom/posts/pfbid0DUh4iFcrxZuR1UbiGhcAHcMdzsaV29GSeHCY1HabtqcnUWkjStX9TDaVqzzt92GDl</v>
      </c>
      <c r="J42" s="1" t="str">
        <f>IFERROR(__xludf.DUMMYFUNCTION("""COMPUTED_VALUE"""),"2022-07-04T11:08:02.659Z")</f>
        <v>2022-07-04T11:08:02.659Z</v>
      </c>
      <c r="K42" s="1"/>
    </row>
    <row r="43">
      <c r="A43" s="2" t="str">
        <f>IFERROR(__xludf.DUMMYFUNCTION("""COMPUTED_VALUE"""),"https://www.facebook.com/rey.pilapil.940")</f>
        <v>https://www.facebook.com/rey.pilapil.940</v>
      </c>
      <c r="B43" s="1" t="str">
        <f>IFERROR(__xludf.DUMMYFUNCTION("""COMPUTED_VALUE"""),"Rey Pilapil")</f>
        <v>Rey Pilapil</v>
      </c>
      <c r="C43" s="1" t="str">
        <f>IFERROR(__xludf.DUMMYFUNCTION("""COMPUTED_VALUE"""),"Rey")</f>
        <v>Rey</v>
      </c>
      <c r="D43" s="1" t="str">
        <f>IFERROR(__xludf.DUMMYFUNCTION("""COMPUTED_VALUE"""),"Pilapil")</f>
        <v>Pilapil</v>
      </c>
      <c r="E43" s="1" t="str">
        <f>IFERROR(__xludf.DUMMYFUNCTION("""COMPUTED_VALUE"""),"Dwyane Johnson")</f>
        <v>Dwyane Johnson</v>
      </c>
      <c r="F43" s="1"/>
      <c r="G43" s="1" t="str">
        <f>IFERROR(__xludf.DUMMYFUNCTION("""COMPUTED_VALUE"""),"3 mos")</f>
        <v>3 mos</v>
      </c>
      <c r="H43" s="1" t="str">
        <f>IFERROR(__xludf.DUMMYFUNCTION("""COMPUTED_VALUE"""),"reply")</f>
        <v>reply</v>
      </c>
      <c r="I43" s="2" t="str">
        <f>IFERROR(__xludf.DUMMYFUNCTION("""COMPUTED_VALUE"""),"https://www.facebook.com/rapplerdotcom/posts/pfbid0DUh4iFcrxZuR1UbiGhcAHcMdzsaV29GSeHCY1HabtqcnUWkjStX9TDaVqzzt92GDl")</f>
        <v>https://www.facebook.com/rapplerdotcom/posts/pfbid0DUh4iFcrxZuR1UbiGhcAHcMdzsaV29GSeHCY1HabtqcnUWkjStX9TDaVqzzt92GDl</v>
      </c>
      <c r="J43" s="1" t="str">
        <f>IFERROR(__xludf.DUMMYFUNCTION("""COMPUTED_VALUE"""),"2022-07-04T11:08:02.659Z")</f>
        <v>2022-07-04T11:08:02.659Z</v>
      </c>
      <c r="K43" s="1"/>
    </row>
    <row r="44">
      <c r="A44" s="2" t="str">
        <f>IFERROR(__xludf.DUMMYFUNCTION("""COMPUTED_VALUE"""),"https://www.facebook.com/profile.php?id=100078059580817")</f>
        <v>https://www.facebook.com/profile.php?id=100078059580817</v>
      </c>
      <c r="B44" s="1" t="str">
        <f>IFERROR(__xludf.DUMMYFUNCTION("""COMPUTED_VALUE"""),"Dwyane Johnson")</f>
        <v>Dwyane Johnson</v>
      </c>
      <c r="C44" s="1" t="str">
        <f>IFERROR(__xludf.DUMMYFUNCTION("""COMPUTED_VALUE"""),"Dwyane")</f>
        <v>Dwyane</v>
      </c>
      <c r="D44" s="1" t="str">
        <f>IFERROR(__xludf.DUMMYFUNCTION("""COMPUTED_VALUE"""),"Johnson")</f>
        <v>Johnson</v>
      </c>
      <c r="E44" s="1" t="str">
        <f>IFERROR(__xludf.DUMMYFUNCTION("""COMPUTED_VALUE"""),"Rey Pilapil D mag tugma sa ka lutang mo")</f>
        <v>Rey Pilapil D mag tugma sa ka lutang mo</v>
      </c>
      <c r="F44" s="1">
        <f>IFERROR(__xludf.DUMMYFUNCTION("""COMPUTED_VALUE"""),1.0)</f>
        <v>1</v>
      </c>
      <c r="G44" s="1" t="str">
        <f>IFERROR(__xludf.DUMMYFUNCTION("""COMPUTED_VALUE"""),"3 mos")</f>
        <v>3 mos</v>
      </c>
      <c r="H44" s="1" t="str">
        <f>IFERROR(__xludf.DUMMYFUNCTION("""COMPUTED_VALUE"""),"reply")</f>
        <v>reply</v>
      </c>
      <c r="I44" s="2" t="str">
        <f>IFERROR(__xludf.DUMMYFUNCTION("""COMPUTED_VALUE"""),"https://www.facebook.com/rapplerdotcom/posts/pfbid0DUh4iFcrxZuR1UbiGhcAHcMdzsaV29GSeHCY1HabtqcnUWkjStX9TDaVqzzt92GDl")</f>
        <v>https://www.facebook.com/rapplerdotcom/posts/pfbid0DUh4iFcrxZuR1UbiGhcAHcMdzsaV29GSeHCY1HabtqcnUWkjStX9TDaVqzzt92GDl</v>
      </c>
      <c r="J44" s="1" t="str">
        <f>IFERROR(__xludf.DUMMYFUNCTION("""COMPUTED_VALUE"""),"2022-07-04T11:08:02.659Z")</f>
        <v>2022-07-04T11:08:02.659Z</v>
      </c>
      <c r="K44" s="1"/>
    </row>
    <row r="45">
      <c r="A45" s="2" t="str">
        <f>IFERROR(__xludf.DUMMYFUNCTION("""COMPUTED_VALUE"""),"https://www.facebook.com/jim.nograles")</f>
        <v>https://www.facebook.com/jim.nograles</v>
      </c>
      <c r="B45" s="1" t="str">
        <f>IFERROR(__xludf.DUMMYFUNCTION("""COMPUTED_VALUE"""),"Jim Nograles")</f>
        <v>Jim Nograles</v>
      </c>
      <c r="C45" s="1" t="str">
        <f>IFERROR(__xludf.DUMMYFUNCTION("""COMPUTED_VALUE"""),"Jim")</f>
        <v>Jim</v>
      </c>
      <c r="D45" s="1" t="str">
        <f>IFERROR(__xludf.DUMMYFUNCTION("""COMPUTED_VALUE"""),"Nograles")</f>
        <v>Nograles</v>
      </c>
      <c r="E45" s="1" t="str">
        <f>IFERROR(__xludf.DUMMYFUNCTION("""COMPUTED_VALUE"""),"Bless us all bangon pinas together we can do it")</f>
        <v>Bless us all bangon pinas together we can do it</v>
      </c>
      <c r="F45" s="1">
        <f>IFERROR(__xludf.DUMMYFUNCTION("""COMPUTED_VALUE"""),2.0)</f>
        <v>2</v>
      </c>
      <c r="G45" s="1" t="str">
        <f>IFERROR(__xludf.DUMMYFUNCTION("""COMPUTED_VALUE"""),"3 mos")</f>
        <v>3 mos</v>
      </c>
      <c r="H45" s="1" t="str">
        <f>IFERROR(__xludf.DUMMYFUNCTION("""COMPUTED_VALUE"""),"comment")</f>
        <v>comment</v>
      </c>
      <c r="I45" s="2" t="str">
        <f>IFERROR(__xludf.DUMMYFUNCTION("""COMPUTED_VALUE"""),"https://www.facebook.com/rapplerdotcom/posts/pfbid0DUh4iFcrxZuR1UbiGhcAHcMdzsaV29GSeHCY1HabtqcnUWkjStX9TDaVqzzt92GDl")</f>
        <v>https://www.facebook.com/rapplerdotcom/posts/pfbid0DUh4iFcrxZuR1UbiGhcAHcMdzsaV29GSeHCY1HabtqcnUWkjStX9TDaVqzzt92GDl</v>
      </c>
      <c r="J45" s="1" t="str">
        <f>IFERROR(__xludf.DUMMYFUNCTION("""COMPUTED_VALUE"""),"2022-07-04T11:08:02.659Z")</f>
        <v>2022-07-04T11:08:02.659Z</v>
      </c>
      <c r="K45" s="1"/>
    </row>
    <row r="46">
      <c r="A46" s="2" t="str">
        <f>IFERROR(__xludf.DUMMYFUNCTION("""COMPUTED_VALUE"""),"https://www.facebook.com/spiderbeef23")</f>
        <v>https://www.facebook.com/spiderbeef23</v>
      </c>
      <c r="B46" s="1" t="str">
        <f>IFERROR(__xludf.DUMMYFUNCTION("""COMPUTED_VALUE"""),"Jan Karen Leoning")</f>
        <v>Jan Karen Leoning</v>
      </c>
      <c r="C46" s="1" t="str">
        <f>IFERROR(__xludf.DUMMYFUNCTION("""COMPUTED_VALUE"""),"Jan")</f>
        <v>Jan</v>
      </c>
      <c r="D46" s="1" t="str">
        <f>IFERROR(__xludf.DUMMYFUNCTION("""COMPUTED_VALUE"""),"Karen Leoning")</f>
        <v>Karen Leoning</v>
      </c>
      <c r="E46" s="1" t="str">
        <f>IFERROR(__xludf.DUMMYFUNCTION("""COMPUTED_VALUE"""),"Buti pa yung supporters marunong magshow up during difficult times. Di tulad nung kandidato 👀")</f>
        <v>Buti pa yung supporters marunong magshow up during difficult times. Di tulad nung kandidato 👀</v>
      </c>
      <c r="F46" s="1">
        <f>IFERROR(__xludf.DUMMYFUNCTION("""COMPUTED_VALUE"""),11.0)</f>
        <v>11</v>
      </c>
      <c r="G46" s="1" t="str">
        <f>IFERROR(__xludf.DUMMYFUNCTION("""COMPUTED_VALUE"""),"3 mos")</f>
        <v>3 mos</v>
      </c>
      <c r="H46" s="1" t="str">
        <f>IFERROR(__xludf.DUMMYFUNCTION("""COMPUTED_VALUE"""),"comment")</f>
        <v>comment</v>
      </c>
      <c r="I46" s="2" t="str">
        <f>IFERROR(__xludf.DUMMYFUNCTION("""COMPUTED_VALUE"""),"https://www.facebook.com/rapplerdotcom/posts/pfbid0DUh4iFcrxZuR1UbiGhcAHcMdzsaV29GSeHCY1HabtqcnUWkjStX9TDaVqzzt92GDl")</f>
        <v>https://www.facebook.com/rapplerdotcom/posts/pfbid0DUh4iFcrxZuR1UbiGhcAHcMdzsaV29GSeHCY1HabtqcnUWkjStX9TDaVqzzt92GDl</v>
      </c>
      <c r="J46" s="1" t="str">
        <f>IFERROR(__xludf.DUMMYFUNCTION("""COMPUTED_VALUE"""),"2022-07-04T11:08:02.659Z")</f>
        <v>2022-07-04T11:08:02.659Z</v>
      </c>
      <c r="K46" s="1"/>
    </row>
    <row r="47">
      <c r="A47" s="2" t="str">
        <f>IFERROR(__xludf.DUMMYFUNCTION("""COMPUTED_VALUE"""),"https://www.facebook.com/alvin.quibilan")</f>
        <v>https://www.facebook.com/alvin.quibilan</v>
      </c>
      <c r="B47" s="1" t="str">
        <f>IFERROR(__xludf.DUMMYFUNCTION("""COMPUTED_VALUE"""),"Vin Qui")</f>
        <v>Vin Qui</v>
      </c>
      <c r="C47" s="1" t="str">
        <f>IFERROR(__xludf.DUMMYFUNCTION("""COMPUTED_VALUE"""),"Vin")</f>
        <v>Vin</v>
      </c>
      <c r="D47" s="1" t="str">
        <f>IFERROR(__xludf.DUMMYFUNCTION("""COMPUTED_VALUE"""),"Qui")</f>
        <v>Qui</v>
      </c>
      <c r="E47" s="1" t="str">
        <f>IFERROR(__xludf.DUMMYFUNCTION("""COMPUTED_VALUE"""),"Siempre may bayad pakatapos yan.")</f>
        <v>Siempre may bayad pakatapos yan.</v>
      </c>
      <c r="F47" s="1">
        <f>IFERROR(__xludf.DUMMYFUNCTION("""COMPUTED_VALUE"""),12.0)</f>
        <v>12</v>
      </c>
      <c r="G47" s="1" t="str">
        <f>IFERROR(__xludf.DUMMYFUNCTION("""COMPUTED_VALUE"""),"3 mos")</f>
        <v>3 mos</v>
      </c>
      <c r="H47" s="1" t="str">
        <f>IFERROR(__xludf.DUMMYFUNCTION("""COMPUTED_VALUE"""),"comment")</f>
        <v>comment</v>
      </c>
      <c r="I47" s="2" t="str">
        <f>IFERROR(__xludf.DUMMYFUNCTION("""COMPUTED_VALUE"""),"https://www.facebook.com/rapplerdotcom/posts/pfbid0DUh4iFcrxZuR1UbiGhcAHcMdzsaV29GSeHCY1HabtqcnUWkjStX9TDaVqzzt92GDl")</f>
        <v>https://www.facebook.com/rapplerdotcom/posts/pfbid0DUh4iFcrxZuR1UbiGhcAHcMdzsaV29GSeHCY1HabtqcnUWkjStX9TDaVqzzt92GDl</v>
      </c>
      <c r="J47" s="1" t="str">
        <f>IFERROR(__xludf.DUMMYFUNCTION("""COMPUTED_VALUE"""),"2022-07-04T11:08:02.659Z")</f>
        <v>2022-07-04T11:08:02.659Z</v>
      </c>
      <c r="K47" s="1"/>
    </row>
    <row r="48">
      <c r="A48" s="2" t="str">
        <f>IFERROR(__xludf.DUMMYFUNCTION("""COMPUTED_VALUE"""),"https://www.facebook.com/profile.php?id=100069548558481")</f>
        <v>https://www.facebook.com/profile.php?id=100069548558481</v>
      </c>
      <c r="B48" s="1" t="str">
        <f>IFERROR(__xludf.DUMMYFUNCTION("""COMPUTED_VALUE"""),"Aira Ballentes")</f>
        <v>Aira Ballentes</v>
      </c>
      <c r="C48" s="1" t="str">
        <f>IFERROR(__xludf.DUMMYFUNCTION("""COMPUTED_VALUE"""),"Aira")</f>
        <v>Aira</v>
      </c>
      <c r="D48" s="1" t="str">
        <f>IFERROR(__xludf.DUMMYFUNCTION("""COMPUTED_VALUE"""),"Ballentes")</f>
        <v>Ballentes</v>
      </c>
      <c r="E48" s="1" t="str">
        <f>IFERROR(__xludf.DUMMYFUNCTION("""COMPUTED_VALUE"""),"Vin Qui based on experienced po ba ?")</f>
        <v>Vin Qui based on experienced po ba ?</v>
      </c>
      <c r="F48" s="1"/>
      <c r="G48" s="1" t="str">
        <f>IFERROR(__xludf.DUMMYFUNCTION("""COMPUTED_VALUE"""),"3 mos")</f>
        <v>3 mos</v>
      </c>
      <c r="H48" s="1" t="str">
        <f>IFERROR(__xludf.DUMMYFUNCTION("""COMPUTED_VALUE"""),"reply")</f>
        <v>reply</v>
      </c>
      <c r="I48" s="2" t="str">
        <f>IFERROR(__xludf.DUMMYFUNCTION("""COMPUTED_VALUE"""),"https://www.facebook.com/rapplerdotcom/posts/pfbid0DUh4iFcrxZuR1UbiGhcAHcMdzsaV29GSeHCY1HabtqcnUWkjStX9TDaVqzzt92GDl")</f>
        <v>https://www.facebook.com/rapplerdotcom/posts/pfbid0DUh4iFcrxZuR1UbiGhcAHcMdzsaV29GSeHCY1HabtqcnUWkjStX9TDaVqzzt92GDl</v>
      </c>
      <c r="J48" s="1" t="str">
        <f>IFERROR(__xludf.DUMMYFUNCTION("""COMPUTED_VALUE"""),"2022-07-04T11:08:02.659Z")</f>
        <v>2022-07-04T11:08:02.659Z</v>
      </c>
      <c r="K48" s="1"/>
    </row>
    <row r="49">
      <c r="A49" s="2" t="str">
        <f>IFERROR(__xludf.DUMMYFUNCTION("""COMPUTED_VALUE"""),"https://www.facebook.com/alvin.quibilan")</f>
        <v>https://www.facebook.com/alvin.quibilan</v>
      </c>
      <c r="B49" s="1" t="str">
        <f>IFERROR(__xludf.DUMMYFUNCTION("""COMPUTED_VALUE"""),"Vin Qui")</f>
        <v>Vin Qui</v>
      </c>
      <c r="C49" s="1" t="str">
        <f>IFERROR(__xludf.DUMMYFUNCTION("""COMPUTED_VALUE"""),"Vin")</f>
        <v>Vin</v>
      </c>
      <c r="D49" s="1" t="str">
        <f>IFERROR(__xludf.DUMMYFUNCTION("""COMPUTED_VALUE"""),"Qui")</f>
        <v>Qui</v>
      </c>
      <c r="E49" s="1" t="str">
        <f>IFERROR(__xludf.DUMMYFUNCTION("""COMPUTED_VALUE"""),"Max Francine Bautista kitangkita sa mga news. Wag kanang mag arte, alam mo ang totoo.")</f>
        <v>Max Francine Bautista kitangkita sa mga news. Wag kanang mag arte, alam mo ang totoo.</v>
      </c>
      <c r="F49" s="1">
        <f>IFERROR(__xludf.DUMMYFUNCTION("""COMPUTED_VALUE"""),1.0)</f>
        <v>1</v>
      </c>
      <c r="G49" s="1" t="str">
        <f>IFERROR(__xludf.DUMMYFUNCTION("""COMPUTED_VALUE"""),"3 mos")</f>
        <v>3 mos</v>
      </c>
      <c r="H49" s="1" t="str">
        <f>IFERROR(__xludf.DUMMYFUNCTION("""COMPUTED_VALUE"""),"reply")</f>
        <v>reply</v>
      </c>
      <c r="I49" s="2" t="str">
        <f>IFERROR(__xludf.DUMMYFUNCTION("""COMPUTED_VALUE"""),"https://www.facebook.com/rapplerdotcom/posts/pfbid0DUh4iFcrxZuR1UbiGhcAHcMdzsaV29GSeHCY1HabtqcnUWkjStX9TDaVqzzt92GDl")</f>
        <v>https://www.facebook.com/rapplerdotcom/posts/pfbid0DUh4iFcrxZuR1UbiGhcAHcMdzsaV29GSeHCY1HabtqcnUWkjStX9TDaVqzzt92GDl</v>
      </c>
      <c r="J49" s="1" t="str">
        <f>IFERROR(__xludf.DUMMYFUNCTION("""COMPUTED_VALUE"""),"2022-07-04T11:08:02.659Z")</f>
        <v>2022-07-04T11:08:02.659Z</v>
      </c>
      <c r="K49" s="1"/>
    </row>
    <row r="50">
      <c r="A50" s="2" t="str">
        <f>IFERROR(__xludf.DUMMYFUNCTION("""COMPUTED_VALUE"""),"https://www.facebook.com/profile.php?id=100069548558481")</f>
        <v>https://www.facebook.com/profile.php?id=100069548558481</v>
      </c>
      <c r="B50" s="1" t="str">
        <f>IFERROR(__xludf.DUMMYFUNCTION("""COMPUTED_VALUE"""),"Aira Ballentes")</f>
        <v>Aira Ballentes</v>
      </c>
      <c r="C50" s="1" t="str">
        <f>IFERROR(__xludf.DUMMYFUNCTION("""COMPUTED_VALUE"""),"Aira")</f>
        <v>Aira</v>
      </c>
      <c r="D50" s="1" t="str">
        <f>IFERROR(__xludf.DUMMYFUNCTION("""COMPUTED_VALUE"""),"Ballentes")</f>
        <v>Ballentes</v>
      </c>
      <c r="E50" s="1" t="str">
        <f>IFERROR(__xludf.DUMMYFUNCTION("""COMPUTED_VALUE"""),"Vin Qui di ako nag iinarte . Wag kase puro one sided na news yung pinapanood mo 🙃")</f>
        <v>Vin Qui di ako nag iinarte . Wag kase puro one sided na news yung pinapanood mo 🙃</v>
      </c>
      <c r="F50" s="1">
        <f>IFERROR(__xludf.DUMMYFUNCTION("""COMPUTED_VALUE"""),1.0)</f>
        <v>1</v>
      </c>
      <c r="G50" s="1" t="str">
        <f>IFERROR(__xludf.DUMMYFUNCTION("""COMPUTED_VALUE"""),"3 mos")</f>
        <v>3 mos</v>
      </c>
      <c r="H50" s="1" t="str">
        <f>IFERROR(__xludf.DUMMYFUNCTION("""COMPUTED_VALUE"""),"reply")</f>
        <v>reply</v>
      </c>
      <c r="I50" s="2" t="str">
        <f>IFERROR(__xludf.DUMMYFUNCTION("""COMPUTED_VALUE"""),"https://www.facebook.com/rapplerdotcom/posts/pfbid0DUh4iFcrxZuR1UbiGhcAHcMdzsaV29GSeHCY1HabtqcnUWkjStX9TDaVqzzt92GDl")</f>
        <v>https://www.facebook.com/rapplerdotcom/posts/pfbid0DUh4iFcrxZuR1UbiGhcAHcMdzsaV29GSeHCY1HabtqcnUWkjStX9TDaVqzzt92GDl</v>
      </c>
      <c r="J50" s="1" t="str">
        <f>IFERROR(__xludf.DUMMYFUNCTION("""COMPUTED_VALUE"""),"2022-07-04T11:08:02.659Z")</f>
        <v>2022-07-04T11:08:02.659Z</v>
      </c>
      <c r="K50" s="1"/>
    </row>
    <row r="51">
      <c r="A51" s="2" t="str">
        <f>IFERROR(__xludf.DUMMYFUNCTION("""COMPUTED_VALUE"""),"https://www.facebook.com/alvin.quibilan")</f>
        <v>https://www.facebook.com/alvin.quibilan</v>
      </c>
      <c r="B51" s="1" t="str">
        <f>IFERROR(__xludf.DUMMYFUNCTION("""COMPUTED_VALUE"""),"Vin Qui")</f>
        <v>Vin Qui</v>
      </c>
      <c r="C51" s="1" t="str">
        <f>IFERROR(__xludf.DUMMYFUNCTION("""COMPUTED_VALUE"""),"Vin")</f>
        <v>Vin</v>
      </c>
      <c r="D51" s="1" t="str">
        <f>IFERROR(__xludf.DUMMYFUNCTION("""COMPUTED_VALUE"""),"Qui")</f>
        <v>Qui</v>
      </c>
      <c r="E51" s="1" t="str">
        <f>IFERROR(__xludf.DUMMYFUNCTION("""COMPUTED_VALUE"""),"Max Francine Bautista hindi one sided ang GMA. Wag kanang mag comment kasi pang gulo kalang.")</f>
        <v>Max Francine Bautista hindi one sided ang GMA. Wag kanang mag comment kasi pang gulo kalang.</v>
      </c>
      <c r="F51" s="1">
        <f>IFERROR(__xludf.DUMMYFUNCTION("""COMPUTED_VALUE"""),2.0)</f>
        <v>2</v>
      </c>
      <c r="G51" s="1" t="str">
        <f>IFERROR(__xludf.DUMMYFUNCTION("""COMPUTED_VALUE"""),"3 mos")</f>
        <v>3 mos</v>
      </c>
      <c r="H51" s="1" t="str">
        <f>IFERROR(__xludf.DUMMYFUNCTION("""COMPUTED_VALUE"""),"reply")</f>
        <v>reply</v>
      </c>
      <c r="I51" s="2" t="str">
        <f>IFERROR(__xludf.DUMMYFUNCTION("""COMPUTED_VALUE"""),"https://www.facebook.com/rapplerdotcom/posts/pfbid0DUh4iFcrxZuR1UbiGhcAHcMdzsaV29GSeHCY1HabtqcnUWkjStX9TDaVqzzt92GDl")</f>
        <v>https://www.facebook.com/rapplerdotcom/posts/pfbid0DUh4iFcrxZuR1UbiGhcAHcMdzsaV29GSeHCY1HabtqcnUWkjStX9TDaVqzzt92GDl</v>
      </c>
      <c r="J51" s="1" t="str">
        <f>IFERROR(__xludf.DUMMYFUNCTION("""COMPUTED_VALUE"""),"2022-07-04T11:08:02.659Z")</f>
        <v>2022-07-04T11:08:02.659Z</v>
      </c>
      <c r="K51" s="1"/>
    </row>
    <row r="52">
      <c r="A52" s="2" t="str">
        <f>IFERROR(__xludf.DUMMYFUNCTION("""COMPUTED_VALUE"""),"https://www.facebook.com/profile.php?id=100069548558481")</f>
        <v>https://www.facebook.com/profile.php?id=100069548558481</v>
      </c>
      <c r="B52" s="1" t="str">
        <f>IFERROR(__xludf.DUMMYFUNCTION("""COMPUTED_VALUE"""),"Aira Ballentes")</f>
        <v>Aira Ballentes</v>
      </c>
      <c r="C52" s="1" t="str">
        <f>IFERROR(__xludf.DUMMYFUNCTION("""COMPUTED_VALUE"""),"Aira")</f>
        <v>Aira</v>
      </c>
      <c r="D52" s="1" t="str">
        <f>IFERROR(__xludf.DUMMYFUNCTION("""COMPUTED_VALUE"""),"Ballentes")</f>
        <v>Ballentes</v>
      </c>
      <c r="E52" s="1" t="str">
        <f>IFERROR(__xludf.DUMMYFUNCTION("""COMPUTED_VALUE"""),"Vin Qui https://fb.watch/c0gRio23Ir/")</f>
        <v>Vin Qui https://fb.watch/c0gRio23Ir/</v>
      </c>
      <c r="F52" s="1"/>
      <c r="G52" s="1" t="str">
        <f>IFERROR(__xludf.DUMMYFUNCTION("""COMPUTED_VALUE"""),"March 17 at 2:25 PM")</f>
        <v>March 17 at 2:25 PM</v>
      </c>
      <c r="H52" s="1" t="str">
        <f>IFERROR(__xludf.DUMMYFUNCTION("""COMPUTED_VALUE"""),"reply")</f>
        <v>reply</v>
      </c>
      <c r="I52" s="2" t="str">
        <f>IFERROR(__xludf.DUMMYFUNCTION("""COMPUTED_VALUE"""),"https://www.facebook.com/rapplerdotcom/posts/pfbid0DUh4iFcrxZuR1UbiGhcAHcMdzsaV29GSeHCY1HabtqcnUWkjStX9TDaVqzzt92GDl")</f>
        <v>https://www.facebook.com/rapplerdotcom/posts/pfbid0DUh4iFcrxZuR1UbiGhcAHcMdzsaV29GSeHCY1HabtqcnUWkjStX9TDaVqzzt92GDl</v>
      </c>
      <c r="J52" s="1" t="str">
        <f>IFERROR(__xludf.DUMMYFUNCTION("""COMPUTED_VALUE"""),"2022-07-04T11:08:02.659Z")</f>
        <v>2022-07-04T11:08:02.659Z</v>
      </c>
      <c r="K52" s="1"/>
    </row>
    <row r="53">
      <c r="A53" s="2" t="str">
        <f>IFERROR(__xludf.DUMMYFUNCTION("""COMPUTED_VALUE"""),"https://www.facebook.com/akr.bebelynpond")</f>
        <v>https://www.facebook.com/akr.bebelynpond</v>
      </c>
      <c r="B53" s="1" t="str">
        <f>IFERROR(__xludf.DUMMYFUNCTION("""COMPUTED_VALUE"""),"Chasly Pond")</f>
        <v>Chasly Pond</v>
      </c>
      <c r="C53" s="1" t="str">
        <f>IFERROR(__xludf.DUMMYFUNCTION("""COMPUTED_VALUE"""),"Chasly")</f>
        <v>Chasly</v>
      </c>
      <c r="D53" s="1" t="str">
        <f>IFERROR(__xludf.DUMMYFUNCTION("""COMPUTED_VALUE"""),"Pond")</f>
        <v>Pond</v>
      </c>
      <c r="E53" s="1" t="str">
        <f>IFERROR(__xludf.DUMMYFUNCTION("""COMPUTED_VALUE"""),"Vin Qui 🙄🙄🙄bakit yun nanay nyu kahapon di sumipot sa deep probe🤣🤣🤣takot vah sa englisan")</f>
        <v>Vin Qui 🙄🙄🙄bakit yun nanay nyu kahapon di sumipot sa deep probe🤣🤣🤣takot vah sa englisan</v>
      </c>
      <c r="F53" s="1">
        <f>IFERROR(__xludf.DUMMYFUNCTION("""COMPUTED_VALUE"""),3.0)</f>
        <v>3</v>
      </c>
      <c r="G53" s="1" t="str">
        <f>IFERROR(__xludf.DUMMYFUNCTION("""COMPUTED_VALUE"""),"3 mos")</f>
        <v>3 mos</v>
      </c>
      <c r="H53" s="1" t="str">
        <f>IFERROR(__xludf.DUMMYFUNCTION("""COMPUTED_VALUE"""),"reply")</f>
        <v>reply</v>
      </c>
      <c r="I53" s="2" t="str">
        <f>IFERROR(__xludf.DUMMYFUNCTION("""COMPUTED_VALUE"""),"https://www.facebook.com/rapplerdotcom/posts/pfbid0DUh4iFcrxZuR1UbiGhcAHcMdzsaV29GSeHCY1HabtqcnUWkjStX9TDaVqzzt92GDl")</f>
        <v>https://www.facebook.com/rapplerdotcom/posts/pfbid0DUh4iFcrxZuR1UbiGhcAHcMdzsaV29GSeHCY1HabtqcnUWkjStX9TDaVqzzt92GDl</v>
      </c>
      <c r="J53" s="1" t="str">
        <f>IFERROR(__xludf.DUMMYFUNCTION("""COMPUTED_VALUE"""),"2022-07-04T11:08:02.659Z")</f>
        <v>2022-07-04T11:08:02.659Z</v>
      </c>
      <c r="K53" s="1"/>
    </row>
    <row r="54">
      <c r="A54" s="2" t="str">
        <f>IFERROR(__xludf.DUMMYFUNCTION("""COMPUTED_VALUE"""),"https://www.facebook.com/alvin.quibilan")</f>
        <v>https://www.facebook.com/alvin.quibilan</v>
      </c>
      <c r="B54" s="1" t="str">
        <f>IFERROR(__xludf.DUMMYFUNCTION("""COMPUTED_VALUE"""),"Vin Qui")</f>
        <v>Vin Qui</v>
      </c>
      <c r="C54" s="1" t="str">
        <f>IFERROR(__xludf.DUMMYFUNCTION("""COMPUTED_VALUE"""),"Vin")</f>
        <v>Vin</v>
      </c>
      <c r="D54" s="1" t="str">
        <f>IFERROR(__xludf.DUMMYFUNCTION("""COMPUTED_VALUE"""),"Qui")</f>
        <v>Qui</v>
      </c>
      <c r="E54" s="1" t="str">
        <f>IFERROR(__xludf.DUMMYFUNCTION("""COMPUTED_VALUE"""),"Max Francine Bautista pagod lang siya. Pero yun Tatay niyo marunong mag english wala naman laman ang sinasabi. Mas mabuti pa Nanay namin nagsasalita sa sariling wika at maraming alam.")</f>
        <v>Max Francine Bautista pagod lang siya. Pero yun Tatay niyo marunong mag english wala naman laman ang sinasabi. Mas mabuti pa Nanay namin nagsasalita sa sariling wika at maraming alam.</v>
      </c>
      <c r="F54" s="1">
        <f>IFERROR(__xludf.DUMMYFUNCTION("""COMPUTED_VALUE"""),3.0)</f>
        <v>3</v>
      </c>
      <c r="G54" s="1" t="str">
        <f>IFERROR(__xludf.DUMMYFUNCTION("""COMPUTED_VALUE"""),"3 mos")</f>
        <v>3 mos</v>
      </c>
      <c r="H54" s="1" t="str">
        <f>IFERROR(__xludf.DUMMYFUNCTION("""COMPUTED_VALUE"""),"reply")</f>
        <v>reply</v>
      </c>
      <c r="I54" s="2" t="str">
        <f>IFERROR(__xludf.DUMMYFUNCTION("""COMPUTED_VALUE"""),"https://www.facebook.com/rapplerdotcom/posts/pfbid0DUh4iFcrxZuR1UbiGhcAHcMdzsaV29GSeHCY1HabtqcnUWkjStX9TDaVqzzt92GDl")</f>
        <v>https://www.facebook.com/rapplerdotcom/posts/pfbid0DUh4iFcrxZuR1UbiGhcAHcMdzsaV29GSeHCY1HabtqcnUWkjStX9TDaVqzzt92GDl</v>
      </c>
      <c r="J54" s="1" t="str">
        <f>IFERROR(__xludf.DUMMYFUNCTION("""COMPUTED_VALUE"""),"2022-07-04T11:08:02.659Z")</f>
        <v>2022-07-04T11:08:02.659Z</v>
      </c>
      <c r="K54" s="1"/>
    </row>
    <row r="55">
      <c r="A55" s="2" t="str">
        <f>IFERROR(__xludf.DUMMYFUNCTION("""COMPUTED_VALUE"""),"https://www.facebook.com/profile.php?id=100009426127646")</f>
        <v>https://www.facebook.com/profile.php?id=100009426127646</v>
      </c>
      <c r="B55" s="1" t="str">
        <f>IFERROR(__xludf.DUMMYFUNCTION("""COMPUTED_VALUE"""),"Krizzle Dawn Emboltorio Placero")</f>
        <v>Krizzle Dawn Emboltorio Placero</v>
      </c>
      <c r="C55" s="1" t="str">
        <f>IFERROR(__xludf.DUMMYFUNCTION("""COMPUTED_VALUE"""),"Krizzle")</f>
        <v>Krizzle</v>
      </c>
      <c r="D55" s="1" t="str">
        <f>IFERROR(__xludf.DUMMYFUNCTION("""COMPUTED_VALUE"""),"Dawn Emboltorio Placero")</f>
        <v>Dawn Emboltorio Placero</v>
      </c>
      <c r="E55" s="1" t="str">
        <f>IFERROR(__xludf.DUMMYFUNCTION("""COMPUTED_VALUE"""),"Vin Qui HIYANG HIYANG NAMAN KAMI SAINYO SIR! FOR YOUR INFORMATION PO HAH? HINDI PO KAMING NAYAD LAHAT!!!")</f>
        <v>Vin Qui HIYANG HIYANG NAMAN KAMI SAINYO SIR! FOR YOUR INFORMATION PO HAH? HINDI PO KAMING NAYAD LAHAT!!!</v>
      </c>
      <c r="F55" s="1">
        <f>IFERROR(__xludf.DUMMYFUNCTION("""COMPUTED_VALUE"""),1.0)</f>
        <v>1</v>
      </c>
      <c r="G55" s="1" t="str">
        <f>IFERROR(__xludf.DUMMYFUNCTION("""COMPUTED_VALUE"""),"3 mos")</f>
        <v>3 mos</v>
      </c>
      <c r="H55" s="1" t="str">
        <f>IFERROR(__xludf.DUMMYFUNCTION("""COMPUTED_VALUE"""),"reply")</f>
        <v>reply</v>
      </c>
      <c r="I55" s="2" t="str">
        <f>IFERROR(__xludf.DUMMYFUNCTION("""COMPUTED_VALUE"""),"https://www.facebook.com/rapplerdotcom/posts/pfbid0DUh4iFcrxZuR1UbiGhcAHcMdzsaV29GSeHCY1HabtqcnUWkjStX9TDaVqzzt92GDl")</f>
        <v>https://www.facebook.com/rapplerdotcom/posts/pfbid0DUh4iFcrxZuR1UbiGhcAHcMdzsaV29GSeHCY1HabtqcnUWkjStX9TDaVqzzt92GDl</v>
      </c>
      <c r="J55" s="1" t="str">
        <f>IFERROR(__xludf.DUMMYFUNCTION("""COMPUTED_VALUE"""),"2022-07-04T11:08:02.659Z")</f>
        <v>2022-07-04T11:08:02.659Z</v>
      </c>
      <c r="K55" s="1"/>
    </row>
    <row r="56">
      <c r="A56" s="2" t="str">
        <f>IFERROR(__xludf.DUMMYFUNCTION("""COMPUTED_VALUE"""),"https://www.facebook.com/charisse.martinezcomoda")</f>
        <v>https://www.facebook.com/charisse.martinezcomoda</v>
      </c>
      <c r="B56" s="1" t="str">
        <f>IFERROR(__xludf.DUMMYFUNCTION("""COMPUTED_VALUE"""),"Cha Risse")</f>
        <v>Cha Risse</v>
      </c>
      <c r="C56" s="1" t="str">
        <f>IFERROR(__xludf.DUMMYFUNCTION("""COMPUTED_VALUE"""),"Cha")</f>
        <v>Cha</v>
      </c>
      <c r="D56" s="1" t="str">
        <f>IFERROR(__xludf.DUMMYFUNCTION("""COMPUTED_VALUE"""),"Risse")</f>
        <v>Risse</v>
      </c>
      <c r="E56" s="1" t="str">
        <f>IFERROR(__xludf.DUMMYFUNCTION("""COMPUTED_VALUE"""),"Pag welcome plang yan . Hindi pa nag rally yan... Dito nga smin nililimit nila mga tao kasi na pupunta sa rally on wed kasi Hindi ma accommodate sa venue, and yet ang dami pdin gusto pumunta kahit Medyo malayo.")</f>
        <v>Pag welcome plang yan . Hindi pa nag rally yan... Dito nga smin nililimit nila mga tao kasi na pupunta sa rally on wed kasi Hindi ma accommodate sa venue, and yet ang dami pdin gusto pumunta kahit Medyo malayo.</v>
      </c>
      <c r="F56" s="1">
        <f>IFERROR(__xludf.DUMMYFUNCTION("""COMPUTED_VALUE"""),18.0)</f>
        <v>18</v>
      </c>
      <c r="G56" s="1" t="str">
        <f>IFERROR(__xludf.DUMMYFUNCTION("""COMPUTED_VALUE"""),"3 mos")</f>
        <v>3 mos</v>
      </c>
      <c r="H56" s="1" t="str">
        <f>IFERROR(__xludf.DUMMYFUNCTION("""COMPUTED_VALUE"""),"comment")</f>
        <v>comment</v>
      </c>
      <c r="I56" s="2" t="str">
        <f>IFERROR(__xludf.DUMMYFUNCTION("""COMPUTED_VALUE"""),"https://www.facebook.com/rapplerdotcom/posts/pfbid0DUh4iFcrxZuR1UbiGhcAHcMdzsaV29GSeHCY1HabtqcnUWkjStX9TDaVqzzt92GDl")</f>
        <v>https://www.facebook.com/rapplerdotcom/posts/pfbid0DUh4iFcrxZuR1UbiGhcAHcMdzsaV29GSeHCY1HabtqcnUWkjStX9TDaVqzzt92GDl</v>
      </c>
      <c r="J56" s="1" t="str">
        <f>IFERROR(__xludf.DUMMYFUNCTION("""COMPUTED_VALUE"""),"2022-07-04T11:08:02.659Z")</f>
        <v>2022-07-04T11:08:02.659Z</v>
      </c>
      <c r="K56" s="1"/>
    </row>
    <row r="57">
      <c r="A57" s="2" t="str">
        <f>IFERROR(__xludf.DUMMYFUNCTION("""COMPUTED_VALUE"""),"https://www.facebook.com/juanito.espiritu.16")</f>
        <v>https://www.facebook.com/juanito.espiritu.16</v>
      </c>
      <c r="B57" s="1" t="str">
        <f>IFERROR(__xludf.DUMMYFUNCTION("""COMPUTED_VALUE"""),"Jun Lopez Espiritu")</f>
        <v>Jun Lopez Espiritu</v>
      </c>
      <c r="C57" s="1" t="str">
        <f>IFERROR(__xludf.DUMMYFUNCTION("""COMPUTED_VALUE"""),"Jun")</f>
        <v>Jun</v>
      </c>
      <c r="D57" s="1" t="str">
        <f>IFERROR(__xludf.DUMMYFUNCTION("""COMPUTED_VALUE"""),"Lopez Espiritu")</f>
        <v>Lopez Espiritu</v>
      </c>
      <c r="E57" s="1" t="str">
        <f>IFERROR(__xludf.DUMMYFUNCTION("""COMPUTED_VALUE"""),"Cha Risse Siyempre may bayad at paraffle, don't deny it. 🙄😜😅😂🤣")</f>
        <v>Cha Risse Siyempre may bayad at paraffle, don't deny it. 🙄😜😅😂🤣</v>
      </c>
      <c r="F57" s="1">
        <f>IFERROR(__xludf.DUMMYFUNCTION("""COMPUTED_VALUE"""),18.0)</f>
        <v>18</v>
      </c>
      <c r="G57" s="1" t="str">
        <f>IFERROR(__xludf.DUMMYFUNCTION("""COMPUTED_VALUE"""),"3 mos")</f>
        <v>3 mos</v>
      </c>
      <c r="H57" s="1" t="str">
        <f>IFERROR(__xludf.DUMMYFUNCTION("""COMPUTED_VALUE"""),"reply")</f>
        <v>reply</v>
      </c>
      <c r="I57" s="2" t="str">
        <f>IFERROR(__xludf.DUMMYFUNCTION("""COMPUTED_VALUE"""),"https://www.facebook.com/rapplerdotcom/posts/pfbid0DUh4iFcrxZuR1UbiGhcAHcMdzsaV29GSeHCY1HabtqcnUWkjStX9TDaVqzzt92GDl")</f>
        <v>https://www.facebook.com/rapplerdotcom/posts/pfbid0DUh4iFcrxZuR1UbiGhcAHcMdzsaV29GSeHCY1HabtqcnUWkjStX9TDaVqzzt92GDl</v>
      </c>
      <c r="J57" s="1" t="str">
        <f>IFERROR(__xludf.DUMMYFUNCTION("""COMPUTED_VALUE"""),"2022-07-04T11:08:02.659Z")</f>
        <v>2022-07-04T11:08:02.659Z</v>
      </c>
      <c r="K57" s="1"/>
    </row>
    <row r="58">
      <c r="A58" s="2" t="str">
        <f>IFERROR(__xludf.DUMMYFUNCTION("""COMPUTED_VALUE"""),"https://www.facebook.com/charisse.martinezcomoda")</f>
        <v>https://www.facebook.com/charisse.martinezcomoda</v>
      </c>
      <c r="B58" s="1" t="str">
        <f>IFERROR(__xludf.DUMMYFUNCTION("""COMPUTED_VALUE"""),"Cha Risse")</f>
        <v>Cha Risse</v>
      </c>
      <c r="C58" s="1" t="str">
        <f>IFERROR(__xludf.DUMMYFUNCTION("""COMPUTED_VALUE"""),"Cha")</f>
        <v>Cha</v>
      </c>
      <c r="D58" s="1" t="str">
        <f>IFERROR(__xludf.DUMMYFUNCTION("""COMPUTED_VALUE"""),"Risse")</f>
        <v>Risse</v>
      </c>
      <c r="E58" s="1" t="str">
        <f>IFERROR(__xludf.DUMMYFUNCTION("""COMPUTED_VALUE"""),"Jun Lopez Espiritu excuse me. I can provide for myself if gustohin kong pumunta. Palibhasa sanay kayo na binabayaran kaya ganyan mindset mo... Losser.... 🤣🤣🤣🤣")</f>
        <v>Jun Lopez Espiritu excuse me. I can provide for myself if gustohin kong pumunta. Palibhasa sanay kayo na binabayaran kaya ganyan mindset mo... Losser.... 🤣🤣🤣🤣</v>
      </c>
      <c r="F58" s="1">
        <f>IFERROR(__xludf.DUMMYFUNCTION("""COMPUTED_VALUE"""),8.0)</f>
        <v>8</v>
      </c>
      <c r="G58" s="1" t="str">
        <f>IFERROR(__xludf.DUMMYFUNCTION("""COMPUTED_VALUE"""),"3 mos")</f>
        <v>3 mos</v>
      </c>
      <c r="H58" s="1" t="str">
        <f>IFERROR(__xludf.DUMMYFUNCTION("""COMPUTED_VALUE"""),"reply")</f>
        <v>reply</v>
      </c>
      <c r="I58" s="2" t="str">
        <f>IFERROR(__xludf.DUMMYFUNCTION("""COMPUTED_VALUE"""),"https://www.facebook.com/rapplerdotcom/posts/pfbid0DUh4iFcrxZuR1UbiGhcAHcMdzsaV29GSeHCY1HabtqcnUWkjStX9TDaVqzzt92GDl")</f>
        <v>https://www.facebook.com/rapplerdotcom/posts/pfbid0DUh4iFcrxZuR1UbiGhcAHcMdzsaV29GSeHCY1HabtqcnUWkjStX9TDaVqzzt92GDl</v>
      </c>
      <c r="J58" s="1" t="str">
        <f>IFERROR(__xludf.DUMMYFUNCTION("""COMPUTED_VALUE"""),"2022-07-04T11:08:02.659Z")</f>
        <v>2022-07-04T11:08:02.659Z</v>
      </c>
      <c r="K58" s="1"/>
    </row>
    <row r="59">
      <c r="A59" s="2" t="str">
        <f>IFERROR(__xludf.DUMMYFUNCTION("""COMPUTED_VALUE"""),"https://www.facebook.com/profile.php?id=100078745816266")</f>
        <v>https://www.facebook.com/profile.php?id=100078745816266</v>
      </c>
      <c r="B59" s="1" t="str">
        <f>IFERROR(__xludf.DUMMYFUNCTION("""COMPUTED_VALUE"""),"Kalen Daryo")</f>
        <v>Kalen Daryo</v>
      </c>
      <c r="C59" s="1" t="str">
        <f>IFERROR(__xludf.DUMMYFUNCTION("""COMPUTED_VALUE"""),"Kalen")</f>
        <v>Kalen</v>
      </c>
      <c r="D59" s="1" t="str">
        <f>IFERROR(__xludf.DUMMYFUNCTION("""COMPUTED_VALUE"""),"Daryo")</f>
        <v>Daryo</v>
      </c>
      <c r="E59" s="1" t="str">
        <f>IFERROR(__xludf.DUMMYFUNCTION("""COMPUTED_VALUE"""),"Cha Risse korekk dito rin")</f>
        <v>Cha Risse korekk dito rin</v>
      </c>
      <c r="F59" s="1">
        <f>IFERROR(__xludf.DUMMYFUNCTION("""COMPUTED_VALUE"""),3.0)</f>
        <v>3</v>
      </c>
      <c r="G59" s="1" t="str">
        <f>IFERROR(__xludf.DUMMYFUNCTION("""COMPUTED_VALUE"""),"3 mos")</f>
        <v>3 mos</v>
      </c>
      <c r="H59" s="1" t="str">
        <f>IFERROR(__xludf.DUMMYFUNCTION("""COMPUTED_VALUE"""),"reply")</f>
        <v>reply</v>
      </c>
      <c r="I59" s="2" t="str">
        <f>IFERROR(__xludf.DUMMYFUNCTION("""COMPUTED_VALUE"""),"https://www.facebook.com/rapplerdotcom/posts/pfbid0DUh4iFcrxZuR1UbiGhcAHcMdzsaV29GSeHCY1HabtqcnUWkjStX9TDaVqzzt92GDl")</f>
        <v>https://www.facebook.com/rapplerdotcom/posts/pfbid0DUh4iFcrxZuR1UbiGhcAHcMdzsaV29GSeHCY1HabtqcnUWkjStX9TDaVqzzt92GDl</v>
      </c>
      <c r="J59" s="1" t="str">
        <f>IFERROR(__xludf.DUMMYFUNCTION("""COMPUTED_VALUE"""),"2022-07-04T11:08:02.659Z")</f>
        <v>2022-07-04T11:08:02.659Z</v>
      </c>
      <c r="K59" s="1"/>
    </row>
    <row r="60">
      <c r="A60" s="2" t="str">
        <f>IFERROR(__xludf.DUMMYFUNCTION("""COMPUTED_VALUE"""),"https://www.facebook.com/akcelrose.marinas")</f>
        <v>https://www.facebook.com/akcelrose.marinas</v>
      </c>
      <c r="B60" s="1" t="str">
        <f>IFERROR(__xludf.DUMMYFUNCTION("""COMPUTED_VALUE"""),"Akcel Rose Mariñas")</f>
        <v>Akcel Rose Mariñas</v>
      </c>
      <c r="C60" s="1" t="str">
        <f>IFERROR(__xludf.DUMMYFUNCTION("""COMPUTED_VALUE"""),"Akcel")</f>
        <v>Akcel</v>
      </c>
      <c r="D60" s="1" t="str">
        <f>IFERROR(__xludf.DUMMYFUNCTION("""COMPUTED_VALUE"""),"Rose Mariñas")</f>
        <v>Rose Mariñas</v>
      </c>
      <c r="E60" s="1" t="str">
        <f>IFERROR(__xludf.DUMMYFUNCTION("""COMPUTED_VALUE"""),"Cha Risse saang lugar? sa Republika ng Trolls??")</f>
        <v>Cha Risse saang lugar? sa Republika ng Trolls??</v>
      </c>
      <c r="F60" s="1">
        <f>IFERROR(__xludf.DUMMYFUNCTION("""COMPUTED_VALUE"""),6.0)</f>
        <v>6</v>
      </c>
      <c r="G60" s="1" t="str">
        <f>IFERROR(__xludf.DUMMYFUNCTION("""COMPUTED_VALUE"""),"3 mos")</f>
        <v>3 mos</v>
      </c>
      <c r="H60" s="1" t="str">
        <f>IFERROR(__xludf.DUMMYFUNCTION("""COMPUTED_VALUE"""),"reply")</f>
        <v>reply</v>
      </c>
      <c r="I60" s="2" t="str">
        <f>IFERROR(__xludf.DUMMYFUNCTION("""COMPUTED_VALUE"""),"https://www.facebook.com/rapplerdotcom/posts/pfbid0DUh4iFcrxZuR1UbiGhcAHcMdzsaV29GSeHCY1HabtqcnUWkjStX9TDaVqzzt92GDl")</f>
        <v>https://www.facebook.com/rapplerdotcom/posts/pfbid0DUh4iFcrxZuR1UbiGhcAHcMdzsaV29GSeHCY1HabtqcnUWkjStX9TDaVqzzt92GDl</v>
      </c>
      <c r="J60" s="1" t="str">
        <f>IFERROR(__xludf.DUMMYFUNCTION("""COMPUTED_VALUE"""),"2022-07-04T11:08:02.659Z")</f>
        <v>2022-07-04T11:08:02.659Z</v>
      </c>
      <c r="K60" s="1"/>
    </row>
    <row r="61">
      <c r="A61" s="2" t="str">
        <f>IFERROR(__xludf.DUMMYFUNCTION("""COMPUTED_VALUE"""),"https://www.facebook.com/don.salabay")</f>
        <v>https://www.facebook.com/don.salabay</v>
      </c>
      <c r="B61" s="1" t="str">
        <f>IFERROR(__xludf.DUMMYFUNCTION("""COMPUTED_VALUE"""),"Michaela Medrano")</f>
        <v>Michaela Medrano</v>
      </c>
      <c r="C61" s="1" t="str">
        <f>IFERROR(__xludf.DUMMYFUNCTION("""COMPUTED_VALUE"""),"Michaela")</f>
        <v>Michaela</v>
      </c>
      <c r="D61" s="1" t="str">
        <f>IFERROR(__xludf.DUMMYFUNCTION("""COMPUTED_VALUE"""),"Medrano")</f>
        <v>Medrano</v>
      </c>
      <c r="E61" s="1" t="str">
        <f>IFERROR(__xludf.DUMMYFUNCTION("""COMPUTED_VALUE"""),"Cha Risse namimigay kasi ng pera..at may sumisigaw pa ng shabay shabay")</f>
        <v>Cha Risse namimigay kasi ng pera..at may sumisigaw pa ng shabay shabay</v>
      </c>
      <c r="F61" s="1">
        <f>IFERROR(__xludf.DUMMYFUNCTION("""COMPUTED_VALUE"""),2.0)</f>
        <v>2</v>
      </c>
      <c r="G61" s="1" t="str">
        <f>IFERROR(__xludf.DUMMYFUNCTION("""COMPUTED_VALUE"""),"3 mos")</f>
        <v>3 mos</v>
      </c>
      <c r="H61" s="1" t="str">
        <f>IFERROR(__xludf.DUMMYFUNCTION("""COMPUTED_VALUE"""),"reply")</f>
        <v>reply</v>
      </c>
      <c r="I61" s="2" t="str">
        <f>IFERROR(__xludf.DUMMYFUNCTION("""COMPUTED_VALUE"""),"https://www.facebook.com/rapplerdotcom/posts/pfbid0DUh4iFcrxZuR1UbiGhcAHcMdzsaV29GSeHCY1HabtqcnUWkjStX9TDaVqzzt92GDl")</f>
        <v>https://www.facebook.com/rapplerdotcom/posts/pfbid0DUh4iFcrxZuR1UbiGhcAHcMdzsaV29GSeHCY1HabtqcnUWkjStX9TDaVqzzt92GDl</v>
      </c>
      <c r="J61" s="1" t="str">
        <f>IFERROR(__xludf.DUMMYFUNCTION("""COMPUTED_VALUE"""),"2022-07-04T11:08:02.659Z")</f>
        <v>2022-07-04T11:08:02.659Z</v>
      </c>
      <c r="K61" s="1"/>
    </row>
    <row r="62">
      <c r="A62" s="2" t="str">
        <f>IFERROR(__xludf.DUMMYFUNCTION("""COMPUTED_VALUE"""),"https://www.facebook.com/profile.php?id=100007060997576")</f>
        <v>https://www.facebook.com/profile.php?id=100007060997576</v>
      </c>
      <c r="B62" s="1" t="str">
        <f>IFERROR(__xludf.DUMMYFUNCTION("""COMPUTED_VALUE"""),"Elsie Barrientos")</f>
        <v>Elsie Barrientos</v>
      </c>
      <c r="C62" s="1" t="str">
        <f>IFERROR(__xludf.DUMMYFUNCTION("""COMPUTED_VALUE"""),"Elsie")</f>
        <v>Elsie</v>
      </c>
      <c r="D62" s="1" t="str">
        <f>IFERROR(__xludf.DUMMYFUNCTION("""COMPUTED_VALUE"""),"Barrientos")</f>
        <v>Barrientos</v>
      </c>
      <c r="E62" s="1" t="str">
        <f>IFERROR(__xludf.DUMMYFUNCTION("""COMPUTED_VALUE"""),"Jun Lopez Espiritu cguro suki k ng mga politikong mhilig magbayad at magpa raffle, ano, alam n alam mo kc.")</f>
        <v>Jun Lopez Espiritu cguro suki k ng mga politikong mhilig magbayad at magpa raffle, ano, alam n alam mo kc.</v>
      </c>
      <c r="F62" s="1">
        <f>IFERROR(__xludf.DUMMYFUNCTION("""COMPUTED_VALUE"""),2.0)</f>
        <v>2</v>
      </c>
      <c r="G62" s="1" t="str">
        <f>IFERROR(__xludf.DUMMYFUNCTION("""COMPUTED_VALUE"""),"3 mos")</f>
        <v>3 mos</v>
      </c>
      <c r="H62" s="1" t="str">
        <f>IFERROR(__xludf.DUMMYFUNCTION("""COMPUTED_VALUE"""),"reply")</f>
        <v>reply</v>
      </c>
      <c r="I62" s="2" t="str">
        <f>IFERROR(__xludf.DUMMYFUNCTION("""COMPUTED_VALUE"""),"https://www.facebook.com/rapplerdotcom/posts/pfbid0DUh4iFcrxZuR1UbiGhcAHcMdzsaV29GSeHCY1HabtqcnUWkjStX9TDaVqzzt92GDl")</f>
        <v>https://www.facebook.com/rapplerdotcom/posts/pfbid0DUh4iFcrxZuR1UbiGhcAHcMdzsaV29GSeHCY1HabtqcnUWkjStX9TDaVqzzt92GDl</v>
      </c>
      <c r="J62" s="1" t="str">
        <f>IFERROR(__xludf.DUMMYFUNCTION("""COMPUTED_VALUE"""),"2022-07-04T11:08:02.659Z")</f>
        <v>2022-07-04T11:08:02.659Z</v>
      </c>
      <c r="K62" s="1"/>
    </row>
    <row r="63">
      <c r="A63" s="2" t="str">
        <f>IFERROR(__xludf.DUMMYFUNCTION("""COMPUTED_VALUE"""),"https://www.facebook.com/naning.palajorin")</f>
        <v>https://www.facebook.com/naning.palajorin</v>
      </c>
      <c r="B63" s="1" t="str">
        <f>IFERROR(__xludf.DUMMYFUNCTION("""COMPUTED_VALUE"""),"Mar Pal")</f>
        <v>Mar Pal</v>
      </c>
      <c r="C63" s="1" t="str">
        <f>IFERROR(__xludf.DUMMYFUNCTION("""COMPUTED_VALUE"""),"Mar")</f>
        <v>Mar</v>
      </c>
      <c r="D63" s="1" t="str">
        <f>IFERROR(__xludf.DUMMYFUNCTION("""COMPUTED_VALUE"""),"Pal")</f>
        <v>Pal</v>
      </c>
      <c r="E63" s="1" t="str">
        <f>IFERROR(__xludf.DUMMYFUNCTION("""COMPUTED_VALUE"""),"naka santa clause suit sya red and green sack.pasko pasko na naman muli")</f>
        <v>naka santa clause suit sya red and green sack.pasko pasko na naman muli</v>
      </c>
      <c r="F63" s="1">
        <f>IFERROR(__xludf.DUMMYFUNCTION("""COMPUTED_VALUE"""),3.0)</f>
        <v>3</v>
      </c>
      <c r="G63" s="1" t="str">
        <f>IFERROR(__xludf.DUMMYFUNCTION("""COMPUTED_VALUE"""),"3 mos")</f>
        <v>3 mos</v>
      </c>
      <c r="H63" s="1" t="str">
        <f>IFERROR(__xludf.DUMMYFUNCTION("""COMPUTED_VALUE"""),"comment")</f>
        <v>comment</v>
      </c>
      <c r="I63" s="2" t="str">
        <f>IFERROR(__xludf.DUMMYFUNCTION("""COMPUTED_VALUE"""),"https://www.facebook.com/rapplerdotcom/posts/pfbid0DUh4iFcrxZuR1UbiGhcAHcMdzsaV29GSeHCY1HabtqcnUWkjStX9TDaVqzzt92GDl")</f>
        <v>https://www.facebook.com/rapplerdotcom/posts/pfbid0DUh4iFcrxZuR1UbiGhcAHcMdzsaV29GSeHCY1HabtqcnUWkjStX9TDaVqzzt92GDl</v>
      </c>
      <c r="J63" s="1" t="str">
        <f>IFERROR(__xludf.DUMMYFUNCTION("""COMPUTED_VALUE"""),"2022-07-04T11:08:02.659Z")</f>
        <v>2022-07-04T11:08:02.659Z</v>
      </c>
      <c r="K63" s="1"/>
    </row>
    <row r="64">
      <c r="A64" s="2" t="str">
        <f>IFERROR(__xludf.DUMMYFUNCTION("""COMPUTED_VALUE"""),"https://www.facebook.com/emilmendezjr")</f>
        <v>https://www.facebook.com/emilmendezjr</v>
      </c>
      <c r="B64" s="1" t="str">
        <f>IFERROR(__xludf.DUMMYFUNCTION("""COMPUTED_VALUE"""),"Emilio Jr Mendez")</f>
        <v>Emilio Jr Mendez</v>
      </c>
      <c r="C64" s="1" t="str">
        <f>IFERROR(__xludf.DUMMYFUNCTION("""COMPUTED_VALUE"""),"Emilio")</f>
        <v>Emilio</v>
      </c>
      <c r="D64" s="1" t="str">
        <f>IFERROR(__xludf.DUMMYFUNCTION("""COMPUTED_VALUE"""),"Jr Mendez")</f>
        <v>Jr Mendez</v>
      </c>
      <c r="E64" s="1" t="str">
        <f>IFERROR(__xludf.DUMMYFUNCTION("""COMPUTED_VALUE"""),"sayang ng 500 petot")</f>
        <v>sayang ng 500 petot</v>
      </c>
      <c r="F64" s="1">
        <f>IFERROR(__xludf.DUMMYFUNCTION("""COMPUTED_VALUE"""),8.0)</f>
        <v>8</v>
      </c>
      <c r="G64" s="1" t="str">
        <f>IFERROR(__xludf.DUMMYFUNCTION("""COMPUTED_VALUE"""),"3 mos")</f>
        <v>3 mos</v>
      </c>
      <c r="H64" s="1" t="str">
        <f>IFERROR(__xludf.DUMMYFUNCTION("""COMPUTED_VALUE"""),"comment")</f>
        <v>comment</v>
      </c>
      <c r="I64" s="2" t="str">
        <f>IFERROR(__xludf.DUMMYFUNCTION("""COMPUTED_VALUE"""),"https://www.facebook.com/rapplerdotcom/posts/pfbid0DUh4iFcrxZuR1UbiGhcAHcMdzsaV29GSeHCY1HabtqcnUWkjStX9TDaVqzzt92GDl")</f>
        <v>https://www.facebook.com/rapplerdotcom/posts/pfbid0DUh4iFcrxZuR1UbiGhcAHcMdzsaV29GSeHCY1HabtqcnUWkjStX9TDaVqzzt92GDl</v>
      </c>
      <c r="J64" s="1" t="str">
        <f>IFERROR(__xludf.DUMMYFUNCTION("""COMPUTED_VALUE"""),"2022-07-04T11:08:02.659Z")</f>
        <v>2022-07-04T11:08:02.659Z</v>
      </c>
      <c r="K64" s="1"/>
    </row>
    <row r="65">
      <c r="A65" s="2" t="str">
        <f>IFERROR(__xludf.DUMMYFUNCTION("""COMPUTED_VALUE"""),"https://www.facebook.com/darwin.garcia.355")</f>
        <v>https://www.facebook.com/darwin.garcia.355</v>
      </c>
      <c r="B65" s="1" t="str">
        <f>IFERROR(__xludf.DUMMYFUNCTION("""COMPUTED_VALUE"""),"Dax Garcia")</f>
        <v>Dax Garcia</v>
      </c>
      <c r="C65" s="1" t="str">
        <f>IFERROR(__xludf.DUMMYFUNCTION("""COMPUTED_VALUE"""),"Dax")</f>
        <v>Dax</v>
      </c>
      <c r="D65" s="1" t="str">
        <f>IFERROR(__xludf.DUMMYFUNCTION("""COMPUTED_VALUE"""),"Garcia")</f>
        <v>Garcia</v>
      </c>
      <c r="E65" s="1" t="str">
        <f>IFERROR(__xludf.DUMMYFUNCTION("""COMPUTED_VALUE"""),"Emilio Jr Mendez 50 na lang sir dumaan Sa mga alalay eh lolz")</f>
        <v>Emilio Jr Mendez 50 na lang sir dumaan Sa mga alalay eh lolz</v>
      </c>
      <c r="F65" s="1">
        <f>IFERROR(__xludf.DUMMYFUNCTION("""COMPUTED_VALUE"""),1.0)</f>
        <v>1</v>
      </c>
      <c r="G65" s="1" t="str">
        <f>IFERROR(__xludf.DUMMYFUNCTION("""COMPUTED_VALUE"""),"3 mos")</f>
        <v>3 mos</v>
      </c>
      <c r="H65" s="1" t="str">
        <f>IFERROR(__xludf.DUMMYFUNCTION("""COMPUTED_VALUE"""),"reply")</f>
        <v>reply</v>
      </c>
      <c r="I65" s="2" t="str">
        <f>IFERROR(__xludf.DUMMYFUNCTION("""COMPUTED_VALUE"""),"https://www.facebook.com/rapplerdotcom/posts/pfbid0DUh4iFcrxZuR1UbiGhcAHcMdzsaV29GSeHCY1HabtqcnUWkjStX9TDaVqzzt92GDl")</f>
        <v>https://www.facebook.com/rapplerdotcom/posts/pfbid0DUh4iFcrxZuR1UbiGhcAHcMdzsaV29GSeHCY1HabtqcnUWkjStX9TDaVqzzt92GDl</v>
      </c>
      <c r="J65" s="1" t="str">
        <f>IFERROR(__xludf.DUMMYFUNCTION("""COMPUTED_VALUE"""),"2022-07-04T11:08:02.659Z")</f>
        <v>2022-07-04T11:08:02.659Z</v>
      </c>
      <c r="K65" s="1"/>
    </row>
    <row r="66">
      <c r="A66" s="2" t="str">
        <f>IFERROR(__xludf.DUMMYFUNCTION("""COMPUTED_VALUE"""),"https://www.facebook.com/orni.dman")</f>
        <v>https://www.facebook.com/orni.dman</v>
      </c>
      <c r="B66" s="1" t="str">
        <f>IFERROR(__xludf.DUMMYFUNCTION("""COMPUTED_VALUE"""),"Balano Niro")</f>
        <v>Balano Niro</v>
      </c>
      <c r="C66" s="1" t="str">
        <f>IFERROR(__xludf.DUMMYFUNCTION("""COMPUTED_VALUE"""),"Balano")</f>
        <v>Balano</v>
      </c>
      <c r="D66" s="1" t="str">
        <f>IFERROR(__xludf.DUMMYFUNCTION("""COMPUTED_VALUE"""),"Niro")</f>
        <v>Niro</v>
      </c>
      <c r="E66" s="1" t="str">
        <f>IFERROR(__xludf.DUMMYFUNCTION("""COMPUTED_VALUE"""),"With big PAY of course!")</f>
        <v>With big PAY of course!</v>
      </c>
      <c r="F66" s="1">
        <f>IFERROR(__xludf.DUMMYFUNCTION("""COMPUTED_VALUE"""),20.0)</f>
        <v>20</v>
      </c>
      <c r="G66" s="1" t="str">
        <f>IFERROR(__xludf.DUMMYFUNCTION("""COMPUTED_VALUE"""),"3 mos")</f>
        <v>3 mos</v>
      </c>
      <c r="H66" s="1" t="str">
        <f>IFERROR(__xludf.DUMMYFUNCTION("""COMPUTED_VALUE"""),"comment")</f>
        <v>comment</v>
      </c>
      <c r="I66" s="2" t="str">
        <f>IFERROR(__xludf.DUMMYFUNCTION("""COMPUTED_VALUE"""),"https://www.facebook.com/rapplerdotcom/posts/pfbid0DUh4iFcrxZuR1UbiGhcAHcMdzsaV29GSeHCY1HabtqcnUWkjStX9TDaVqzzt92GDl")</f>
        <v>https://www.facebook.com/rapplerdotcom/posts/pfbid0DUh4iFcrxZuR1UbiGhcAHcMdzsaV29GSeHCY1HabtqcnUWkjStX9TDaVqzzt92GDl</v>
      </c>
      <c r="J66" s="1" t="str">
        <f>IFERROR(__xludf.DUMMYFUNCTION("""COMPUTED_VALUE"""),"2022-07-04T11:08:02.659Z")</f>
        <v>2022-07-04T11:08:02.659Z</v>
      </c>
      <c r="K66" s="1"/>
    </row>
    <row r="67">
      <c r="A67" s="2" t="str">
        <f>IFERROR(__xludf.DUMMYFUNCTION("""COMPUTED_VALUE"""),"https://www.facebook.com/pauljeric.queipo.1")</f>
        <v>https://www.facebook.com/pauljeric.queipo.1</v>
      </c>
      <c r="B67" s="1" t="str">
        <f>IFERROR(__xludf.DUMMYFUNCTION("""COMPUTED_VALUE"""),"Paul Jeric Queipo")</f>
        <v>Paul Jeric Queipo</v>
      </c>
      <c r="C67" s="1" t="str">
        <f>IFERROR(__xludf.DUMMYFUNCTION("""COMPUTED_VALUE"""),"Paul")</f>
        <v>Paul</v>
      </c>
      <c r="D67" s="1" t="str">
        <f>IFERROR(__xludf.DUMMYFUNCTION("""COMPUTED_VALUE"""),"Jeric Queipo")</f>
        <v>Jeric Queipo</v>
      </c>
      <c r="E67" s="1" t="str">
        <f>IFERROR(__xludf.DUMMYFUNCTION("""COMPUTED_VALUE"""),"Albs Orni PROOOF? PARANG YANG MANOK MO ATA MARAMI NAGASTOS SA CAMPAIGN RALLIES HAHAHA FACEBOOK ADS PALANG 😂😂😂 KADIRIII LOOSER 😂😂😂")</f>
        <v>Albs Orni PROOOF? PARANG YANG MANOK MO ATA MARAMI NAGASTOS SA CAMPAIGN RALLIES HAHAHA FACEBOOK ADS PALANG 😂😂😂 KADIRIII LOOSER 😂😂😂</v>
      </c>
      <c r="F67" s="1">
        <f>IFERROR(__xludf.DUMMYFUNCTION("""COMPUTED_VALUE"""),1.0)</f>
        <v>1</v>
      </c>
      <c r="G67" s="1" t="str">
        <f>IFERROR(__xludf.DUMMYFUNCTION("""COMPUTED_VALUE"""),"3 mos")</f>
        <v>3 mos</v>
      </c>
      <c r="H67" s="1" t="str">
        <f>IFERROR(__xludf.DUMMYFUNCTION("""COMPUTED_VALUE"""),"reply")</f>
        <v>reply</v>
      </c>
      <c r="I67" s="2" t="str">
        <f>IFERROR(__xludf.DUMMYFUNCTION("""COMPUTED_VALUE"""),"https://www.facebook.com/rapplerdotcom/posts/pfbid0DUh4iFcrxZuR1UbiGhcAHcMdzsaV29GSeHCY1HabtqcnUWkjStX9TDaVqzzt92GDl")</f>
        <v>https://www.facebook.com/rapplerdotcom/posts/pfbid0DUh4iFcrxZuR1UbiGhcAHcMdzsaV29GSeHCY1HabtqcnUWkjStX9TDaVqzzt92GDl</v>
      </c>
      <c r="J67" s="1" t="str">
        <f>IFERROR(__xludf.DUMMYFUNCTION("""COMPUTED_VALUE"""),"2022-07-04T11:08:02.660Z")</f>
        <v>2022-07-04T11:08:02.660Z</v>
      </c>
      <c r="K67" s="1"/>
    </row>
    <row r="68">
      <c r="A68" s="2" t="str">
        <f>IFERROR(__xludf.DUMMYFUNCTION("""COMPUTED_VALUE"""),"https://www.facebook.com/christy.licayan.7")</f>
        <v>https://www.facebook.com/christy.licayan.7</v>
      </c>
      <c r="B68" s="1" t="str">
        <f>IFERROR(__xludf.DUMMYFUNCTION("""COMPUTED_VALUE"""),"Christy Licayan-Gnosa")</f>
        <v>Christy Licayan-Gnosa</v>
      </c>
      <c r="C68" s="1" t="str">
        <f>IFERROR(__xludf.DUMMYFUNCTION("""COMPUTED_VALUE"""),"Christy")</f>
        <v>Christy</v>
      </c>
      <c r="D68" s="1" t="str">
        <f>IFERROR(__xludf.DUMMYFUNCTION("""COMPUTED_VALUE"""),"Licayan-Gnosa")</f>
        <v>Licayan-Gnosa</v>
      </c>
      <c r="E68" s="1" t="str">
        <f>IFERROR(__xludf.DUMMYFUNCTION("""COMPUTED_VALUE"""),"Albs Orni pag pangau saimong manok uyy haha")</f>
        <v>Albs Orni pag pangau saimong manok uyy haha</v>
      </c>
      <c r="F68" s="1"/>
      <c r="G68" s="1" t="str">
        <f>IFERROR(__xludf.DUMMYFUNCTION("""COMPUTED_VALUE"""),"3 mos")</f>
        <v>3 mos</v>
      </c>
      <c r="H68" s="1" t="str">
        <f>IFERROR(__xludf.DUMMYFUNCTION("""COMPUTED_VALUE"""),"reply")</f>
        <v>reply</v>
      </c>
      <c r="I68" s="2" t="str">
        <f>IFERROR(__xludf.DUMMYFUNCTION("""COMPUTED_VALUE"""),"https://www.facebook.com/rapplerdotcom/posts/pfbid0DUh4iFcrxZuR1UbiGhcAHcMdzsaV29GSeHCY1HabtqcnUWkjStX9TDaVqzzt92GDl")</f>
        <v>https://www.facebook.com/rapplerdotcom/posts/pfbid0DUh4iFcrxZuR1UbiGhcAHcMdzsaV29GSeHCY1HabtqcnUWkjStX9TDaVqzzt92GDl</v>
      </c>
      <c r="J68" s="1" t="str">
        <f>IFERROR(__xludf.DUMMYFUNCTION("""COMPUTED_VALUE"""),"2022-07-04T11:08:02.660Z")</f>
        <v>2022-07-04T11:08:02.660Z</v>
      </c>
      <c r="K68" s="1"/>
    </row>
    <row r="69">
      <c r="A69" s="2" t="str">
        <f>IFERROR(__xludf.DUMMYFUNCTION("""COMPUTED_VALUE"""),"https://www.facebook.com/tzadmar.julian")</f>
        <v>https://www.facebook.com/tzadmar.julian</v>
      </c>
      <c r="B69" s="1" t="str">
        <f>IFERROR(__xludf.DUMMYFUNCTION("""COMPUTED_VALUE"""),"Tzadmar Julian")</f>
        <v>Tzadmar Julian</v>
      </c>
      <c r="C69" s="1" t="str">
        <f>IFERROR(__xludf.DUMMYFUNCTION("""COMPUTED_VALUE"""),"Tzadmar")</f>
        <v>Tzadmar</v>
      </c>
      <c r="D69" s="1" t="str">
        <f>IFERROR(__xludf.DUMMYFUNCTION("""COMPUTED_VALUE"""),"Julian")</f>
        <v>Julian</v>
      </c>
      <c r="E69" s="1" t="str">
        <f>IFERROR(__xludf.DUMMYFUNCTION("""COMPUTED_VALUE"""),"Wag ipakita yung drone shot 😭😭😭")</f>
        <v>Wag ipakita yung drone shot 😭😭😭</v>
      </c>
      <c r="F69" s="1">
        <f>IFERROR(__xludf.DUMMYFUNCTION("""COMPUTED_VALUE"""),28.0)</f>
        <v>28</v>
      </c>
      <c r="G69" s="1" t="str">
        <f>IFERROR(__xludf.DUMMYFUNCTION("""COMPUTED_VALUE"""),"3 mos")</f>
        <v>3 mos</v>
      </c>
      <c r="H69" s="1" t="str">
        <f>IFERROR(__xludf.DUMMYFUNCTION("""COMPUTED_VALUE"""),"comment")</f>
        <v>comment</v>
      </c>
      <c r="I69" s="2" t="str">
        <f>IFERROR(__xludf.DUMMYFUNCTION("""COMPUTED_VALUE"""),"https://www.facebook.com/rapplerdotcom/posts/pfbid0DUh4iFcrxZuR1UbiGhcAHcMdzsaV29GSeHCY1HabtqcnUWkjStX9TDaVqzzt92GDl")</f>
        <v>https://www.facebook.com/rapplerdotcom/posts/pfbid0DUh4iFcrxZuR1UbiGhcAHcMdzsaV29GSeHCY1HabtqcnUWkjStX9TDaVqzzt92GDl</v>
      </c>
      <c r="J69" s="1" t="str">
        <f>IFERROR(__xludf.DUMMYFUNCTION("""COMPUTED_VALUE"""),"2022-07-04T11:08:02.660Z")</f>
        <v>2022-07-04T11:08:02.660Z</v>
      </c>
      <c r="K69" s="1"/>
    </row>
    <row r="70">
      <c r="A70" s="2" t="str">
        <f>IFERROR(__xludf.DUMMYFUNCTION("""COMPUTED_VALUE"""),"https://www.facebook.com/gumer.liston")</f>
        <v>https://www.facebook.com/gumer.liston</v>
      </c>
      <c r="B70" s="1" t="str">
        <f>IFERROR(__xludf.DUMMYFUNCTION("""COMPUTED_VALUE"""),"Gumer Liston")</f>
        <v>Gumer Liston</v>
      </c>
      <c r="C70" s="1" t="str">
        <f>IFERROR(__xludf.DUMMYFUNCTION("""COMPUTED_VALUE"""),"Gumer")</f>
        <v>Gumer</v>
      </c>
      <c r="D70" s="1" t="str">
        <f>IFERROR(__xludf.DUMMYFUNCTION("""COMPUTED_VALUE"""),"Liston")</f>
        <v>Liston</v>
      </c>
      <c r="E70" s="1" t="str">
        <f>IFERROR(__xludf.DUMMYFUNCTION("""COMPUTED_VALUE"""),"Tzadmar Julian merong drone shot, umabot sila ng 6K")</f>
        <v>Tzadmar Julian merong drone shot, umabot sila ng 6K</v>
      </c>
      <c r="F70" s="1">
        <f>IFERROR(__xludf.DUMMYFUNCTION("""COMPUTED_VALUE"""),3.0)</f>
        <v>3</v>
      </c>
      <c r="G70" s="1" t="str">
        <f>IFERROR(__xludf.DUMMYFUNCTION("""COMPUTED_VALUE"""),"3 mos")</f>
        <v>3 mos</v>
      </c>
      <c r="H70" s="1" t="str">
        <f>IFERROR(__xludf.DUMMYFUNCTION("""COMPUTED_VALUE"""),"reply")</f>
        <v>reply</v>
      </c>
      <c r="I70" s="2" t="str">
        <f>IFERROR(__xludf.DUMMYFUNCTION("""COMPUTED_VALUE"""),"https://www.facebook.com/rapplerdotcom/posts/pfbid0DUh4iFcrxZuR1UbiGhcAHcMdzsaV29GSeHCY1HabtqcnUWkjStX9TDaVqzzt92GDl")</f>
        <v>https://www.facebook.com/rapplerdotcom/posts/pfbid0DUh4iFcrxZuR1UbiGhcAHcMdzsaV29GSeHCY1HabtqcnUWkjStX9TDaVqzzt92GDl</v>
      </c>
      <c r="J70" s="1" t="str">
        <f>IFERROR(__xludf.DUMMYFUNCTION("""COMPUTED_VALUE"""),"2022-07-04T11:08:02.660Z")</f>
        <v>2022-07-04T11:08:02.660Z</v>
      </c>
      <c r="K70" s="1"/>
    </row>
    <row r="71">
      <c r="A71" s="2" t="str">
        <f>IFERROR(__xludf.DUMMYFUNCTION("""COMPUTED_VALUE"""),"https://www.facebook.com/gumer.liston")</f>
        <v>https://www.facebook.com/gumer.liston</v>
      </c>
      <c r="B71" s="1" t="str">
        <f>IFERROR(__xludf.DUMMYFUNCTION("""COMPUTED_VALUE"""),"Gumer Liston")</f>
        <v>Gumer Liston</v>
      </c>
      <c r="C71" s="1" t="str">
        <f>IFERROR(__xludf.DUMMYFUNCTION("""COMPUTED_VALUE"""),"Gumer")</f>
        <v>Gumer</v>
      </c>
      <c r="D71" s="1" t="str">
        <f>IFERROR(__xludf.DUMMYFUNCTION("""COMPUTED_VALUE"""),"Liston")</f>
        <v>Liston</v>
      </c>
      <c r="E71" s="1" t="str">
        <f>IFERROR(__xludf.DUMMYFUNCTION("""COMPUTED_VALUE"""),"sa Gensan mga ilang daan lang, pero sa rally sa Koronadal City umabot yung mga hinakot nila ng mga 5 to 6K")</f>
        <v>sa Gensan mga ilang daan lang, pero sa rally sa Koronadal City umabot yung mga hinakot nila ng mga 5 to 6K</v>
      </c>
      <c r="F71" s="1">
        <f>IFERROR(__xludf.DUMMYFUNCTION("""COMPUTED_VALUE"""),4.0)</f>
        <v>4</v>
      </c>
      <c r="G71" s="1" t="str">
        <f>IFERROR(__xludf.DUMMYFUNCTION("""COMPUTED_VALUE"""),"3 mos")</f>
        <v>3 mos</v>
      </c>
      <c r="H71" s="1" t="str">
        <f>IFERROR(__xludf.DUMMYFUNCTION("""COMPUTED_VALUE"""),"reply")</f>
        <v>reply</v>
      </c>
      <c r="I71" s="2" t="str">
        <f>IFERROR(__xludf.DUMMYFUNCTION("""COMPUTED_VALUE"""),"https://www.facebook.com/rapplerdotcom/posts/pfbid0DUh4iFcrxZuR1UbiGhcAHcMdzsaV29GSeHCY1HabtqcnUWkjStX9TDaVqzzt92GDl")</f>
        <v>https://www.facebook.com/rapplerdotcom/posts/pfbid0DUh4iFcrxZuR1UbiGhcAHcMdzsaV29GSeHCY1HabtqcnUWkjStX9TDaVqzzt92GDl</v>
      </c>
      <c r="J71" s="1" t="str">
        <f>IFERROR(__xludf.DUMMYFUNCTION("""COMPUTED_VALUE"""),"2022-07-04T11:08:02.660Z")</f>
        <v>2022-07-04T11:08:02.660Z</v>
      </c>
      <c r="K71" s="1"/>
    </row>
    <row r="72">
      <c r="A72" s="2" t="str">
        <f>IFERROR(__xludf.DUMMYFUNCTION("""COMPUTED_VALUE"""),"https://www.facebook.com/honey.huervana")</f>
        <v>https://www.facebook.com/honey.huervana</v>
      </c>
      <c r="B72" s="1" t="str">
        <f>IFERROR(__xludf.DUMMYFUNCTION("""COMPUTED_VALUE"""),"Honey Anavreuh")</f>
        <v>Honey Anavreuh</v>
      </c>
      <c r="C72" s="1" t="str">
        <f>IFERROR(__xludf.DUMMYFUNCTION("""COMPUTED_VALUE"""),"Honey")</f>
        <v>Honey</v>
      </c>
      <c r="D72" s="1" t="str">
        <f>IFERROR(__xludf.DUMMYFUNCTION("""COMPUTED_VALUE"""),"Anavreuh")</f>
        <v>Anavreuh</v>
      </c>
      <c r="E72" s="1" t="str">
        <f>IFERROR(__xludf.DUMMYFUNCTION("""COMPUTED_VALUE"""),"Gumer Liston kita mo ba gano katraffic from gensan-koronadal kuya? Sumabay pa sila sa convoy..tas sasabihin mo hundreds lang sa gensan? 😅 Okay lang naman po suportahan yung manok nyo, wag lang gawa gawa kwento 🥰")</f>
        <v>Gumer Liston kita mo ba gano katraffic from gensan-koronadal kuya? Sumabay pa sila sa convoy..tas sasabihin mo hundreds lang sa gensan? 😅 Okay lang naman po suportahan yung manok nyo, wag lang gawa gawa kwento 🥰</v>
      </c>
      <c r="F72" s="1"/>
      <c r="G72" s="1" t="str">
        <f>IFERROR(__xludf.DUMMYFUNCTION("""COMPUTED_VALUE"""),"3 mos")</f>
        <v>3 mos</v>
      </c>
      <c r="H72" s="1" t="str">
        <f>IFERROR(__xludf.DUMMYFUNCTION("""COMPUTED_VALUE"""),"reply")</f>
        <v>reply</v>
      </c>
      <c r="I72" s="2" t="str">
        <f>IFERROR(__xludf.DUMMYFUNCTION("""COMPUTED_VALUE"""),"https://www.facebook.com/rapplerdotcom/posts/pfbid0DUh4iFcrxZuR1UbiGhcAHcMdzsaV29GSeHCY1HabtqcnUWkjStX9TDaVqzzt92GDl")</f>
        <v>https://www.facebook.com/rapplerdotcom/posts/pfbid0DUh4iFcrxZuR1UbiGhcAHcMdzsaV29GSeHCY1HabtqcnUWkjStX9TDaVqzzt92GDl</v>
      </c>
      <c r="J72" s="1" t="str">
        <f>IFERROR(__xludf.DUMMYFUNCTION("""COMPUTED_VALUE"""),"2022-07-04T11:08:02.660Z")</f>
        <v>2022-07-04T11:08:02.660Z</v>
      </c>
      <c r="K72" s="1"/>
    </row>
    <row r="73">
      <c r="A73" s="2" t="str">
        <f>IFERROR(__xludf.DUMMYFUNCTION("""COMPUTED_VALUE"""),"https://www.facebook.com/rusticzana")</f>
        <v>https://www.facebook.com/rusticzana</v>
      </c>
      <c r="B73" s="1" t="str">
        <f>IFERROR(__xludf.DUMMYFUNCTION("""COMPUTED_VALUE"""),"RA Alomar")</f>
        <v>RA Alomar</v>
      </c>
      <c r="C73" s="1" t="str">
        <f>IFERROR(__xludf.DUMMYFUNCTION("""COMPUTED_VALUE"""),"RA")</f>
        <v>RA</v>
      </c>
      <c r="D73" s="1" t="str">
        <f>IFERROR(__xludf.DUMMYFUNCTION("""COMPUTED_VALUE"""),"Alomar")</f>
        <v>Alomar</v>
      </c>
      <c r="E73" s="1" t="str">
        <f>IFERROR(__xludf.DUMMYFUNCTION("""COMPUTED_VALUE"""),"Factcheck is now a part of News Segment in Mainstream Media to fight DISINFORMATION...Thank to New5.  https://fb.watch/bYVrZeiNu4/")</f>
        <v>Factcheck is now a part of News Segment in Mainstream Media to fight DISINFORMATION...Thank to New5.  https://fb.watch/bYVrZeiNu4/</v>
      </c>
      <c r="F73" s="1">
        <f>IFERROR(__xludf.DUMMYFUNCTION("""COMPUTED_VALUE"""),1.0)</f>
        <v>1</v>
      </c>
      <c r="G73" s="1" t="str">
        <f>IFERROR(__xludf.DUMMYFUNCTION("""COMPUTED_VALUE"""),"March 25 at 12:00 AM")</f>
        <v>March 25 at 12:00 AM</v>
      </c>
      <c r="H73" s="1" t="str">
        <f>IFERROR(__xludf.DUMMYFUNCTION("""COMPUTED_VALUE"""),"comment")</f>
        <v>comment</v>
      </c>
      <c r="I73" s="2" t="str">
        <f>IFERROR(__xludf.DUMMYFUNCTION("""COMPUTED_VALUE"""),"https://www.facebook.com/rapplerdotcom/posts/pfbid0DUh4iFcrxZuR1UbiGhcAHcMdzsaV29GSeHCY1HabtqcnUWkjStX9TDaVqzzt92GDl")</f>
        <v>https://www.facebook.com/rapplerdotcom/posts/pfbid0DUh4iFcrxZuR1UbiGhcAHcMdzsaV29GSeHCY1HabtqcnUWkjStX9TDaVqzzt92GDl</v>
      </c>
      <c r="J73" s="1" t="str">
        <f>IFERROR(__xludf.DUMMYFUNCTION("""COMPUTED_VALUE"""),"2022-07-04T11:08:02.660Z")</f>
        <v>2022-07-04T11:08:02.660Z</v>
      </c>
      <c r="K73" s="1"/>
    </row>
    <row r="74">
      <c r="A74" s="2" t="str">
        <f>IFERROR(__xludf.DUMMYFUNCTION("""COMPUTED_VALUE"""),"https://www.facebook.com/FjdCastillo")</f>
        <v>https://www.facebook.com/FjdCastillo</v>
      </c>
      <c r="B74" s="1" t="str">
        <f>IFERROR(__xludf.DUMMYFUNCTION("""COMPUTED_VALUE"""),"Francis Castle")</f>
        <v>Francis Castle</v>
      </c>
      <c r="C74" s="1" t="str">
        <f>IFERROR(__xludf.DUMMYFUNCTION("""COMPUTED_VALUE"""),"Francis")</f>
        <v>Francis</v>
      </c>
      <c r="D74" s="1" t="str">
        <f>IFERROR(__xludf.DUMMYFUNCTION("""COMPUTED_VALUE"""),"Castle")</f>
        <v>Castle</v>
      </c>
      <c r="E74" s="1" t="str">
        <f>IFERROR(__xludf.DUMMYFUNCTION("""COMPUTED_VALUE"""),"Ofcourse hakot crowd eh lol")</f>
        <v>Ofcourse hakot crowd eh lol</v>
      </c>
      <c r="F74" s="1">
        <f>IFERROR(__xludf.DUMMYFUNCTION("""COMPUTED_VALUE"""),15.0)</f>
        <v>15</v>
      </c>
      <c r="G74" s="1" t="str">
        <f>IFERROR(__xludf.DUMMYFUNCTION("""COMPUTED_VALUE"""),"3 mos")</f>
        <v>3 mos</v>
      </c>
      <c r="H74" s="1" t="str">
        <f>IFERROR(__xludf.DUMMYFUNCTION("""COMPUTED_VALUE"""),"comment")</f>
        <v>comment</v>
      </c>
      <c r="I74" s="2" t="str">
        <f>IFERROR(__xludf.DUMMYFUNCTION("""COMPUTED_VALUE"""),"https://www.facebook.com/rapplerdotcom/posts/pfbid0DUh4iFcrxZuR1UbiGhcAHcMdzsaV29GSeHCY1HabtqcnUWkjStX9TDaVqzzt92GDl")</f>
        <v>https://www.facebook.com/rapplerdotcom/posts/pfbid0DUh4iFcrxZuR1UbiGhcAHcMdzsaV29GSeHCY1HabtqcnUWkjStX9TDaVqzzt92GDl</v>
      </c>
      <c r="J74" s="1" t="str">
        <f>IFERROR(__xludf.DUMMYFUNCTION("""COMPUTED_VALUE"""),"2022-07-04T11:08:02.660Z")</f>
        <v>2022-07-04T11:08:02.660Z</v>
      </c>
      <c r="K74" s="1"/>
    </row>
    <row r="75">
      <c r="A75" s="2" t="str">
        <f>IFERROR(__xludf.DUMMYFUNCTION("""COMPUTED_VALUE"""),"https://www.facebook.com/maylalyn.pagatpatanbiador")</f>
        <v>https://www.facebook.com/maylalyn.pagatpatanbiador</v>
      </c>
      <c r="B75" s="1" t="str">
        <f>IFERROR(__xludf.DUMMYFUNCTION("""COMPUTED_VALUE"""),"Mayla P Bia")</f>
        <v>Mayla P Bia</v>
      </c>
      <c r="C75" s="1" t="str">
        <f>IFERROR(__xludf.DUMMYFUNCTION("""COMPUTED_VALUE"""),"Mayla")</f>
        <v>Mayla</v>
      </c>
      <c r="D75" s="1" t="str">
        <f>IFERROR(__xludf.DUMMYFUNCTION("""COMPUTED_VALUE"""),"P Bia")</f>
        <v>P Bia</v>
      </c>
      <c r="E75" s="1" t="str">
        <f>IFERROR(__xludf.DUMMYFUNCTION("""COMPUTED_VALUE"""),"Fj D Castillo uu kagay si lenie, hakot crowd 😂")</f>
        <v>Fj D Castillo uu kagay si lenie, hakot crowd 😂</v>
      </c>
      <c r="F75" s="1">
        <f>IFERROR(__xludf.DUMMYFUNCTION("""COMPUTED_VALUE"""),1.0)</f>
        <v>1</v>
      </c>
      <c r="G75" s="1" t="str">
        <f>IFERROR(__xludf.DUMMYFUNCTION("""COMPUTED_VALUE"""),"3 mos")</f>
        <v>3 mos</v>
      </c>
      <c r="H75" s="1" t="str">
        <f>IFERROR(__xludf.DUMMYFUNCTION("""COMPUTED_VALUE"""),"reply")</f>
        <v>reply</v>
      </c>
      <c r="I75" s="2" t="str">
        <f>IFERROR(__xludf.DUMMYFUNCTION("""COMPUTED_VALUE"""),"https://www.facebook.com/rapplerdotcom/posts/pfbid0DUh4iFcrxZuR1UbiGhcAHcMdzsaV29GSeHCY1HabtqcnUWkjStX9TDaVqzzt92GDl")</f>
        <v>https://www.facebook.com/rapplerdotcom/posts/pfbid0DUh4iFcrxZuR1UbiGhcAHcMdzsaV29GSeHCY1HabtqcnUWkjStX9TDaVqzzt92GDl</v>
      </c>
      <c r="J75" s="1" t="str">
        <f>IFERROR(__xludf.DUMMYFUNCTION("""COMPUTED_VALUE"""),"2022-07-04T11:08:02.660Z")</f>
        <v>2022-07-04T11:08:02.660Z</v>
      </c>
      <c r="K75" s="1"/>
    </row>
    <row r="76">
      <c r="A76" s="2" t="str">
        <f>IFERROR(__xludf.DUMMYFUNCTION("""COMPUTED_VALUE"""),"https://www.facebook.com/emely.cantomayor.3")</f>
        <v>https://www.facebook.com/emely.cantomayor.3</v>
      </c>
      <c r="B76" s="1" t="str">
        <f>IFERROR(__xludf.DUMMYFUNCTION("""COMPUTED_VALUE"""),"Emely Cantomayor")</f>
        <v>Emely Cantomayor</v>
      </c>
      <c r="C76" s="1" t="str">
        <f>IFERROR(__xludf.DUMMYFUNCTION("""COMPUTED_VALUE"""),"Emely")</f>
        <v>Emely</v>
      </c>
      <c r="D76" s="1" t="str">
        <f>IFERROR(__xludf.DUMMYFUNCTION("""COMPUTED_VALUE"""),"Cantomayor")</f>
        <v>Cantomayor</v>
      </c>
      <c r="E76" s="1" t="str">
        <f>IFERROR(__xludf.DUMMYFUNCTION("""COMPUTED_VALUE"""),"Fj D CastilloFj D Castillo it's not.. Bayad na...")</f>
        <v>Fj D CastilloFj D Castillo it's not.. Bayad na...</v>
      </c>
      <c r="F76" s="1"/>
      <c r="G76" s="1" t="str">
        <f>IFERROR(__xludf.DUMMYFUNCTION("""COMPUTED_VALUE"""),"3 mos")</f>
        <v>3 mos</v>
      </c>
      <c r="H76" s="1" t="str">
        <f>IFERROR(__xludf.DUMMYFUNCTION("""COMPUTED_VALUE"""),"reply")</f>
        <v>reply</v>
      </c>
      <c r="I76" s="2" t="str">
        <f>IFERROR(__xludf.DUMMYFUNCTION("""COMPUTED_VALUE"""),"https://www.facebook.com/rapplerdotcom/posts/pfbid0DUh4iFcrxZuR1UbiGhcAHcMdzsaV29GSeHCY1HabtqcnUWkjStX9TDaVqzzt92GDl")</f>
        <v>https://www.facebook.com/rapplerdotcom/posts/pfbid0DUh4iFcrxZuR1UbiGhcAHcMdzsaV29GSeHCY1HabtqcnUWkjStX9TDaVqzzt92GDl</v>
      </c>
      <c r="J76" s="1" t="str">
        <f>IFERROR(__xludf.DUMMYFUNCTION("""COMPUTED_VALUE"""),"2022-07-04T11:08:02.660Z")</f>
        <v>2022-07-04T11:08:02.660Z</v>
      </c>
      <c r="K76" s="1"/>
    </row>
    <row r="77">
      <c r="A77" s="2" t="str">
        <f>IFERROR(__xludf.DUMMYFUNCTION("""COMPUTED_VALUE"""),"https://www.facebook.com/alex.ibarra.7169709")</f>
        <v>https://www.facebook.com/alex.ibarra.7169709</v>
      </c>
      <c r="B77" s="1" t="str">
        <f>IFERROR(__xludf.DUMMYFUNCTION("""COMPUTED_VALUE"""),"Alex Ibarra")</f>
        <v>Alex Ibarra</v>
      </c>
      <c r="C77" s="1" t="str">
        <f>IFERROR(__xludf.DUMMYFUNCTION("""COMPUTED_VALUE"""),"Alex")</f>
        <v>Alex</v>
      </c>
      <c r="D77" s="1" t="str">
        <f>IFERROR(__xludf.DUMMYFUNCTION("""COMPUTED_VALUE"""),"Ibarra")</f>
        <v>Ibarra</v>
      </c>
      <c r="E77" s="1" t="str">
        <f>IFERROR(__xludf.DUMMYFUNCTION("""COMPUTED_VALUE"""),"Where are the rest? That's not even the first thousand in the pic. The better questions are, how long did they stay and what did they take away with them?")</f>
        <v>Where are the rest? That's not even the first thousand in the pic. The better questions are, how long did they stay and what did they take away with them?</v>
      </c>
      <c r="F77" s="1"/>
      <c r="G77" s="1" t="str">
        <f>IFERROR(__xludf.DUMMYFUNCTION("""COMPUTED_VALUE"""),"3 mos")</f>
        <v>3 mos</v>
      </c>
      <c r="H77" s="1" t="str">
        <f>IFERROR(__xludf.DUMMYFUNCTION("""COMPUTED_VALUE"""),"comment")</f>
        <v>comment</v>
      </c>
      <c r="I77" s="2" t="str">
        <f>IFERROR(__xludf.DUMMYFUNCTION("""COMPUTED_VALUE"""),"https://www.facebook.com/rapplerdotcom/posts/pfbid0DUh4iFcrxZuR1UbiGhcAHcMdzsaV29GSeHCY1HabtqcnUWkjStX9TDaVqzzt92GDl")</f>
        <v>https://www.facebook.com/rapplerdotcom/posts/pfbid0DUh4iFcrxZuR1UbiGhcAHcMdzsaV29GSeHCY1HabtqcnUWkjStX9TDaVqzzt92GDl</v>
      </c>
      <c r="J77" s="1" t="str">
        <f>IFERROR(__xludf.DUMMYFUNCTION("""COMPUTED_VALUE"""),"2022-07-04T11:08:02.660Z")</f>
        <v>2022-07-04T11:08:02.660Z</v>
      </c>
      <c r="K77" s="1"/>
    </row>
    <row r="78">
      <c r="A78" s="2" t="str">
        <f>IFERROR(__xludf.DUMMYFUNCTION("""COMPUTED_VALUE"""),"https://www.facebook.com/oteng.gai")</f>
        <v>https://www.facebook.com/oteng.gai</v>
      </c>
      <c r="B78" s="1" t="str">
        <f>IFERROR(__xludf.DUMMYFUNCTION("""COMPUTED_VALUE"""),"Oteng Gai")</f>
        <v>Oteng Gai</v>
      </c>
      <c r="C78" s="1" t="str">
        <f>IFERROR(__xludf.DUMMYFUNCTION("""COMPUTED_VALUE"""),"Oteng")</f>
        <v>Oteng</v>
      </c>
      <c r="D78" s="1" t="str">
        <f>IFERROR(__xludf.DUMMYFUNCTION("""COMPUTED_VALUE"""),"Gai")</f>
        <v>Gai</v>
      </c>
      <c r="E78" s="1" t="str">
        <f>IFERROR(__xludf.DUMMYFUNCTION("""COMPUTED_VALUE"""),"Syempre dp nkuha bayad")</f>
        <v>Syempre dp nkuha bayad</v>
      </c>
      <c r="F78" s="1">
        <f>IFERROR(__xludf.DUMMYFUNCTION("""COMPUTED_VALUE"""),5.0)</f>
        <v>5</v>
      </c>
      <c r="G78" s="1" t="str">
        <f>IFERROR(__xludf.DUMMYFUNCTION("""COMPUTED_VALUE"""),"3 mos")</f>
        <v>3 mos</v>
      </c>
      <c r="H78" s="1" t="str">
        <f>IFERROR(__xludf.DUMMYFUNCTION("""COMPUTED_VALUE"""),"comment")</f>
        <v>comment</v>
      </c>
      <c r="I78" s="2" t="str">
        <f>IFERROR(__xludf.DUMMYFUNCTION("""COMPUTED_VALUE"""),"https://www.facebook.com/rapplerdotcom/posts/pfbid0DUh4iFcrxZuR1UbiGhcAHcMdzsaV29GSeHCY1HabtqcnUWkjStX9TDaVqzzt92GDl")</f>
        <v>https://www.facebook.com/rapplerdotcom/posts/pfbid0DUh4iFcrxZuR1UbiGhcAHcMdzsaV29GSeHCY1HabtqcnUWkjStX9TDaVqzzt92GDl</v>
      </c>
      <c r="J78" s="1" t="str">
        <f>IFERROR(__xludf.DUMMYFUNCTION("""COMPUTED_VALUE"""),"2022-07-04T11:08:02.660Z")</f>
        <v>2022-07-04T11:08:02.660Z</v>
      </c>
      <c r="K78" s="1"/>
    </row>
    <row r="79">
      <c r="A79" s="2" t="str">
        <f>IFERROR(__xludf.DUMMYFUNCTION("""COMPUTED_VALUE"""),"https://www.facebook.com/kristian.arceo")</f>
        <v>https://www.facebook.com/kristian.arceo</v>
      </c>
      <c r="B79" s="1" t="str">
        <f>IFERROR(__xludf.DUMMYFUNCTION("""COMPUTED_VALUE"""),"Kristian Arceo")</f>
        <v>Kristian Arceo</v>
      </c>
      <c r="C79" s="1" t="str">
        <f>IFERROR(__xludf.DUMMYFUNCTION("""COMPUTED_VALUE"""),"Kristian")</f>
        <v>Kristian</v>
      </c>
      <c r="D79" s="1" t="str">
        <f>IFERROR(__xludf.DUMMYFUNCTION("""COMPUTED_VALUE"""),"Arceo")</f>
        <v>Arceo</v>
      </c>
      <c r="E79" s="1" t="str">
        <f>IFERROR(__xludf.DUMMYFUNCTION("""COMPUTED_VALUE"""),"Ilabas ang sobre 😂")</f>
        <v>Ilabas ang sobre 😂</v>
      </c>
      <c r="F79" s="1">
        <f>IFERROR(__xludf.DUMMYFUNCTION("""COMPUTED_VALUE"""),17.0)</f>
        <v>17</v>
      </c>
      <c r="G79" s="1" t="str">
        <f>IFERROR(__xludf.DUMMYFUNCTION("""COMPUTED_VALUE"""),"3 mos")</f>
        <v>3 mos</v>
      </c>
      <c r="H79" s="1" t="str">
        <f>IFERROR(__xludf.DUMMYFUNCTION("""COMPUTED_VALUE"""),"comment")</f>
        <v>comment</v>
      </c>
      <c r="I79" s="2" t="str">
        <f>IFERROR(__xludf.DUMMYFUNCTION("""COMPUTED_VALUE"""),"https://www.facebook.com/rapplerdotcom/posts/pfbid0DUh4iFcrxZuR1UbiGhcAHcMdzsaV29GSeHCY1HabtqcnUWkjStX9TDaVqzzt92GDl")</f>
        <v>https://www.facebook.com/rapplerdotcom/posts/pfbid0DUh4iFcrxZuR1UbiGhcAHcMdzsaV29GSeHCY1HabtqcnUWkjStX9TDaVqzzt92GDl</v>
      </c>
      <c r="J79" s="1" t="str">
        <f>IFERROR(__xludf.DUMMYFUNCTION("""COMPUTED_VALUE"""),"2022-07-04T11:08:02.660Z")</f>
        <v>2022-07-04T11:08:02.660Z</v>
      </c>
      <c r="K79" s="1"/>
    </row>
    <row r="80">
      <c r="A80" s="2" t="str">
        <f>IFERROR(__xludf.DUMMYFUNCTION("""COMPUTED_VALUE"""),"https://www.facebook.com/Tell-Tale-Tweet-103754798693384/")</f>
        <v>https://www.facebook.com/Tell-Tale-Tweet-103754798693384/</v>
      </c>
      <c r="B80" s="1" t="str">
        <f>IFERROR(__xludf.DUMMYFUNCTION("""COMPUTED_VALUE"""),"Tell Tale Tweet.")</f>
        <v>Tell Tale Tweet.</v>
      </c>
      <c r="C80" s="1" t="str">
        <f>IFERROR(__xludf.DUMMYFUNCTION("""COMPUTED_VALUE"""),"Tell")</f>
        <v>Tell</v>
      </c>
      <c r="D80" s="1" t="str">
        <f>IFERROR(__xludf.DUMMYFUNCTION("""COMPUTED_VALUE"""),"Tale Tweet.")</f>
        <v>Tale Tweet.</v>
      </c>
      <c r="E80" s="1" t="str">
        <f>IFERROR(__xludf.DUMMYFUNCTION("""COMPUTED_VALUE"""),"Kristian Arceo Kung Wala ka dyan manahimik ka nood kalang ha sakit sa mata no?")</f>
        <v>Kristian Arceo Kung Wala ka dyan manahimik ka nood kalang ha sakit sa mata no?</v>
      </c>
      <c r="F80" s="1">
        <f>IFERROR(__xludf.DUMMYFUNCTION("""COMPUTED_VALUE"""),3.0)</f>
        <v>3</v>
      </c>
      <c r="G80" s="1" t="str">
        <f>IFERROR(__xludf.DUMMYFUNCTION("""COMPUTED_VALUE"""),"3 mos")</f>
        <v>3 mos</v>
      </c>
      <c r="H80" s="1" t="str">
        <f>IFERROR(__xludf.DUMMYFUNCTION("""COMPUTED_VALUE"""),"reply")</f>
        <v>reply</v>
      </c>
      <c r="I80" s="2" t="str">
        <f>IFERROR(__xludf.DUMMYFUNCTION("""COMPUTED_VALUE"""),"https://www.facebook.com/rapplerdotcom/posts/pfbid0DUh4iFcrxZuR1UbiGhcAHcMdzsaV29GSeHCY1HabtqcnUWkjStX9TDaVqzzt92GDl")</f>
        <v>https://www.facebook.com/rapplerdotcom/posts/pfbid0DUh4iFcrxZuR1UbiGhcAHcMdzsaV29GSeHCY1HabtqcnUWkjStX9TDaVqzzt92GDl</v>
      </c>
      <c r="J80" s="1" t="str">
        <f>IFERROR(__xludf.DUMMYFUNCTION("""COMPUTED_VALUE"""),"2022-07-04T11:08:02.660Z")</f>
        <v>2022-07-04T11:08:02.660Z</v>
      </c>
      <c r="K80" s="1"/>
    </row>
    <row r="81">
      <c r="A81" s="2" t="str">
        <f>IFERROR(__xludf.DUMMYFUNCTION("""COMPUTED_VALUE"""),"https://www.facebook.com/kristian.arceo")</f>
        <v>https://www.facebook.com/kristian.arceo</v>
      </c>
      <c r="B81" s="1" t="str">
        <f>IFERROR(__xludf.DUMMYFUNCTION("""COMPUTED_VALUE"""),"Kristian Arceo")</f>
        <v>Kristian Arceo</v>
      </c>
      <c r="C81" s="1" t="str">
        <f>IFERROR(__xludf.DUMMYFUNCTION("""COMPUTED_VALUE"""),"Kristian")</f>
        <v>Kristian</v>
      </c>
      <c r="D81" s="1" t="str">
        <f>IFERROR(__xludf.DUMMYFUNCTION("""COMPUTED_VALUE"""),"Arceo")</f>
        <v>Arceo</v>
      </c>
      <c r="E81" s="1" t="str">
        <f>IFERROR(__xludf.DUMMYFUNCTION("""COMPUTED_VALUE"""),"Tell Tale Tweet. Mag reply ka gamit totoong mong account 😂")</f>
        <v>Tell Tale Tweet. Mag reply ka gamit totoong mong account 😂</v>
      </c>
      <c r="F81" s="1">
        <f>IFERROR(__xludf.DUMMYFUNCTION("""COMPUTED_VALUE"""),6.0)</f>
        <v>6</v>
      </c>
      <c r="G81" s="1" t="str">
        <f>IFERROR(__xludf.DUMMYFUNCTION("""COMPUTED_VALUE"""),"3 mos")</f>
        <v>3 mos</v>
      </c>
      <c r="H81" s="1" t="str">
        <f>IFERROR(__xludf.DUMMYFUNCTION("""COMPUTED_VALUE"""),"reply")</f>
        <v>reply</v>
      </c>
      <c r="I81" s="2" t="str">
        <f>IFERROR(__xludf.DUMMYFUNCTION("""COMPUTED_VALUE"""),"https://www.facebook.com/rapplerdotcom/posts/pfbid0DUh4iFcrxZuR1UbiGhcAHcMdzsaV29GSeHCY1HabtqcnUWkjStX9TDaVqzzt92GDl")</f>
        <v>https://www.facebook.com/rapplerdotcom/posts/pfbid0DUh4iFcrxZuR1UbiGhcAHcMdzsaV29GSeHCY1HabtqcnUWkjStX9TDaVqzzt92GDl</v>
      </c>
      <c r="J81" s="1" t="str">
        <f>IFERROR(__xludf.DUMMYFUNCTION("""COMPUTED_VALUE"""),"2022-07-04T11:08:02.660Z")</f>
        <v>2022-07-04T11:08:02.660Z</v>
      </c>
      <c r="K81" s="1"/>
    </row>
    <row r="82">
      <c r="A82" s="2" t="str">
        <f>IFERROR(__xludf.DUMMYFUNCTION("""COMPUTED_VALUE"""),"https://www.facebook.com/Tell-Tale-Tweet-103754798693384/")</f>
        <v>https://www.facebook.com/Tell-Tale-Tweet-103754798693384/</v>
      </c>
      <c r="B82" s="1" t="str">
        <f>IFERROR(__xludf.DUMMYFUNCTION("""COMPUTED_VALUE"""),"Tell Tale Tweet.")</f>
        <v>Tell Tale Tweet.</v>
      </c>
      <c r="C82" s="1" t="str">
        <f>IFERROR(__xludf.DUMMYFUNCTION("""COMPUTED_VALUE"""),"Tell")</f>
        <v>Tell</v>
      </c>
      <c r="D82" s="1" t="str">
        <f>IFERROR(__xludf.DUMMYFUNCTION("""COMPUTED_VALUE"""),"Tale Tweet.")</f>
        <v>Tale Tweet.</v>
      </c>
      <c r="E82" s="1" t="str">
        <f>IFERROR(__xludf.DUMMYFUNCTION("""COMPUTED_VALUE"""),"Kristian Arceo HAHA iyak mo lng yan kuya sakit yan sa mata HAHAHA ✌🏻💚❤️👊🏻Wag na Baka Mas gwapo pa ako kay sayo")</f>
        <v>Kristian Arceo HAHA iyak mo lng yan kuya sakit yan sa mata HAHAHA ✌🏻💚❤️👊🏻Wag na Baka Mas gwapo pa ako kay sayo</v>
      </c>
      <c r="F82" s="1">
        <f>IFERROR(__xludf.DUMMYFUNCTION("""COMPUTED_VALUE"""),2.0)</f>
        <v>2</v>
      </c>
      <c r="G82" s="1" t="str">
        <f>IFERROR(__xludf.DUMMYFUNCTION("""COMPUTED_VALUE"""),"3 mos")</f>
        <v>3 mos</v>
      </c>
      <c r="H82" s="1" t="str">
        <f>IFERROR(__xludf.DUMMYFUNCTION("""COMPUTED_VALUE"""),"reply")</f>
        <v>reply</v>
      </c>
      <c r="I82" s="2" t="str">
        <f>IFERROR(__xludf.DUMMYFUNCTION("""COMPUTED_VALUE"""),"https://www.facebook.com/rapplerdotcom/posts/pfbid0DUh4iFcrxZuR1UbiGhcAHcMdzsaV29GSeHCY1HabtqcnUWkjStX9TDaVqzzt92GDl")</f>
        <v>https://www.facebook.com/rapplerdotcom/posts/pfbid0DUh4iFcrxZuR1UbiGhcAHcMdzsaV29GSeHCY1HabtqcnUWkjStX9TDaVqzzt92GDl</v>
      </c>
      <c r="J82" s="1" t="str">
        <f>IFERROR(__xludf.DUMMYFUNCTION("""COMPUTED_VALUE"""),"2022-07-04T11:08:02.660Z")</f>
        <v>2022-07-04T11:08:02.660Z</v>
      </c>
      <c r="K82" s="1"/>
    </row>
    <row r="83">
      <c r="A83" s="2" t="str">
        <f>IFERROR(__xludf.DUMMYFUNCTION("""COMPUTED_VALUE"""),"https://www.facebook.com/axljansantos")</f>
        <v>https://www.facebook.com/axljansantos</v>
      </c>
      <c r="B83" s="1" t="str">
        <f>IFERROR(__xludf.DUMMYFUNCTION("""COMPUTED_VALUE"""),"Axl Jan Santos")</f>
        <v>Axl Jan Santos</v>
      </c>
      <c r="C83" s="1" t="str">
        <f>IFERROR(__xludf.DUMMYFUNCTION("""COMPUTED_VALUE"""),"Axl")</f>
        <v>Axl</v>
      </c>
      <c r="D83" s="1" t="str">
        <f>IFERROR(__xludf.DUMMYFUNCTION("""COMPUTED_VALUE"""),"Jan Santos")</f>
        <v>Jan Santos</v>
      </c>
      <c r="E83" s="1" t="str">
        <f>IFERROR(__xludf.DUMMYFUNCTION("""COMPUTED_VALUE"""),"Tanggap tanggap nalang, mas marami kami kesa sa inyo😝  💚❤️💚❤️💚❤️")</f>
        <v>Tanggap tanggap nalang, mas marami kami kesa sa inyo😝  💚❤️💚❤️💚❤️</v>
      </c>
      <c r="F83" s="1">
        <f>IFERROR(__xludf.DUMMYFUNCTION("""COMPUTED_VALUE"""),1.0)</f>
        <v>1</v>
      </c>
      <c r="G83" s="1" t="str">
        <f>IFERROR(__xludf.DUMMYFUNCTION("""COMPUTED_VALUE"""),"3 mos")</f>
        <v>3 mos</v>
      </c>
      <c r="H83" s="1" t="str">
        <f>IFERROR(__xludf.DUMMYFUNCTION("""COMPUTED_VALUE"""),"reply")</f>
        <v>reply</v>
      </c>
      <c r="I83" s="2" t="str">
        <f>IFERROR(__xludf.DUMMYFUNCTION("""COMPUTED_VALUE"""),"https://www.facebook.com/rapplerdotcom/posts/pfbid0DUh4iFcrxZuR1UbiGhcAHcMdzsaV29GSeHCY1HabtqcnUWkjStX9TDaVqzzt92GDl")</f>
        <v>https://www.facebook.com/rapplerdotcom/posts/pfbid0DUh4iFcrxZuR1UbiGhcAHcMdzsaV29GSeHCY1HabtqcnUWkjStX9TDaVqzzt92GDl</v>
      </c>
      <c r="J83" s="1" t="str">
        <f>IFERROR(__xludf.DUMMYFUNCTION("""COMPUTED_VALUE"""),"2022-07-04T11:08:02.660Z")</f>
        <v>2022-07-04T11:08:02.660Z</v>
      </c>
      <c r="K83" s="1"/>
    </row>
    <row r="84">
      <c r="A84" s="2" t="str">
        <f>IFERROR(__xludf.DUMMYFUNCTION("""COMPUTED_VALUE"""),"https://www.facebook.com/jose.bataller.16")</f>
        <v>https://www.facebook.com/jose.bataller.16</v>
      </c>
      <c r="B84" s="1" t="str">
        <f>IFERROR(__xludf.DUMMYFUNCTION("""COMPUTED_VALUE"""),"Jose Bataller")</f>
        <v>Jose Bataller</v>
      </c>
      <c r="C84" s="1" t="str">
        <f>IFERROR(__xludf.DUMMYFUNCTION("""COMPUTED_VALUE"""),"Jose")</f>
        <v>Jose</v>
      </c>
      <c r="D84" s="1" t="str">
        <f>IFERROR(__xludf.DUMMYFUNCTION("""COMPUTED_VALUE"""),"Bataller")</f>
        <v>Bataller</v>
      </c>
      <c r="E84" s="1" t="str">
        <f>IFERROR(__xludf.DUMMYFUNCTION("""COMPUTED_VALUE"""),"Laging inuulan.😄")</f>
        <v>Laging inuulan.😄</v>
      </c>
      <c r="F84" s="1"/>
      <c r="G84" s="1" t="str">
        <f>IFERROR(__xludf.DUMMYFUNCTION("""COMPUTED_VALUE"""),"3 mos")</f>
        <v>3 mos</v>
      </c>
      <c r="H84" s="1" t="str">
        <f>IFERROR(__xludf.DUMMYFUNCTION("""COMPUTED_VALUE"""),"comment")</f>
        <v>comment</v>
      </c>
      <c r="I84" s="2" t="str">
        <f>IFERROR(__xludf.DUMMYFUNCTION("""COMPUTED_VALUE"""),"https://www.facebook.com/rapplerdotcom/posts/pfbid0DUh4iFcrxZuR1UbiGhcAHcMdzsaV29GSeHCY1HabtqcnUWkjStX9TDaVqzzt92GDl")</f>
        <v>https://www.facebook.com/rapplerdotcom/posts/pfbid0DUh4iFcrxZuR1UbiGhcAHcMdzsaV29GSeHCY1HabtqcnUWkjStX9TDaVqzzt92GDl</v>
      </c>
      <c r="J84" s="1" t="str">
        <f>IFERROR(__xludf.DUMMYFUNCTION("""COMPUTED_VALUE"""),"2022-07-04T11:08:02.660Z")</f>
        <v>2022-07-04T11:08:02.660Z</v>
      </c>
      <c r="K84" s="1"/>
    </row>
    <row r="85">
      <c r="A85" s="2" t="str">
        <f>IFERROR(__xludf.DUMMYFUNCTION("""COMPUTED_VALUE"""),"https://www.facebook.com/henrileki")</f>
        <v>https://www.facebook.com/henrileki</v>
      </c>
      <c r="B85" s="1" t="str">
        <f>IFERROR(__xludf.DUMMYFUNCTION("""COMPUTED_VALUE"""),"Rey Henry Bocaleque")</f>
        <v>Rey Henry Bocaleque</v>
      </c>
      <c r="C85" s="1" t="str">
        <f>IFERROR(__xludf.DUMMYFUNCTION("""COMPUTED_VALUE"""),"Rey")</f>
        <v>Rey</v>
      </c>
      <c r="D85" s="1" t="str">
        <f>IFERROR(__xludf.DUMMYFUNCTION("""COMPUTED_VALUE"""),"Henry Bocaleque")</f>
        <v>Henry Bocaleque</v>
      </c>
      <c r="E85" s="1" t="str">
        <f>IFERROR(__xludf.DUMMYFUNCTION("""COMPUTED_VALUE"""),"Inde talaga aalis ang mga yan sa uwian pa ang bigayan😂")</f>
        <v>Inde talaga aalis ang mga yan sa uwian pa ang bigayan😂</v>
      </c>
      <c r="F85" s="1">
        <f>IFERROR(__xludf.DUMMYFUNCTION("""COMPUTED_VALUE"""),38.0)</f>
        <v>38</v>
      </c>
      <c r="G85" s="1" t="str">
        <f>IFERROR(__xludf.DUMMYFUNCTION("""COMPUTED_VALUE"""),"3 mos")</f>
        <v>3 mos</v>
      </c>
      <c r="H85" s="1" t="str">
        <f>IFERROR(__xludf.DUMMYFUNCTION("""COMPUTED_VALUE"""),"comment")</f>
        <v>comment</v>
      </c>
      <c r="I85" s="2" t="str">
        <f>IFERROR(__xludf.DUMMYFUNCTION("""COMPUTED_VALUE"""),"https://www.facebook.com/rapplerdotcom/posts/pfbid0DUh4iFcrxZuR1UbiGhcAHcMdzsaV29GSeHCY1HabtqcnUWkjStX9TDaVqzzt92GDl")</f>
        <v>https://www.facebook.com/rapplerdotcom/posts/pfbid0DUh4iFcrxZuR1UbiGhcAHcMdzsaV29GSeHCY1HabtqcnUWkjStX9TDaVqzzt92GDl</v>
      </c>
      <c r="J85" s="1" t="str">
        <f>IFERROR(__xludf.DUMMYFUNCTION("""COMPUTED_VALUE"""),"2022-07-04T11:08:02.660Z")</f>
        <v>2022-07-04T11:08:02.660Z</v>
      </c>
      <c r="K85" s="1"/>
    </row>
    <row r="86">
      <c r="A86" s="2" t="str">
        <f>IFERROR(__xludf.DUMMYFUNCTION("""COMPUTED_VALUE"""),"https://www.facebook.com/myraparreno")</f>
        <v>https://www.facebook.com/myraparreno</v>
      </c>
      <c r="B86" s="1" t="str">
        <f>IFERROR(__xludf.DUMMYFUNCTION("""COMPUTED_VALUE"""),"Myra Parreño")</f>
        <v>Myra Parreño</v>
      </c>
      <c r="C86" s="1" t="str">
        <f>IFERROR(__xludf.DUMMYFUNCTION("""COMPUTED_VALUE"""),"Myra")</f>
        <v>Myra</v>
      </c>
      <c r="D86" s="1" t="str">
        <f>IFERROR(__xludf.DUMMYFUNCTION("""COMPUTED_VALUE"""),"Parreño")</f>
        <v>Parreño</v>
      </c>
      <c r="E86" s="1" t="str">
        <f>IFERROR(__xludf.DUMMYFUNCTION("""COMPUTED_VALUE"""),"Reyhenry Bocateja Leque Tama")</f>
        <v>Reyhenry Bocateja Leque Tama</v>
      </c>
      <c r="F86" s="1">
        <f>IFERROR(__xludf.DUMMYFUNCTION("""COMPUTED_VALUE"""),1.0)</f>
        <v>1</v>
      </c>
      <c r="G86" s="1" t="str">
        <f>IFERROR(__xludf.DUMMYFUNCTION("""COMPUTED_VALUE"""),"3 mos")</f>
        <v>3 mos</v>
      </c>
      <c r="H86" s="1" t="str">
        <f>IFERROR(__xludf.DUMMYFUNCTION("""COMPUTED_VALUE"""),"reply")</f>
        <v>reply</v>
      </c>
      <c r="I86" s="2" t="str">
        <f>IFERROR(__xludf.DUMMYFUNCTION("""COMPUTED_VALUE"""),"https://www.facebook.com/rapplerdotcom/posts/pfbid0DUh4iFcrxZuR1UbiGhcAHcMdzsaV29GSeHCY1HabtqcnUWkjStX9TDaVqzzt92GDl")</f>
        <v>https://www.facebook.com/rapplerdotcom/posts/pfbid0DUh4iFcrxZuR1UbiGhcAHcMdzsaV29GSeHCY1HabtqcnUWkjStX9TDaVqzzt92GDl</v>
      </c>
      <c r="J86" s="1" t="str">
        <f>IFERROR(__xludf.DUMMYFUNCTION("""COMPUTED_VALUE"""),"2022-07-04T11:08:02.660Z")</f>
        <v>2022-07-04T11:08:02.660Z</v>
      </c>
      <c r="K86" s="1"/>
    </row>
    <row r="87">
      <c r="A87" s="2" t="str">
        <f>IFERROR(__xludf.DUMMYFUNCTION("""COMPUTED_VALUE"""),"https://www.facebook.com/mariaaya.dellosalozada")</f>
        <v>https://www.facebook.com/mariaaya.dellosalozada</v>
      </c>
      <c r="B87" s="1" t="str">
        <f>IFERROR(__xludf.DUMMYFUNCTION("""COMPUTED_VALUE"""),"Maria Lozada")</f>
        <v>Maria Lozada</v>
      </c>
      <c r="C87" s="1" t="str">
        <f>IFERROR(__xludf.DUMMYFUNCTION("""COMPUTED_VALUE"""),"Maria")</f>
        <v>Maria</v>
      </c>
      <c r="D87" s="1" t="str">
        <f>IFERROR(__xludf.DUMMYFUNCTION("""COMPUTED_VALUE"""),"Lozada")</f>
        <v>Lozada</v>
      </c>
      <c r="E87" s="1" t="str">
        <f>IFERROR(__xludf.DUMMYFUNCTION("""COMPUTED_VALUE"""),"Reyhenry Bocateja Leque na experience mo? alam na alam mo pala e. Pakiabangan tapos pa video and pa DQ mo sa Comelec...goww")</f>
        <v>Reyhenry Bocateja Leque na experience mo? alam na alam mo pala e. Pakiabangan tapos pa video and pa DQ mo sa Comelec...goww</v>
      </c>
      <c r="F87" s="1">
        <f>IFERROR(__xludf.DUMMYFUNCTION("""COMPUTED_VALUE"""),2.0)</f>
        <v>2</v>
      </c>
      <c r="G87" s="1" t="str">
        <f>IFERROR(__xludf.DUMMYFUNCTION("""COMPUTED_VALUE"""),"3 mos")</f>
        <v>3 mos</v>
      </c>
      <c r="H87" s="1" t="str">
        <f>IFERROR(__xludf.DUMMYFUNCTION("""COMPUTED_VALUE"""),"reply")</f>
        <v>reply</v>
      </c>
      <c r="I87" s="2" t="str">
        <f>IFERROR(__xludf.DUMMYFUNCTION("""COMPUTED_VALUE"""),"https://www.facebook.com/rapplerdotcom/posts/pfbid0DUh4iFcrxZuR1UbiGhcAHcMdzsaV29GSeHCY1HabtqcnUWkjStX9TDaVqzzt92GDl")</f>
        <v>https://www.facebook.com/rapplerdotcom/posts/pfbid0DUh4iFcrxZuR1UbiGhcAHcMdzsaV29GSeHCY1HabtqcnUWkjStX9TDaVqzzt92GDl</v>
      </c>
      <c r="J87" s="1" t="str">
        <f>IFERROR(__xludf.DUMMYFUNCTION("""COMPUTED_VALUE"""),"2022-07-04T11:08:02.660Z")</f>
        <v>2022-07-04T11:08:02.660Z</v>
      </c>
      <c r="K87" s="1"/>
    </row>
    <row r="88">
      <c r="A88" s="2" t="str">
        <f>IFERROR(__xludf.DUMMYFUNCTION("""COMPUTED_VALUE"""),"https://www.facebook.com/joseph.geraldo.1232")</f>
        <v>https://www.facebook.com/joseph.geraldo.1232</v>
      </c>
      <c r="B88" s="1" t="str">
        <f>IFERROR(__xludf.DUMMYFUNCTION("""COMPUTED_VALUE"""),"Joseph Geraldo")</f>
        <v>Joseph Geraldo</v>
      </c>
      <c r="C88" s="1" t="str">
        <f>IFERROR(__xludf.DUMMYFUNCTION("""COMPUTED_VALUE"""),"Joseph")</f>
        <v>Joseph</v>
      </c>
      <c r="D88" s="1" t="str">
        <f>IFERROR(__xludf.DUMMYFUNCTION("""COMPUTED_VALUE"""),"Geraldo")</f>
        <v>Geraldo</v>
      </c>
      <c r="E88" s="1" t="str">
        <f>IFERROR(__xludf.DUMMYFUNCTION("""COMPUTED_VALUE"""),"Reyhenry Bocateja Leque  kung kagaya mo na mukhang pulubi maghihintay talaga nang bigay 🤣🤣🤣🤣🤣🤣🤣")</f>
        <v>Reyhenry Bocateja Leque  kung kagaya mo na mukhang pulubi maghihintay talaga nang bigay 🤣🤣🤣🤣🤣🤣🤣</v>
      </c>
      <c r="F88" s="1"/>
      <c r="G88" s="1" t="str">
        <f>IFERROR(__xludf.DUMMYFUNCTION("""COMPUTED_VALUE"""),"3 mos")</f>
        <v>3 mos</v>
      </c>
      <c r="H88" s="1" t="str">
        <f>IFERROR(__xludf.DUMMYFUNCTION("""COMPUTED_VALUE"""),"reply")</f>
        <v>reply</v>
      </c>
      <c r="I88" s="2" t="str">
        <f>IFERROR(__xludf.DUMMYFUNCTION("""COMPUTED_VALUE"""),"https://www.facebook.com/rapplerdotcom/posts/pfbid0DUh4iFcrxZuR1UbiGhcAHcMdzsaV29GSeHCY1HabtqcnUWkjStX9TDaVqzzt92GDl")</f>
        <v>https://www.facebook.com/rapplerdotcom/posts/pfbid0DUh4iFcrxZuR1UbiGhcAHcMdzsaV29GSeHCY1HabtqcnUWkjStX9TDaVqzzt92GDl</v>
      </c>
      <c r="J88" s="1" t="str">
        <f>IFERROR(__xludf.DUMMYFUNCTION("""COMPUTED_VALUE"""),"2022-07-04T11:08:02.660Z")</f>
        <v>2022-07-04T11:08:02.660Z</v>
      </c>
      <c r="K88" s="1"/>
    </row>
    <row r="89">
      <c r="A89" s="2" t="str">
        <f>IFERROR(__xludf.DUMMYFUNCTION("""COMPUTED_VALUE"""),"https://www.facebook.com/henrileki")</f>
        <v>https://www.facebook.com/henrileki</v>
      </c>
      <c r="B89" s="1" t="str">
        <f>IFERROR(__xludf.DUMMYFUNCTION("""COMPUTED_VALUE"""),"Rey Henry Bocaleque")</f>
        <v>Rey Henry Bocaleque</v>
      </c>
      <c r="C89" s="1" t="str">
        <f>IFERROR(__xludf.DUMMYFUNCTION("""COMPUTED_VALUE"""),"Rey")</f>
        <v>Rey</v>
      </c>
      <c r="D89" s="1" t="str">
        <f>IFERROR(__xludf.DUMMYFUNCTION("""COMPUTED_VALUE"""),"Henry Bocaleque")</f>
        <v>Henry Bocaleque</v>
      </c>
      <c r="E89" s="1" t="str">
        <f>IFERROR(__xludf.DUMMYFUNCTION("""COMPUTED_VALUE"""),"Maria Lozada bakit inde mo nakita ang gawain ng unithieves gising din paminsan minsan😂mahirap maging panatiko.")</f>
        <v>Maria Lozada bakit inde mo nakita ang gawain ng unithieves gising din paminsan minsan😂mahirap maging panatiko.</v>
      </c>
      <c r="F89" s="1">
        <f>IFERROR(__xludf.DUMMYFUNCTION("""COMPUTED_VALUE"""),4.0)</f>
        <v>4</v>
      </c>
      <c r="G89" s="1" t="str">
        <f>IFERROR(__xludf.DUMMYFUNCTION("""COMPUTED_VALUE"""),"3 mos")</f>
        <v>3 mos</v>
      </c>
      <c r="H89" s="1" t="str">
        <f>IFERROR(__xludf.DUMMYFUNCTION("""COMPUTED_VALUE"""),"reply")</f>
        <v>reply</v>
      </c>
      <c r="I89" s="2" t="str">
        <f>IFERROR(__xludf.DUMMYFUNCTION("""COMPUTED_VALUE"""),"https://www.facebook.com/rapplerdotcom/posts/pfbid0DUh4iFcrxZuR1UbiGhcAHcMdzsaV29GSeHCY1HabtqcnUWkjStX9TDaVqzzt92GDl")</f>
        <v>https://www.facebook.com/rapplerdotcom/posts/pfbid0DUh4iFcrxZuR1UbiGhcAHcMdzsaV29GSeHCY1HabtqcnUWkjStX9TDaVqzzt92GDl</v>
      </c>
      <c r="J89" s="1" t="str">
        <f>IFERROR(__xludf.DUMMYFUNCTION("""COMPUTED_VALUE"""),"2022-07-04T11:08:02.660Z")</f>
        <v>2022-07-04T11:08:02.660Z</v>
      </c>
      <c r="K89" s="1"/>
    </row>
    <row r="90">
      <c r="A90" s="2" t="str">
        <f>IFERROR(__xludf.DUMMYFUNCTION("""COMPUTED_VALUE"""),"https://www.facebook.com/terry.daktil.75")</f>
        <v>https://www.facebook.com/terry.daktil.75</v>
      </c>
      <c r="B90" s="1" t="str">
        <f>IFERROR(__xludf.DUMMYFUNCTION("""COMPUTED_VALUE"""),"Jonathan Batan")</f>
        <v>Jonathan Batan</v>
      </c>
      <c r="C90" s="1" t="str">
        <f>IFERROR(__xludf.DUMMYFUNCTION("""COMPUTED_VALUE"""),"Jonathan")</f>
        <v>Jonathan</v>
      </c>
      <c r="D90" s="1" t="str">
        <f>IFERROR(__xludf.DUMMYFUNCTION("""COMPUTED_VALUE"""),"Batan")</f>
        <v>Batan</v>
      </c>
      <c r="E90" s="1" t="str">
        <f>IFERROR(__xludf.DUMMYFUNCTION("""COMPUTED_VALUE"""),"Maria Lozada may video na nga eh haha nahuli ng GMA haha wag bulag bulagan")</f>
        <v>Maria Lozada may video na nga eh haha nahuli ng GMA haha wag bulag bulagan</v>
      </c>
      <c r="F90" s="1">
        <f>IFERROR(__xludf.DUMMYFUNCTION("""COMPUTED_VALUE"""),2.0)</f>
        <v>2</v>
      </c>
      <c r="G90" s="1" t="str">
        <f>IFERROR(__xludf.DUMMYFUNCTION("""COMPUTED_VALUE"""),"3 mos")</f>
        <v>3 mos</v>
      </c>
      <c r="H90" s="1" t="str">
        <f>IFERROR(__xludf.DUMMYFUNCTION("""COMPUTED_VALUE"""),"reply")</f>
        <v>reply</v>
      </c>
      <c r="I90" s="2" t="str">
        <f>IFERROR(__xludf.DUMMYFUNCTION("""COMPUTED_VALUE"""),"https://www.facebook.com/rapplerdotcom/posts/pfbid0DUh4iFcrxZuR1UbiGhcAHcMdzsaV29GSeHCY1HabtqcnUWkjStX9TDaVqzzt92GDl")</f>
        <v>https://www.facebook.com/rapplerdotcom/posts/pfbid0DUh4iFcrxZuR1UbiGhcAHcMdzsaV29GSeHCY1HabtqcnUWkjStX9TDaVqzzt92GDl</v>
      </c>
      <c r="J90" s="1" t="str">
        <f>IFERROR(__xludf.DUMMYFUNCTION("""COMPUTED_VALUE"""),"2022-07-04T11:08:02.660Z")</f>
        <v>2022-07-04T11:08:02.660Z</v>
      </c>
      <c r="K90" s="1"/>
    </row>
    <row r="91">
      <c r="A91" s="2" t="str">
        <f>IFERROR(__xludf.DUMMYFUNCTION("""COMPUTED_VALUE"""),"https://www.facebook.com/profile.php?id=100073995464849")</f>
        <v>https://www.facebook.com/profile.php?id=100073995464849</v>
      </c>
      <c r="B91" s="1" t="str">
        <f>IFERROR(__xludf.DUMMYFUNCTION("""COMPUTED_VALUE"""),"Inyeng Casabuena Cachuela")</f>
        <v>Inyeng Casabuena Cachuela</v>
      </c>
      <c r="C91" s="1" t="str">
        <f>IFERROR(__xludf.DUMMYFUNCTION("""COMPUTED_VALUE"""),"Inyeng")</f>
        <v>Inyeng</v>
      </c>
      <c r="D91" s="1" t="str">
        <f>IFERROR(__xludf.DUMMYFUNCTION("""COMPUTED_VALUE"""),"Casabuena Cachuela")</f>
        <v>Casabuena Cachuela</v>
      </c>
      <c r="E91" s="1" t="str">
        <f>IFERROR(__xludf.DUMMYFUNCTION("""COMPUTED_VALUE"""),"Reyhenry Bocateja Leque Tama kayo sir .God bless Po!")</f>
        <v>Reyhenry Bocateja Leque Tama kayo sir .God bless Po!</v>
      </c>
      <c r="F91" s="1"/>
      <c r="G91" s="1" t="str">
        <f>IFERROR(__xludf.DUMMYFUNCTION("""COMPUTED_VALUE"""),"3 mos")</f>
        <v>3 mos</v>
      </c>
      <c r="H91" s="1" t="str">
        <f>IFERROR(__xludf.DUMMYFUNCTION("""COMPUTED_VALUE"""),"reply")</f>
        <v>reply</v>
      </c>
      <c r="I91" s="2" t="str">
        <f>IFERROR(__xludf.DUMMYFUNCTION("""COMPUTED_VALUE"""),"https://www.facebook.com/rapplerdotcom/posts/pfbid0DUh4iFcrxZuR1UbiGhcAHcMdzsaV29GSeHCY1HabtqcnUWkjStX9TDaVqzzt92GDl")</f>
        <v>https://www.facebook.com/rapplerdotcom/posts/pfbid0DUh4iFcrxZuR1UbiGhcAHcMdzsaV29GSeHCY1HabtqcnUWkjStX9TDaVqzzt92GDl</v>
      </c>
      <c r="J91" s="1" t="str">
        <f>IFERROR(__xludf.DUMMYFUNCTION("""COMPUTED_VALUE"""),"2022-07-04T11:08:02.660Z")</f>
        <v>2022-07-04T11:08:02.660Z</v>
      </c>
      <c r="K91" s="1"/>
    </row>
    <row r="92">
      <c r="A92" s="2" t="str">
        <f>IFERROR(__xludf.DUMMYFUNCTION("""COMPUTED_VALUE"""),"https://www.facebook.com/profile.php?id=100009426127646")</f>
        <v>https://www.facebook.com/profile.php?id=100009426127646</v>
      </c>
      <c r="B92" s="1" t="str">
        <f>IFERROR(__xludf.DUMMYFUNCTION("""COMPUTED_VALUE"""),"Krizzle Dawn Emboltorio Placero")</f>
        <v>Krizzle Dawn Emboltorio Placero</v>
      </c>
      <c r="C92" s="1" t="str">
        <f>IFERROR(__xludf.DUMMYFUNCTION("""COMPUTED_VALUE"""),"Krizzle")</f>
        <v>Krizzle</v>
      </c>
      <c r="D92" s="1" t="str">
        <f>IFERROR(__xludf.DUMMYFUNCTION("""COMPUTED_VALUE"""),"Dawn Emboltorio Placero")</f>
        <v>Dawn Emboltorio Placero</v>
      </c>
      <c r="E92" s="1" t="str">
        <f>IFERROR(__xludf.DUMMYFUNCTION("""COMPUTED_VALUE"""),"Reyhenry Bocateja Leque  HOW DI KAMI BAYAD!")</f>
        <v>Reyhenry Bocateja Leque  HOW DI KAMI BAYAD!</v>
      </c>
      <c r="F92" s="1"/>
      <c r="G92" s="1" t="str">
        <f>IFERROR(__xludf.DUMMYFUNCTION("""COMPUTED_VALUE"""),"3 mos")</f>
        <v>3 mos</v>
      </c>
      <c r="H92" s="1" t="str">
        <f>IFERROR(__xludf.DUMMYFUNCTION("""COMPUTED_VALUE"""),"reply")</f>
        <v>reply</v>
      </c>
      <c r="I92" s="2" t="str">
        <f>IFERROR(__xludf.DUMMYFUNCTION("""COMPUTED_VALUE"""),"https://www.facebook.com/rapplerdotcom/posts/pfbid0DUh4iFcrxZuR1UbiGhcAHcMdzsaV29GSeHCY1HabtqcnUWkjStX9TDaVqzzt92GDl")</f>
        <v>https://www.facebook.com/rapplerdotcom/posts/pfbid0DUh4iFcrxZuR1UbiGhcAHcMdzsaV29GSeHCY1HabtqcnUWkjStX9TDaVqzzt92GDl</v>
      </c>
      <c r="J92" s="1" t="str">
        <f>IFERROR(__xludf.DUMMYFUNCTION("""COMPUTED_VALUE"""),"2022-07-04T11:08:02.660Z")</f>
        <v>2022-07-04T11:08:02.660Z</v>
      </c>
      <c r="K92" s="1"/>
    </row>
    <row r="93">
      <c r="A93" s="2" t="str">
        <f>IFERROR(__xludf.DUMMYFUNCTION("""COMPUTED_VALUE"""),"https://www.facebook.com/aqoucii.makmak")</f>
        <v>https://www.facebook.com/aqoucii.makmak</v>
      </c>
      <c r="B93" s="1" t="str">
        <f>IFERROR(__xludf.DUMMYFUNCTION("""COMPUTED_VALUE"""),"Makmak Sepi Panalunsong")</f>
        <v>Makmak Sepi Panalunsong</v>
      </c>
      <c r="C93" s="1" t="str">
        <f>IFERROR(__xludf.DUMMYFUNCTION("""COMPUTED_VALUE"""),"Makmak")</f>
        <v>Makmak</v>
      </c>
      <c r="D93" s="1" t="str">
        <f>IFERROR(__xludf.DUMMYFUNCTION("""COMPUTED_VALUE"""),"Sepi Panalunsong")</f>
        <v>Sepi Panalunsong</v>
      </c>
      <c r="E93" s="1" t="str">
        <f>IFERROR(__xludf.DUMMYFUNCTION("""COMPUTED_VALUE"""),"Reyhenry Bocateja Leque Sanay na sanay kau ah")</f>
        <v>Reyhenry Bocateja Leque Sanay na sanay kau ah</v>
      </c>
      <c r="F93" s="1"/>
      <c r="G93" s="1" t="str">
        <f>IFERROR(__xludf.DUMMYFUNCTION("""COMPUTED_VALUE"""),"3 mos")</f>
        <v>3 mos</v>
      </c>
      <c r="H93" s="1" t="str">
        <f>IFERROR(__xludf.DUMMYFUNCTION("""COMPUTED_VALUE"""),"reply")</f>
        <v>reply</v>
      </c>
      <c r="I93" s="2" t="str">
        <f>IFERROR(__xludf.DUMMYFUNCTION("""COMPUTED_VALUE"""),"https://www.facebook.com/rapplerdotcom/posts/pfbid0DUh4iFcrxZuR1UbiGhcAHcMdzsaV29GSeHCY1HabtqcnUWkjStX9TDaVqzzt92GDl")</f>
        <v>https://www.facebook.com/rapplerdotcom/posts/pfbid0DUh4iFcrxZuR1UbiGhcAHcMdzsaV29GSeHCY1HabtqcnUWkjStX9TDaVqzzt92GDl</v>
      </c>
      <c r="J93" s="1" t="str">
        <f>IFERROR(__xludf.DUMMYFUNCTION("""COMPUTED_VALUE"""),"2022-07-04T11:08:02.660Z")</f>
        <v>2022-07-04T11:08:02.660Z</v>
      </c>
      <c r="K93" s="1"/>
    </row>
    <row r="94">
      <c r="A94" s="2" t="str">
        <f>IFERROR(__xludf.DUMMYFUNCTION("""COMPUTED_VALUE"""),"https://www.facebook.com/aqoucii.makmak")</f>
        <v>https://www.facebook.com/aqoucii.makmak</v>
      </c>
      <c r="B94" s="1" t="str">
        <f>IFERROR(__xludf.DUMMYFUNCTION("""COMPUTED_VALUE"""),"Makmak Sepi Panalunsong")</f>
        <v>Makmak Sepi Panalunsong</v>
      </c>
      <c r="C94" s="1" t="str">
        <f>IFERROR(__xludf.DUMMYFUNCTION("""COMPUTED_VALUE"""),"Makmak")</f>
        <v>Makmak</v>
      </c>
      <c r="D94" s="1" t="str">
        <f>IFERROR(__xludf.DUMMYFUNCTION("""COMPUTED_VALUE"""),"Sepi Panalunsong")</f>
        <v>Sepi Panalunsong</v>
      </c>
      <c r="E94" s="1" t="str">
        <f>IFERROR(__xludf.DUMMYFUNCTION("""COMPUTED_VALUE"""),"Reyhenry Bocateja Leque Pag ganitong tao nakakatakot maging kapitbahay..mapanghusga baka makapatay pa")</f>
        <v>Reyhenry Bocateja Leque Pag ganitong tao nakakatakot maging kapitbahay..mapanghusga baka makapatay pa</v>
      </c>
      <c r="F94" s="1">
        <f>IFERROR(__xludf.DUMMYFUNCTION("""COMPUTED_VALUE"""),3.0)</f>
        <v>3</v>
      </c>
      <c r="G94" s="1" t="str">
        <f>IFERROR(__xludf.DUMMYFUNCTION("""COMPUTED_VALUE"""),"3 mos")</f>
        <v>3 mos</v>
      </c>
      <c r="H94" s="1" t="str">
        <f>IFERROR(__xludf.DUMMYFUNCTION("""COMPUTED_VALUE"""),"reply")</f>
        <v>reply</v>
      </c>
      <c r="I94" s="2" t="str">
        <f>IFERROR(__xludf.DUMMYFUNCTION("""COMPUTED_VALUE"""),"https://www.facebook.com/rapplerdotcom/posts/pfbid0DUh4iFcrxZuR1UbiGhcAHcMdzsaV29GSeHCY1HabtqcnUWkjStX9TDaVqzzt92GDl")</f>
        <v>https://www.facebook.com/rapplerdotcom/posts/pfbid0DUh4iFcrxZuR1UbiGhcAHcMdzsaV29GSeHCY1HabtqcnUWkjStX9TDaVqzzt92GDl</v>
      </c>
      <c r="J94" s="1" t="str">
        <f>IFERROR(__xludf.DUMMYFUNCTION("""COMPUTED_VALUE"""),"2022-07-04T11:08:02.660Z")</f>
        <v>2022-07-04T11:08:02.660Z</v>
      </c>
      <c r="K94" s="1"/>
    </row>
    <row r="95">
      <c r="A95" s="2" t="str">
        <f>IFERROR(__xludf.DUMMYFUNCTION("""COMPUTED_VALUE"""),"https://www.facebook.com/mervilyn.constantino")</f>
        <v>https://www.facebook.com/mervilyn.constantino</v>
      </c>
      <c r="B95" s="1" t="str">
        <f>IFERROR(__xludf.DUMMYFUNCTION("""COMPUTED_VALUE"""),"Shine Constantino")</f>
        <v>Shine Constantino</v>
      </c>
      <c r="C95" s="1" t="str">
        <f>IFERROR(__xludf.DUMMYFUNCTION("""COMPUTED_VALUE"""),"Shine")</f>
        <v>Shine</v>
      </c>
      <c r="D95" s="1" t="str">
        <f>IFERROR(__xludf.DUMMYFUNCTION("""COMPUTED_VALUE"""),"Constantino")</f>
        <v>Constantino</v>
      </c>
      <c r="E95" s="1" t="str">
        <f>IFERROR(__xludf.DUMMYFUNCTION("""COMPUTED_VALUE"""),"Except when it happened in Parañaque, so they decided to cancel the event instead. 😏😏😏  Edit: Hindi man lang sumipot si LBM dahil ""maulan"".")</f>
        <v>Except when it happened in Parañaque, so they decided to cancel the event instead. 😏😏😏  Edit: Hindi man lang sumipot si LBM dahil "maulan".</v>
      </c>
      <c r="F95" s="1">
        <f>IFERROR(__xludf.DUMMYFUNCTION("""COMPUTED_VALUE"""),6.0)</f>
        <v>6</v>
      </c>
      <c r="G95" s="1" t="str">
        <f>IFERROR(__xludf.DUMMYFUNCTION("""COMPUTED_VALUE"""),"3 mos")</f>
        <v>3 mos</v>
      </c>
      <c r="H95" s="1" t="str">
        <f>IFERROR(__xludf.DUMMYFUNCTION("""COMPUTED_VALUE"""),"comment")</f>
        <v>comment</v>
      </c>
      <c r="I95" s="2" t="str">
        <f>IFERROR(__xludf.DUMMYFUNCTION("""COMPUTED_VALUE"""),"https://www.facebook.com/rapplerdotcom/posts/pfbid0DUh4iFcrxZuR1UbiGhcAHcMdzsaV29GSeHCY1HabtqcnUWkjStX9TDaVqzzt92GDl")</f>
        <v>https://www.facebook.com/rapplerdotcom/posts/pfbid0DUh4iFcrxZuR1UbiGhcAHcMdzsaV29GSeHCY1HabtqcnUWkjStX9TDaVqzzt92GDl</v>
      </c>
      <c r="J95" s="1" t="str">
        <f>IFERROR(__xludf.DUMMYFUNCTION("""COMPUTED_VALUE"""),"2022-07-04T11:08:02.660Z")</f>
        <v>2022-07-04T11:08:02.660Z</v>
      </c>
      <c r="K95" s="1"/>
    </row>
    <row r="96">
      <c r="A96" s="2" t="str">
        <f>IFERROR(__xludf.DUMMYFUNCTION("""COMPUTED_VALUE"""),"https://www.facebook.com/james.borgia.3")</f>
        <v>https://www.facebook.com/james.borgia.3</v>
      </c>
      <c r="B96" s="1" t="str">
        <f>IFERROR(__xludf.DUMMYFUNCTION("""COMPUTED_VALUE"""),"Gia Borja")</f>
        <v>Gia Borja</v>
      </c>
      <c r="C96" s="1" t="str">
        <f>IFERROR(__xludf.DUMMYFUNCTION("""COMPUTED_VALUE"""),"Gia")</f>
        <v>Gia</v>
      </c>
      <c r="D96" s="1" t="str">
        <f>IFERROR(__xludf.DUMMYFUNCTION("""COMPUTED_VALUE"""),"Borja")</f>
        <v>Borja</v>
      </c>
      <c r="E96" s="1" t="str">
        <f>IFERROR(__xludf.DUMMYFUNCTION("""COMPUTED_VALUE"""),"Shine Constantino Kailangan kasi nila ngayon ng pakulo... 😆")</f>
        <v>Shine Constantino Kailangan kasi nila ngayon ng pakulo... 😆</v>
      </c>
      <c r="F96" s="1">
        <f>IFERROR(__xludf.DUMMYFUNCTION("""COMPUTED_VALUE"""),1.0)</f>
        <v>1</v>
      </c>
      <c r="G96" s="1" t="str">
        <f>IFERROR(__xludf.DUMMYFUNCTION("""COMPUTED_VALUE"""),"3 mos")</f>
        <v>3 mos</v>
      </c>
      <c r="H96" s="1" t="str">
        <f>IFERROR(__xludf.DUMMYFUNCTION("""COMPUTED_VALUE"""),"reply")</f>
        <v>reply</v>
      </c>
      <c r="I96" s="2" t="str">
        <f>IFERROR(__xludf.DUMMYFUNCTION("""COMPUTED_VALUE"""),"https://www.facebook.com/rapplerdotcom/posts/pfbid0DUh4iFcrxZuR1UbiGhcAHcMdzsaV29GSeHCY1HabtqcnUWkjStX9TDaVqzzt92GDl")</f>
        <v>https://www.facebook.com/rapplerdotcom/posts/pfbid0DUh4iFcrxZuR1UbiGhcAHcMdzsaV29GSeHCY1HabtqcnUWkjStX9TDaVqzzt92GDl</v>
      </c>
      <c r="J96" s="1" t="str">
        <f>IFERROR(__xludf.DUMMYFUNCTION("""COMPUTED_VALUE"""),"2022-07-04T11:08:02.660Z")</f>
        <v>2022-07-04T11:08:02.660Z</v>
      </c>
      <c r="K96" s="1"/>
    </row>
    <row r="97">
      <c r="A97" s="2" t="str">
        <f>IFERROR(__xludf.DUMMYFUNCTION("""COMPUTED_VALUE"""),"https://www.facebook.com/Boyp97")</f>
        <v>https://www.facebook.com/Boyp97</v>
      </c>
      <c r="B97" s="1" t="str">
        <f>IFERROR(__xludf.DUMMYFUNCTION("""COMPUTED_VALUE"""),"Boyp Decoral Aromañep")</f>
        <v>Boyp Decoral Aromañep</v>
      </c>
      <c r="C97" s="1" t="str">
        <f>IFERROR(__xludf.DUMMYFUNCTION("""COMPUTED_VALUE"""),"Boyp")</f>
        <v>Boyp</v>
      </c>
      <c r="D97" s="1" t="str">
        <f>IFERROR(__xludf.DUMMYFUNCTION("""COMPUTED_VALUE"""),"Decoral Aromañep")</f>
        <v>Decoral Aromañep</v>
      </c>
      <c r="E97" s="1" t="str">
        <f>IFERROR(__xludf.DUMMYFUNCTION("""COMPUTED_VALUE"""),"mas maganda bigayan kapag basa sa ulan 🤣🤣🤣")</f>
        <v>mas maganda bigayan kapag basa sa ulan 🤣🤣🤣</v>
      </c>
      <c r="F97" s="1">
        <f>IFERROR(__xludf.DUMMYFUNCTION("""COMPUTED_VALUE"""),9.0)</f>
        <v>9</v>
      </c>
      <c r="G97" s="1" t="str">
        <f>IFERROR(__xludf.DUMMYFUNCTION("""COMPUTED_VALUE"""),"3 mos")</f>
        <v>3 mos</v>
      </c>
      <c r="H97" s="1" t="str">
        <f>IFERROR(__xludf.DUMMYFUNCTION("""COMPUTED_VALUE"""),"comment")</f>
        <v>comment</v>
      </c>
      <c r="I97" s="2" t="str">
        <f>IFERROR(__xludf.DUMMYFUNCTION("""COMPUTED_VALUE"""),"https://www.facebook.com/rapplerdotcom/posts/pfbid0DUh4iFcrxZuR1UbiGhcAHcMdzsaV29GSeHCY1HabtqcnUWkjStX9TDaVqzzt92GDl")</f>
        <v>https://www.facebook.com/rapplerdotcom/posts/pfbid0DUh4iFcrxZuR1UbiGhcAHcMdzsaV29GSeHCY1HabtqcnUWkjStX9TDaVqzzt92GDl</v>
      </c>
      <c r="J97" s="1" t="str">
        <f>IFERROR(__xludf.DUMMYFUNCTION("""COMPUTED_VALUE"""),"2022-07-04T11:08:02.660Z")</f>
        <v>2022-07-04T11:08:02.660Z</v>
      </c>
      <c r="K97" s="1"/>
    </row>
    <row r="98">
      <c r="A98" s="2" t="str">
        <f>IFERROR(__xludf.DUMMYFUNCTION("""COMPUTED_VALUE"""),"https://www.facebook.com/pauljeric.queipo.1")</f>
        <v>https://www.facebook.com/pauljeric.queipo.1</v>
      </c>
      <c r="B98" s="1" t="str">
        <f>IFERROR(__xludf.DUMMYFUNCTION("""COMPUTED_VALUE"""),"Paul Jeric Queipo")</f>
        <v>Paul Jeric Queipo</v>
      </c>
      <c r="C98" s="1" t="str">
        <f>IFERROR(__xludf.DUMMYFUNCTION("""COMPUTED_VALUE"""),"Paul")</f>
        <v>Paul</v>
      </c>
      <c r="D98" s="1" t="str">
        <f>IFERROR(__xludf.DUMMYFUNCTION("""COMPUTED_VALUE"""),"Jeric Queipo")</f>
        <v>Jeric Queipo</v>
      </c>
      <c r="E98" s="1" t="str">
        <f>IFERROR(__xludf.DUMMYFUNCTION("""COMPUTED_VALUE"""),"Boyp Decoral Aromañep proof? Parang mas maraming bigayan yang manok mo hahahaha facebook ads palang at sa campaign spending 😂😂😂 LOOSER")</f>
        <v>Boyp Decoral Aromañep proof? Parang mas maraming bigayan yang manok mo hahahaha facebook ads palang at sa campaign spending 😂😂😂 LOOSER</v>
      </c>
      <c r="F98" s="1"/>
      <c r="G98" s="1" t="str">
        <f>IFERROR(__xludf.DUMMYFUNCTION("""COMPUTED_VALUE"""),"3 mos")</f>
        <v>3 mos</v>
      </c>
      <c r="H98" s="1" t="str">
        <f>IFERROR(__xludf.DUMMYFUNCTION("""COMPUTED_VALUE"""),"reply")</f>
        <v>reply</v>
      </c>
      <c r="I98" s="2" t="str">
        <f>IFERROR(__xludf.DUMMYFUNCTION("""COMPUTED_VALUE"""),"https://www.facebook.com/rapplerdotcom/posts/pfbid0DUh4iFcrxZuR1UbiGhcAHcMdzsaV29GSeHCY1HabtqcnUWkjStX9TDaVqzzt92GDl")</f>
        <v>https://www.facebook.com/rapplerdotcom/posts/pfbid0DUh4iFcrxZuR1UbiGhcAHcMdzsaV29GSeHCY1HabtqcnUWkjStX9TDaVqzzt92GDl</v>
      </c>
      <c r="J98" s="1" t="str">
        <f>IFERROR(__xludf.DUMMYFUNCTION("""COMPUTED_VALUE"""),"2022-07-04T11:08:02.660Z")</f>
        <v>2022-07-04T11:08:02.660Z</v>
      </c>
      <c r="K98" s="1"/>
    </row>
    <row r="99">
      <c r="A99" s="2" t="str">
        <f>IFERROR(__xludf.DUMMYFUNCTION("""COMPUTED_VALUE"""),"https://www.facebook.com/randy.basco.3")</f>
        <v>https://www.facebook.com/randy.basco.3</v>
      </c>
      <c r="B99" s="1" t="str">
        <f>IFERROR(__xludf.DUMMYFUNCTION("""COMPUTED_VALUE"""),"Randy Basco")</f>
        <v>Randy Basco</v>
      </c>
      <c r="C99" s="1" t="str">
        <f>IFERROR(__xludf.DUMMYFUNCTION("""COMPUTED_VALUE"""),"Randy")</f>
        <v>Randy</v>
      </c>
      <c r="D99" s="1" t="str">
        <f>IFERROR(__xludf.DUMMYFUNCTION("""COMPUTED_VALUE"""),"Basco")</f>
        <v>Basco</v>
      </c>
      <c r="E99" s="1" t="str">
        <f>IFERROR(__xludf.DUMMYFUNCTION("""COMPUTED_VALUE"""),"Boyp Decoral Aromañep hindi mo sila katulad, mukhang pera")</f>
        <v>Boyp Decoral Aromañep hindi mo sila katulad, mukhang pera</v>
      </c>
      <c r="F99" s="1"/>
      <c r="G99" s="1" t="str">
        <f>IFERROR(__xludf.DUMMYFUNCTION("""COMPUTED_VALUE"""),"3 mos")</f>
        <v>3 mos</v>
      </c>
      <c r="H99" s="1" t="str">
        <f>IFERROR(__xludf.DUMMYFUNCTION("""COMPUTED_VALUE"""),"reply")</f>
        <v>reply</v>
      </c>
      <c r="I99" s="2" t="str">
        <f>IFERROR(__xludf.DUMMYFUNCTION("""COMPUTED_VALUE"""),"https://www.facebook.com/rapplerdotcom/posts/pfbid0DUh4iFcrxZuR1UbiGhcAHcMdzsaV29GSeHCY1HabtqcnUWkjStX9TDaVqzzt92GDl")</f>
        <v>https://www.facebook.com/rapplerdotcom/posts/pfbid0DUh4iFcrxZuR1UbiGhcAHcMdzsaV29GSeHCY1HabtqcnUWkjStX9TDaVqzzt92GDl</v>
      </c>
      <c r="J99" s="1" t="str">
        <f>IFERROR(__xludf.DUMMYFUNCTION("""COMPUTED_VALUE"""),"2022-07-04T11:08:02.660Z")</f>
        <v>2022-07-04T11:08:02.660Z</v>
      </c>
      <c r="K99" s="1"/>
    </row>
    <row r="100">
      <c r="A100" s="2" t="str">
        <f>IFERROR(__xludf.DUMMYFUNCTION("""COMPUTED_VALUE"""),"https://www.facebook.com/jovi.laganding")</f>
        <v>https://www.facebook.com/jovi.laganding</v>
      </c>
      <c r="B100" s="1" t="str">
        <f>IFERROR(__xludf.DUMMYFUNCTION("""COMPUTED_VALUE"""),"Jovi Laganding")</f>
        <v>Jovi Laganding</v>
      </c>
      <c r="C100" s="1" t="str">
        <f>IFERROR(__xludf.DUMMYFUNCTION("""COMPUTED_VALUE"""),"Jovi")</f>
        <v>Jovi</v>
      </c>
      <c r="D100" s="1" t="str">
        <f>IFERROR(__xludf.DUMMYFUNCTION("""COMPUTED_VALUE"""),"Laganding")</f>
        <v>Laganding</v>
      </c>
      <c r="E100" s="1" t="str">
        <f>IFERROR(__xludf.DUMMYFUNCTION("""COMPUTED_VALUE"""),"Inggit pikit, 🤣🤣✌️♥️💚👊")</f>
        <v>Inggit pikit, 🤣🤣✌️♥️💚👊</v>
      </c>
      <c r="F100" s="1">
        <f>IFERROR(__xludf.DUMMYFUNCTION("""COMPUTED_VALUE"""),17.0)</f>
        <v>17</v>
      </c>
      <c r="G100" s="1" t="str">
        <f>IFERROR(__xludf.DUMMYFUNCTION("""COMPUTED_VALUE"""),"3 mos")</f>
        <v>3 mos</v>
      </c>
      <c r="H100" s="1" t="str">
        <f>IFERROR(__xludf.DUMMYFUNCTION("""COMPUTED_VALUE"""),"comment")</f>
        <v>comment</v>
      </c>
      <c r="I100"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0" s="1" t="str">
        <f>IFERROR(__xludf.DUMMYFUNCTION("""COMPUTED_VALUE"""),"2022-07-04T11:08:02.660Z")</f>
        <v>2022-07-04T11:08:02.660Z</v>
      </c>
      <c r="K100" s="1"/>
    </row>
    <row r="101">
      <c r="A101" s="2" t="str">
        <f>IFERROR(__xludf.DUMMYFUNCTION("""COMPUTED_VALUE"""),"https://www.facebook.com/axljansantos")</f>
        <v>https://www.facebook.com/axljansantos</v>
      </c>
      <c r="B101" s="1" t="str">
        <f>IFERROR(__xludf.DUMMYFUNCTION("""COMPUTED_VALUE"""),"Axl Jan Santos")</f>
        <v>Axl Jan Santos</v>
      </c>
      <c r="C101" s="1" t="str">
        <f>IFERROR(__xludf.DUMMYFUNCTION("""COMPUTED_VALUE"""),"Axl")</f>
        <v>Axl</v>
      </c>
      <c r="D101" s="1" t="str">
        <f>IFERROR(__xludf.DUMMYFUNCTION("""COMPUTED_VALUE"""),"Jan Santos")</f>
        <v>Jan Santos</v>
      </c>
      <c r="E101" s="1" t="str">
        <f>IFERROR(__xludf.DUMMYFUNCTION("""COMPUTED_VALUE"""),"Jovi Laganding kuda kuda lang sila, matatalo na kasi🤭🤣")</f>
        <v>Jovi Laganding kuda kuda lang sila, matatalo na kasi🤭🤣</v>
      </c>
      <c r="F101" s="1">
        <f>IFERROR(__xludf.DUMMYFUNCTION("""COMPUTED_VALUE"""),4.0)</f>
        <v>4</v>
      </c>
      <c r="G101" s="1" t="str">
        <f>IFERROR(__xludf.DUMMYFUNCTION("""COMPUTED_VALUE"""),"3 mos")</f>
        <v>3 mos</v>
      </c>
      <c r="H101" s="1" t="str">
        <f>IFERROR(__xludf.DUMMYFUNCTION("""COMPUTED_VALUE"""),"reply")</f>
        <v>reply</v>
      </c>
      <c r="I101"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1" s="1" t="str">
        <f>IFERROR(__xludf.DUMMYFUNCTION("""COMPUTED_VALUE"""),"2022-07-04T11:08:02.660Z")</f>
        <v>2022-07-04T11:08:02.660Z</v>
      </c>
      <c r="K101" s="1"/>
    </row>
    <row r="102">
      <c r="A102" s="2" t="str">
        <f>IFERROR(__xludf.DUMMYFUNCTION("""COMPUTED_VALUE"""),"https://www.facebook.com/carlosjr.carreon")</f>
        <v>https://www.facebook.com/carlosjr.carreon</v>
      </c>
      <c r="B102" s="1" t="str">
        <f>IFERROR(__xludf.DUMMYFUNCTION("""COMPUTED_VALUE"""),"Johan Luke Carreon")</f>
        <v>Johan Luke Carreon</v>
      </c>
      <c r="C102" s="1" t="str">
        <f>IFERROR(__xludf.DUMMYFUNCTION("""COMPUTED_VALUE"""),"Johan")</f>
        <v>Johan</v>
      </c>
      <c r="D102" s="1" t="str">
        <f>IFERROR(__xludf.DUMMYFUNCTION("""COMPUTED_VALUE"""),"Luke Carreon")</f>
        <v>Luke Carreon</v>
      </c>
      <c r="E102" s="1" t="str">
        <f>IFERROR(__xludf.DUMMYFUNCTION("""COMPUTED_VALUE"""),"Ilabas na ang mga puting sobre😂😂😂")</f>
        <v>Ilabas na ang mga puting sobre😂😂😂</v>
      </c>
      <c r="F102" s="1"/>
      <c r="G102" s="1" t="str">
        <f>IFERROR(__xludf.DUMMYFUNCTION("""COMPUTED_VALUE"""),"3 mos")</f>
        <v>3 mos</v>
      </c>
      <c r="H102" s="1" t="str">
        <f>IFERROR(__xludf.DUMMYFUNCTION("""COMPUTED_VALUE"""),"comment")</f>
        <v>comment</v>
      </c>
      <c r="I102"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2" s="1" t="str">
        <f>IFERROR(__xludf.DUMMYFUNCTION("""COMPUTED_VALUE"""),"2022-07-04T11:08:02.660Z")</f>
        <v>2022-07-04T11:08:02.660Z</v>
      </c>
      <c r="K102" s="1"/>
    </row>
    <row r="103">
      <c r="A103" s="2" t="str">
        <f>IFERROR(__xludf.DUMMYFUNCTION("""COMPUTED_VALUE"""),"https://www.facebook.com/jeff.gallo.1213")</f>
        <v>https://www.facebook.com/jeff.gallo.1213</v>
      </c>
      <c r="B103" s="1" t="str">
        <f>IFERROR(__xludf.DUMMYFUNCTION("""COMPUTED_VALUE"""),"Jeff Gallo")</f>
        <v>Jeff Gallo</v>
      </c>
      <c r="C103" s="1" t="str">
        <f>IFERROR(__xludf.DUMMYFUNCTION("""COMPUTED_VALUE"""),"Jeff")</f>
        <v>Jeff</v>
      </c>
      <c r="D103" s="1" t="str">
        <f>IFERROR(__xludf.DUMMYFUNCTION("""COMPUTED_VALUE"""),"Gallo")</f>
        <v>Gallo</v>
      </c>
      <c r="E103" s="1" t="str">
        <f>IFERROR(__xludf.DUMMYFUNCTION("""COMPUTED_VALUE"""),"Storyahe wala gani my plataporma kondi pagkakaisa sa unithieves")</f>
        <v>Storyahe wala gani my plataporma kondi pagkakaisa sa unithieves</v>
      </c>
      <c r="F103" s="1">
        <f>IFERROR(__xludf.DUMMYFUNCTION("""COMPUTED_VALUE"""),2.0)</f>
        <v>2</v>
      </c>
      <c r="G103" s="1" t="str">
        <f>IFERROR(__xludf.DUMMYFUNCTION("""COMPUTED_VALUE"""),"3 mos")</f>
        <v>3 mos</v>
      </c>
      <c r="H103" s="1" t="str">
        <f>IFERROR(__xludf.DUMMYFUNCTION("""COMPUTED_VALUE"""),"comment")</f>
        <v>comment</v>
      </c>
      <c r="I103"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3" s="1" t="str">
        <f>IFERROR(__xludf.DUMMYFUNCTION("""COMPUTED_VALUE"""),"2022-07-04T11:08:02.660Z")</f>
        <v>2022-07-04T11:08:02.660Z</v>
      </c>
      <c r="K103" s="1"/>
    </row>
    <row r="104">
      <c r="A104" s="2" t="str">
        <f>IFERROR(__xludf.DUMMYFUNCTION("""COMPUTED_VALUE"""),"https://www.facebook.com/jane.hejos")</f>
        <v>https://www.facebook.com/jane.hejos</v>
      </c>
      <c r="B104" s="1" t="str">
        <f>IFERROR(__xludf.DUMMYFUNCTION("""COMPUTED_VALUE"""),"Jane Hejos")</f>
        <v>Jane Hejos</v>
      </c>
      <c r="C104" s="1" t="str">
        <f>IFERROR(__xludf.DUMMYFUNCTION("""COMPUTED_VALUE"""),"Jane")</f>
        <v>Jane</v>
      </c>
      <c r="D104" s="1" t="str">
        <f>IFERROR(__xludf.DUMMYFUNCTION("""COMPUTED_VALUE"""),"Hejos")</f>
        <v>Hejos</v>
      </c>
      <c r="E104" s="1" t="str">
        <f>IFERROR(__xludf.DUMMYFUNCTION("""COMPUTED_VALUE"""),"Drone video please")</f>
        <v>Drone video please</v>
      </c>
      <c r="F104" s="1">
        <f>IFERROR(__xludf.DUMMYFUNCTION("""COMPUTED_VALUE"""),13.0)</f>
        <v>13</v>
      </c>
      <c r="G104" s="1" t="str">
        <f>IFERROR(__xludf.DUMMYFUNCTION("""COMPUTED_VALUE"""),"3 mos")</f>
        <v>3 mos</v>
      </c>
      <c r="H104" s="1" t="str">
        <f>IFERROR(__xludf.DUMMYFUNCTION("""COMPUTED_VALUE"""),"comment")</f>
        <v>comment</v>
      </c>
      <c r="I104"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4" s="1" t="str">
        <f>IFERROR(__xludf.DUMMYFUNCTION("""COMPUTED_VALUE"""),"2022-07-04T11:08:02.660Z")</f>
        <v>2022-07-04T11:08:02.660Z</v>
      </c>
      <c r="K104" s="1"/>
    </row>
    <row r="105">
      <c r="A105" s="2" t="str">
        <f>IFERROR(__xludf.DUMMYFUNCTION("""COMPUTED_VALUE"""),"https://www.facebook.com/ismael.manikan")</f>
        <v>https://www.facebook.com/ismael.manikan</v>
      </c>
      <c r="B105" s="1" t="str">
        <f>IFERROR(__xludf.DUMMYFUNCTION("""COMPUTED_VALUE"""),"Ismael Manikan")</f>
        <v>Ismael Manikan</v>
      </c>
      <c r="C105" s="1" t="str">
        <f>IFERROR(__xludf.DUMMYFUNCTION("""COMPUTED_VALUE"""),"Ismael")</f>
        <v>Ismael</v>
      </c>
      <c r="D105" s="1" t="str">
        <f>IFERROR(__xludf.DUMMYFUNCTION("""COMPUTED_VALUE"""),"Manikan")</f>
        <v>Manikan</v>
      </c>
      <c r="E105" s="1" t="str">
        <f>IFERROR(__xludf.DUMMYFUNCTION("""COMPUTED_VALUE"""),"Wala na finish na talaga.... May nanalo na.... Hahahah iyakan hahahhaha")</f>
        <v>Wala na finish na talaga.... May nanalo na.... Hahahah iyakan hahahhaha</v>
      </c>
      <c r="F105" s="1">
        <f>IFERROR(__xludf.DUMMYFUNCTION("""COMPUTED_VALUE"""),5.0)</f>
        <v>5</v>
      </c>
      <c r="G105" s="1" t="str">
        <f>IFERROR(__xludf.DUMMYFUNCTION("""COMPUTED_VALUE"""),"3 mos")</f>
        <v>3 mos</v>
      </c>
      <c r="H105" s="1" t="str">
        <f>IFERROR(__xludf.DUMMYFUNCTION("""COMPUTED_VALUE"""),"reply")</f>
        <v>reply</v>
      </c>
      <c r="I105"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5" s="1" t="str">
        <f>IFERROR(__xludf.DUMMYFUNCTION("""COMPUTED_VALUE"""),"2022-07-04T11:08:02.660Z")</f>
        <v>2022-07-04T11:08:02.660Z</v>
      </c>
      <c r="K105" s="1"/>
    </row>
    <row r="106">
      <c r="A106" s="2" t="str">
        <f>IFERROR(__xludf.DUMMYFUNCTION("""COMPUTED_VALUE"""),"https://www.facebook.com/caren.ortiz.3")</f>
        <v>https://www.facebook.com/caren.ortiz.3</v>
      </c>
      <c r="B106" s="1" t="str">
        <f>IFERROR(__xludf.DUMMYFUNCTION("""COMPUTED_VALUE"""),"Jongcai Ortiz")</f>
        <v>Jongcai Ortiz</v>
      </c>
      <c r="C106" s="1" t="str">
        <f>IFERROR(__xludf.DUMMYFUNCTION("""COMPUTED_VALUE"""),"Jongcai")</f>
        <v>Jongcai</v>
      </c>
      <c r="D106" s="1" t="str">
        <f>IFERROR(__xludf.DUMMYFUNCTION("""COMPUTED_VALUE"""),"Ortiz")</f>
        <v>Ortiz</v>
      </c>
      <c r="E106" s="1" t="str">
        <f>IFERROR(__xludf.DUMMYFUNCTION("""COMPUTED_VALUE"""),"Jane Hejos wait daw! Photoshop pa")</f>
        <v>Jane Hejos wait daw! Photoshop pa</v>
      </c>
      <c r="F106" s="1">
        <f>IFERROR(__xludf.DUMMYFUNCTION("""COMPUTED_VALUE"""),8.0)</f>
        <v>8</v>
      </c>
      <c r="G106" s="1" t="str">
        <f>IFERROR(__xludf.DUMMYFUNCTION("""COMPUTED_VALUE"""),"3 mos")</f>
        <v>3 mos</v>
      </c>
      <c r="H106" s="1" t="str">
        <f>IFERROR(__xludf.DUMMYFUNCTION("""COMPUTED_VALUE"""),"reply")</f>
        <v>reply</v>
      </c>
      <c r="I106"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6" s="1" t="str">
        <f>IFERROR(__xludf.DUMMYFUNCTION("""COMPUTED_VALUE"""),"2022-07-04T11:08:02.660Z")</f>
        <v>2022-07-04T11:08:02.660Z</v>
      </c>
      <c r="K106" s="1"/>
    </row>
    <row r="107">
      <c r="A107" s="2" t="str">
        <f>IFERROR(__xludf.DUMMYFUNCTION("""COMPUTED_VALUE"""),"https://www.facebook.com/pauljeric.queipo.1")</f>
        <v>https://www.facebook.com/pauljeric.queipo.1</v>
      </c>
      <c r="B107" s="1" t="str">
        <f>IFERROR(__xludf.DUMMYFUNCTION("""COMPUTED_VALUE"""),"Paul Jeric Queipo")</f>
        <v>Paul Jeric Queipo</v>
      </c>
      <c r="C107" s="1" t="str">
        <f>IFERROR(__xludf.DUMMYFUNCTION("""COMPUTED_VALUE"""),"Paul")</f>
        <v>Paul</v>
      </c>
      <c r="D107" s="1" t="str">
        <f>IFERROR(__xludf.DUMMYFUNCTION("""COMPUTED_VALUE"""),"Jeric Queipo")</f>
        <v>Jeric Queipo</v>
      </c>
      <c r="E107" s="1" t="str">
        <f>IFERROR(__xludf.DUMMYFUNCTION("""COMPUTED_VALUE"""),"Jane Hejos Eto po video https://fb.watch/c0GTq0iGBA/ yak nakakadiri kayo mga alang disiplina. Squammy 😂")</f>
        <v>Jane Hejos Eto po video https://fb.watch/c0GTq0iGBA/ yak nakakadiri kayo mga alang disiplina. Squammy 😂</v>
      </c>
      <c r="F107" s="1">
        <f>IFERROR(__xludf.DUMMYFUNCTION("""COMPUTED_VALUE"""),2.0)</f>
        <v>2</v>
      </c>
      <c r="G107" s="1" t="str">
        <f>IFERROR(__xludf.DUMMYFUNCTION("""COMPUTED_VALUE"""),"March 21 at 10:16 AM")</f>
        <v>March 21 at 10:16 AM</v>
      </c>
      <c r="H107" s="1" t="str">
        <f>IFERROR(__xludf.DUMMYFUNCTION("""COMPUTED_VALUE"""),"reply")</f>
        <v>reply</v>
      </c>
      <c r="I107"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7" s="1" t="str">
        <f>IFERROR(__xludf.DUMMYFUNCTION("""COMPUTED_VALUE"""),"2022-07-04T11:08:02.660Z")</f>
        <v>2022-07-04T11:08:02.660Z</v>
      </c>
      <c r="K107" s="1"/>
    </row>
    <row r="108">
      <c r="A108" s="2" t="str">
        <f>IFERROR(__xludf.DUMMYFUNCTION("""COMPUTED_VALUE"""),"https://www.facebook.com/randy.basco.3")</f>
        <v>https://www.facebook.com/randy.basco.3</v>
      </c>
      <c r="B108" s="1" t="str">
        <f>IFERROR(__xludf.DUMMYFUNCTION("""COMPUTED_VALUE"""),"Randy Basco")</f>
        <v>Randy Basco</v>
      </c>
      <c r="C108" s="1" t="str">
        <f>IFERROR(__xludf.DUMMYFUNCTION("""COMPUTED_VALUE"""),"Randy")</f>
        <v>Randy</v>
      </c>
      <c r="D108" s="1" t="str">
        <f>IFERROR(__xludf.DUMMYFUNCTION("""COMPUTED_VALUE"""),"Basco")</f>
        <v>Basco</v>
      </c>
      <c r="E108" s="1" t="str">
        <f>IFERROR(__xludf.DUMMYFUNCTION("""COMPUTED_VALUE"""),"Jane Hejos tingnan sa south cotabato page baka iiyak ka 😂😂😂")</f>
        <v>Jane Hejos tingnan sa south cotabato page baka iiyak ka 😂😂😂</v>
      </c>
      <c r="F108" s="1">
        <f>IFERROR(__xludf.DUMMYFUNCTION("""COMPUTED_VALUE"""),2.0)</f>
        <v>2</v>
      </c>
      <c r="G108" s="1" t="str">
        <f>IFERROR(__xludf.DUMMYFUNCTION("""COMPUTED_VALUE"""),"3 mos")</f>
        <v>3 mos</v>
      </c>
      <c r="H108" s="1" t="str">
        <f>IFERROR(__xludf.DUMMYFUNCTION("""COMPUTED_VALUE"""),"reply")</f>
        <v>reply</v>
      </c>
      <c r="I108"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8" s="1" t="str">
        <f>IFERROR(__xludf.DUMMYFUNCTION("""COMPUTED_VALUE"""),"2022-07-04T11:08:02.660Z")</f>
        <v>2022-07-04T11:08:02.660Z</v>
      </c>
      <c r="K108" s="1"/>
    </row>
    <row r="109">
      <c r="A109" s="2" t="str">
        <f>IFERROR(__xludf.DUMMYFUNCTION("""COMPUTED_VALUE"""),"https://www.facebook.com/pauljeric.queipo.1")</f>
        <v>https://www.facebook.com/pauljeric.queipo.1</v>
      </c>
      <c r="B109" s="1" t="str">
        <f>IFERROR(__xludf.DUMMYFUNCTION("""COMPUTED_VALUE"""),"Paul Jeric Queipo")</f>
        <v>Paul Jeric Queipo</v>
      </c>
      <c r="C109" s="1" t="str">
        <f>IFERROR(__xludf.DUMMYFUNCTION("""COMPUTED_VALUE"""),"Paul")</f>
        <v>Paul</v>
      </c>
      <c r="D109" s="1" t="str">
        <f>IFERROR(__xludf.DUMMYFUNCTION("""COMPUTED_VALUE"""),"Jeric Queipo")</f>
        <v>Jeric Queipo</v>
      </c>
      <c r="E109" s="1" t="str">
        <f>IFERROR(__xludf.DUMMYFUNCTION("""COMPUTED_VALUE"""),"Jongcai Ortiz eto po photoshopped https://fb.watch/c0GTq0iGBA/ 😂 kung sa campaign rallies di kayang mag lead ng tama. PRESIDENT pa kaya haha")</f>
        <v>Jongcai Ortiz eto po photoshopped https://fb.watch/c0GTq0iGBA/ 😂 kung sa campaign rallies di kayang mag lead ng tama. PRESIDENT pa kaya haha</v>
      </c>
      <c r="F109" s="1"/>
      <c r="G109" s="1" t="str">
        <f>IFERROR(__xludf.DUMMYFUNCTION("""COMPUTED_VALUE"""),"March 21 at 10:16 AM")</f>
        <v>March 21 at 10:16 AM</v>
      </c>
      <c r="H109" s="1" t="str">
        <f>IFERROR(__xludf.DUMMYFUNCTION("""COMPUTED_VALUE"""),"reply")</f>
        <v>reply</v>
      </c>
      <c r="I109" s="2" t="str">
        <f>IFERROR(__xludf.DUMMYFUNCTION("""COMPUTED_VALUE"""),"https://www.facebook.com/rapplerdotcom/posts/pfbid0DUh4iFcrxZuR1UbiGhcAHcMdzsaV29GSeHCY1HabtqcnUWkjStX9TDaVqzzt92GDl")</f>
        <v>https://www.facebook.com/rapplerdotcom/posts/pfbid0DUh4iFcrxZuR1UbiGhcAHcMdzsaV29GSeHCY1HabtqcnUWkjStX9TDaVqzzt92GDl</v>
      </c>
      <c r="J109" s="1" t="str">
        <f>IFERROR(__xludf.DUMMYFUNCTION("""COMPUTED_VALUE"""),"2022-07-04T11:08:02.660Z")</f>
        <v>2022-07-04T11:08:02.660Z</v>
      </c>
      <c r="K109" s="1"/>
    </row>
    <row r="110">
      <c r="A110" s="2" t="str">
        <f>IFERROR(__xludf.DUMMYFUNCTION("""COMPUTED_VALUE"""),"https://www.facebook.com/profile.php?id=100075539882920")</f>
        <v>https://www.facebook.com/profile.php?id=100075539882920</v>
      </c>
      <c r="B110" s="1" t="str">
        <f>IFERROR(__xludf.DUMMYFUNCTION("""COMPUTED_VALUE"""),"Starry Haded")</f>
        <v>Starry Haded</v>
      </c>
      <c r="C110" s="1" t="str">
        <f>IFERROR(__xludf.DUMMYFUNCTION("""COMPUTED_VALUE"""),"Starry")</f>
        <v>Starry</v>
      </c>
      <c r="D110" s="1" t="str">
        <f>IFERROR(__xludf.DUMMYFUNCTION("""COMPUTED_VALUE"""),"Haded")</f>
        <v>Haded</v>
      </c>
      <c r="E110" s="1" t="str">
        <f>IFERROR(__xludf.DUMMYFUNCTION("""COMPUTED_VALUE"""),"Ismael Manikan Back to back recount daw.")</f>
        <v>Ismael Manikan Back to back recount daw.</v>
      </c>
      <c r="F110" s="1">
        <f>IFERROR(__xludf.DUMMYFUNCTION("""COMPUTED_VALUE"""),1.0)</f>
        <v>1</v>
      </c>
      <c r="G110" s="1" t="str">
        <f>IFERROR(__xludf.DUMMYFUNCTION("""COMPUTED_VALUE"""),"3 mos")</f>
        <v>3 mos</v>
      </c>
      <c r="H110" s="1" t="str">
        <f>IFERROR(__xludf.DUMMYFUNCTION("""COMPUTED_VALUE"""),"reply")</f>
        <v>reply</v>
      </c>
      <c r="I110" s="2" t="str">
        <f>IFERROR(__xludf.DUMMYFUNCTION("""COMPUTED_VALUE"""),"https://www.facebook.com/rapplerdotcom/posts/pfbid0DUh4iFcrxZuR1UbiGhcAHcMdzsaV29GSeHCY1HabtqcnUWkjStX9TDaVqzzt92GDl")</f>
        <v>https://www.facebook.com/rapplerdotcom/posts/pfbid0DUh4iFcrxZuR1UbiGhcAHcMdzsaV29GSeHCY1HabtqcnUWkjStX9TDaVqzzt92GDl</v>
      </c>
      <c r="J110" s="1" t="str">
        <f>IFERROR(__xludf.DUMMYFUNCTION("""COMPUTED_VALUE"""),"2022-07-04T11:08:02.660Z")</f>
        <v>2022-07-04T11:08:02.660Z</v>
      </c>
      <c r="K110" s="1"/>
    </row>
    <row r="111">
      <c r="A111" s="2" t="str">
        <f>IFERROR(__xludf.DUMMYFUNCTION("""COMPUTED_VALUE"""),"https://www.facebook.com/ey.oliveros")</f>
        <v>https://www.facebook.com/ey.oliveros</v>
      </c>
      <c r="B111" s="1" t="str">
        <f>IFERROR(__xludf.DUMMYFUNCTION("""COMPUTED_VALUE"""),"Ey Oliveros Bayog")</f>
        <v>Ey Oliveros Bayog</v>
      </c>
      <c r="C111" s="1" t="str">
        <f>IFERROR(__xludf.DUMMYFUNCTION("""COMPUTED_VALUE"""),"Ey")</f>
        <v>Ey</v>
      </c>
      <c r="D111" s="1" t="str">
        <f>IFERROR(__xludf.DUMMYFUNCTION("""COMPUTED_VALUE"""),"Oliveros Bayog")</f>
        <v>Oliveros Bayog</v>
      </c>
      <c r="E111" s="1" t="str">
        <f>IFERROR(__xludf.DUMMYFUNCTION("""COMPUTED_VALUE"""),"Gaya gaya puto maya")</f>
        <v>Gaya gaya puto maya</v>
      </c>
      <c r="F111" s="1">
        <f>IFERROR(__xludf.DUMMYFUNCTION("""COMPUTED_VALUE"""),2.0)</f>
        <v>2</v>
      </c>
      <c r="G111" s="1" t="str">
        <f>IFERROR(__xludf.DUMMYFUNCTION("""COMPUTED_VALUE"""),"3 mos")</f>
        <v>3 mos</v>
      </c>
      <c r="H111" s="1" t="str">
        <f>IFERROR(__xludf.DUMMYFUNCTION("""COMPUTED_VALUE"""),"comment")</f>
        <v>comment</v>
      </c>
      <c r="I111" s="2" t="str">
        <f>IFERROR(__xludf.DUMMYFUNCTION("""COMPUTED_VALUE"""),"https://www.facebook.com/rapplerdotcom/posts/pfbid0DUh4iFcrxZuR1UbiGhcAHcMdzsaV29GSeHCY1HabtqcnUWkjStX9TDaVqzzt92GDl")</f>
        <v>https://www.facebook.com/rapplerdotcom/posts/pfbid0DUh4iFcrxZuR1UbiGhcAHcMdzsaV29GSeHCY1HabtqcnUWkjStX9TDaVqzzt92GDl</v>
      </c>
      <c r="J111" s="1" t="str">
        <f>IFERROR(__xludf.DUMMYFUNCTION("""COMPUTED_VALUE"""),"2022-07-04T11:08:02.660Z")</f>
        <v>2022-07-04T11:08:02.660Z</v>
      </c>
      <c r="K111" s="1"/>
    </row>
    <row r="112">
      <c r="A112" s="2" t="str">
        <f>IFERROR(__xludf.DUMMYFUNCTION("""COMPUTED_VALUE"""),"https://www.facebook.com/mercy.gulayda")</f>
        <v>https://www.facebook.com/mercy.gulayda</v>
      </c>
      <c r="B112" s="1" t="str">
        <f>IFERROR(__xludf.DUMMYFUNCTION("""COMPUTED_VALUE"""),"Esl EM")</f>
        <v>Esl EM</v>
      </c>
      <c r="C112" s="1" t="str">
        <f>IFERROR(__xludf.DUMMYFUNCTION("""COMPUTED_VALUE"""),"Esl")</f>
        <v>Esl</v>
      </c>
      <c r="D112" s="1" t="str">
        <f>IFERROR(__xludf.DUMMYFUNCTION("""COMPUTED_VALUE"""),"EM")</f>
        <v>EM</v>
      </c>
      <c r="E112" s="1" t="str">
        <f>IFERROR(__xludf.DUMMYFUNCTION("""COMPUTED_VALUE"""),"My pera kya nag abang sila😂😂😂😂")</f>
        <v>My pera kya nag abang sila😂😂😂😂</v>
      </c>
      <c r="F112" s="1">
        <f>IFERROR(__xludf.DUMMYFUNCTION("""COMPUTED_VALUE"""),3.0)</f>
        <v>3</v>
      </c>
      <c r="G112" s="1" t="str">
        <f>IFERROR(__xludf.DUMMYFUNCTION("""COMPUTED_VALUE"""),"3 mos")</f>
        <v>3 mos</v>
      </c>
      <c r="H112" s="1" t="str">
        <f>IFERROR(__xludf.DUMMYFUNCTION("""COMPUTED_VALUE"""),"comment")</f>
        <v>comment</v>
      </c>
      <c r="I112" s="2" t="str">
        <f>IFERROR(__xludf.DUMMYFUNCTION("""COMPUTED_VALUE"""),"https://www.facebook.com/rapplerdotcom/posts/pfbid0DUh4iFcrxZuR1UbiGhcAHcMdzsaV29GSeHCY1HabtqcnUWkjStX9TDaVqzzt92GDl")</f>
        <v>https://www.facebook.com/rapplerdotcom/posts/pfbid0DUh4iFcrxZuR1UbiGhcAHcMdzsaV29GSeHCY1HabtqcnUWkjStX9TDaVqzzt92GDl</v>
      </c>
      <c r="J112" s="1" t="str">
        <f>IFERROR(__xludf.DUMMYFUNCTION("""COMPUTED_VALUE"""),"2022-07-04T11:08:02.660Z")</f>
        <v>2022-07-04T11:08:02.660Z</v>
      </c>
      <c r="K112" s="1"/>
    </row>
    <row r="113">
      <c r="A113" s="2" t="str">
        <f>IFERROR(__xludf.DUMMYFUNCTION("""COMPUTED_VALUE"""),"https://www.facebook.com/profile.php?id=100075590935527")</f>
        <v>https://www.facebook.com/profile.php?id=100075590935527</v>
      </c>
      <c r="B113" s="1" t="str">
        <f>IFERROR(__xludf.DUMMYFUNCTION("""COMPUTED_VALUE"""),"Alfredci Monsale")</f>
        <v>Alfredci Monsale</v>
      </c>
      <c r="C113" s="1" t="str">
        <f>IFERROR(__xludf.DUMMYFUNCTION("""COMPUTED_VALUE"""),"Alfredci")</f>
        <v>Alfredci</v>
      </c>
      <c r="D113" s="1" t="str">
        <f>IFERROR(__xludf.DUMMYFUNCTION("""COMPUTED_VALUE"""),"Monsale")</f>
        <v>Monsale</v>
      </c>
      <c r="E113" s="1" t="str">
        <f>IFERROR(__xludf.DUMMYFUNCTION("""COMPUTED_VALUE"""),"how bout Gmeet nd Gcash ? 😁 just watch full rally'  just an idea' 😘😍🥰🤩💰😘💵")</f>
        <v>how bout Gmeet nd Gcash ? 😁 just watch full rally'  just an idea' 😘😍🥰🤩💰😘💵</v>
      </c>
      <c r="F113" s="1"/>
      <c r="G113" s="1" t="str">
        <f>IFERROR(__xludf.DUMMYFUNCTION("""COMPUTED_VALUE"""),"3 mos")</f>
        <v>3 mos</v>
      </c>
      <c r="H113" s="1" t="str">
        <f>IFERROR(__xludf.DUMMYFUNCTION("""COMPUTED_VALUE"""),"comment")</f>
        <v>comment</v>
      </c>
      <c r="I113" s="2" t="str">
        <f>IFERROR(__xludf.DUMMYFUNCTION("""COMPUTED_VALUE"""),"https://www.facebook.com/rapplerdotcom/posts/pfbid0DUh4iFcrxZuR1UbiGhcAHcMdzsaV29GSeHCY1HabtqcnUWkjStX9TDaVqzzt92GDl")</f>
        <v>https://www.facebook.com/rapplerdotcom/posts/pfbid0DUh4iFcrxZuR1UbiGhcAHcMdzsaV29GSeHCY1HabtqcnUWkjStX9TDaVqzzt92GDl</v>
      </c>
      <c r="J113" s="1" t="str">
        <f>IFERROR(__xludf.DUMMYFUNCTION("""COMPUTED_VALUE"""),"2022-07-04T11:08:02.661Z")</f>
        <v>2022-07-04T11:08:02.661Z</v>
      </c>
      <c r="K113" s="1"/>
    </row>
    <row r="114">
      <c r="A114" s="2" t="str">
        <f>IFERROR(__xludf.DUMMYFUNCTION("""COMPUTED_VALUE"""),"https://www.facebook.com/joeygarcia25")</f>
        <v>https://www.facebook.com/joeygarcia25</v>
      </c>
      <c r="B114" s="1" t="str">
        <f>IFERROR(__xludf.DUMMYFUNCTION("""COMPUTED_VALUE"""),"Joey Garcia")</f>
        <v>Joey Garcia</v>
      </c>
      <c r="C114" s="1" t="str">
        <f>IFERROR(__xludf.DUMMYFUNCTION("""COMPUTED_VALUE"""),"Joey")</f>
        <v>Joey</v>
      </c>
      <c r="D114" s="1" t="str">
        <f>IFERROR(__xludf.DUMMYFUNCTION("""COMPUTED_VALUE"""),"Garcia")</f>
        <v>Garcia</v>
      </c>
      <c r="E114" s="1" t="str">
        <f>IFERROR(__xludf.DUMMYFUNCTION("""COMPUTED_VALUE"""),"Sayang kasi e,")</f>
        <v>Sayang kasi e,</v>
      </c>
      <c r="F114" s="1">
        <f>IFERROR(__xludf.DUMMYFUNCTION("""COMPUTED_VALUE"""),3.0)</f>
        <v>3</v>
      </c>
      <c r="G114" s="1" t="str">
        <f>IFERROR(__xludf.DUMMYFUNCTION("""COMPUTED_VALUE"""),"3 mos")</f>
        <v>3 mos</v>
      </c>
      <c r="H114" s="1" t="str">
        <f>IFERROR(__xludf.DUMMYFUNCTION("""COMPUTED_VALUE"""),"comment")</f>
        <v>comment</v>
      </c>
      <c r="I114" s="2" t="str">
        <f>IFERROR(__xludf.DUMMYFUNCTION("""COMPUTED_VALUE"""),"https://www.facebook.com/rapplerdotcom/posts/pfbid0DUh4iFcrxZuR1UbiGhcAHcMdzsaV29GSeHCY1HabtqcnUWkjStX9TDaVqzzt92GDl")</f>
        <v>https://www.facebook.com/rapplerdotcom/posts/pfbid0DUh4iFcrxZuR1UbiGhcAHcMdzsaV29GSeHCY1HabtqcnUWkjStX9TDaVqzzt92GDl</v>
      </c>
      <c r="J114" s="1" t="str">
        <f>IFERROR(__xludf.DUMMYFUNCTION("""COMPUTED_VALUE"""),"2022-07-04T11:08:02.661Z")</f>
        <v>2022-07-04T11:08:02.661Z</v>
      </c>
      <c r="K114" s="1"/>
    </row>
    <row r="115">
      <c r="A115" s="1"/>
      <c r="B115" s="1"/>
      <c r="C115" s="1"/>
      <c r="D115" s="1"/>
      <c r="E115" s="1"/>
      <c r="F115" s="1"/>
      <c r="G115" s="1"/>
      <c r="H115" s="1"/>
      <c r="I115" s="2" t="str">
        <f>IFERROR(__xludf.DUMMYFUNCTION("""COMPUTED_VALUE"""),"https://www.facebook.com/watch/live/?ref=watch_permalink&amp;v=386705962975078")</f>
        <v>https://www.facebook.com/watch/live/?ref=watch_permalink&amp;v=386705962975078</v>
      </c>
      <c r="J115" s="1" t="str">
        <f>IFERROR(__xludf.DUMMYFUNCTION("""COMPUTED_VALUE"""),"2022-07-04T11:08:32.951Z")</f>
        <v>2022-07-04T11:08:32.951Z</v>
      </c>
      <c r="K115" s="1" t="str">
        <f>IFERROR(__xludf.DUMMYFUNCTION("""COMPUTED_VALUE"""),"Couldn't load post")</f>
        <v>Couldn't load post</v>
      </c>
    </row>
    <row r="116">
      <c r="A116" s="2" t="str">
        <f>IFERROR(__xludf.DUMMYFUNCTION("""COMPUTED_VALUE"""),"https://www.facebook.com/alvinjoseph.supan")</f>
        <v>https://www.facebook.com/alvinjoseph.supan</v>
      </c>
      <c r="B116" s="1" t="str">
        <f>IFERROR(__xludf.DUMMYFUNCTION("""COMPUTED_VALUE"""),"Alvin Joseph")</f>
        <v>Alvin Joseph</v>
      </c>
      <c r="C116" s="1" t="str">
        <f>IFERROR(__xludf.DUMMYFUNCTION("""COMPUTED_VALUE"""),"Alvin")</f>
        <v>Alvin</v>
      </c>
      <c r="D116" s="1" t="str">
        <f>IFERROR(__xludf.DUMMYFUNCTION("""COMPUTED_VALUE"""),"Joseph")</f>
        <v>Joseph</v>
      </c>
      <c r="E116" s="1" t="str">
        <f>IFERROR(__xludf.DUMMYFUNCTION("""COMPUTED_VALUE"""),"Our country needs leaders who are truthful and hardworking. These women leaders are an example to us. #IpanaloNa10To #ipagdasalna10to #GobyernongTapatAngatBuhayLahat #AngatBuhayLahatKayLeniKiko #KulayRosasAngBukas #10RobredoForPresident #7KikoPangilinanVi"&amp;"cePresident #TropangAngat2022")</f>
        <v>Our country needs leaders who are truthful and hardworking. These women leaders are an example to us. #IpanaloNa10To #ipagdasalna10to #GobyernongTapatAngatBuhayLahat #AngatBuhayLahatKayLeniKiko #KulayRosasAngBukas #10RobredoForPresident #7KikoPangilinanVicePresident #TropangAngat2022</v>
      </c>
      <c r="F116" s="1">
        <f>IFERROR(__xludf.DUMMYFUNCTION("""COMPUTED_VALUE"""),76.0)</f>
        <v>76</v>
      </c>
      <c r="G116" s="1" t="str">
        <f>IFERROR(__xludf.DUMMYFUNCTION("""COMPUTED_VALUE"""),"3 mos")</f>
        <v>3 mos</v>
      </c>
      <c r="H116" s="1" t="str">
        <f>IFERROR(__xludf.DUMMYFUNCTION("""COMPUTED_VALUE"""),"comment")</f>
        <v>comment</v>
      </c>
      <c r="I116" s="2" t="str">
        <f>IFERROR(__xludf.DUMMYFUNCTION("""COMPUTED_VALUE"""),"https://www.facebook.com/rapplerdotcom/photos/a.317154781638645/5598220220198715/")</f>
        <v>https://www.facebook.com/rapplerdotcom/photos/a.317154781638645/5598220220198715/</v>
      </c>
      <c r="J116" s="1" t="str">
        <f>IFERROR(__xludf.DUMMYFUNCTION("""COMPUTED_VALUE"""),"2022-07-04T11:09:50.064Z")</f>
        <v>2022-07-04T11:09:50.064Z</v>
      </c>
      <c r="K116" s="1"/>
    </row>
    <row r="117">
      <c r="A117" s="2" t="str">
        <f>IFERROR(__xludf.DUMMYFUNCTION("""COMPUTED_VALUE"""),"https://www.facebook.com/profile.php?id=100078329061859")</f>
        <v>https://www.facebook.com/profile.php?id=100078329061859</v>
      </c>
      <c r="B117" s="1" t="str">
        <f>IFERROR(__xludf.DUMMYFUNCTION("""COMPUTED_VALUE"""),"Nap Antonio")</f>
        <v>Nap Antonio</v>
      </c>
      <c r="C117" s="1" t="str">
        <f>IFERROR(__xludf.DUMMYFUNCTION("""COMPUTED_VALUE"""),"Nap")</f>
        <v>Nap</v>
      </c>
      <c r="D117" s="1" t="str">
        <f>IFERROR(__xludf.DUMMYFUNCTION("""COMPUTED_VALUE"""),"Antonio")</f>
        <v>Antonio</v>
      </c>
      <c r="E117" s="1" t="str">
        <f>IFERROR(__xludf.DUMMYFUNCTION("""COMPUTED_VALUE"""),"Alvin Joseph Supan Hahaha 🤣🤣 gising na kayo")</f>
        <v>Alvin Joseph Supan Hahaha 🤣🤣 gising na kayo</v>
      </c>
      <c r="F117" s="1"/>
      <c r="G117" s="1" t="str">
        <f>IFERROR(__xludf.DUMMYFUNCTION("""COMPUTED_VALUE"""),"3 mos")</f>
        <v>3 mos</v>
      </c>
      <c r="H117" s="1" t="str">
        <f>IFERROR(__xludf.DUMMYFUNCTION("""COMPUTED_VALUE"""),"reply")</f>
        <v>reply</v>
      </c>
      <c r="I117" s="2" t="str">
        <f>IFERROR(__xludf.DUMMYFUNCTION("""COMPUTED_VALUE"""),"https://www.facebook.com/rapplerdotcom/photos/a.317154781638645/5598220220198715/")</f>
        <v>https://www.facebook.com/rapplerdotcom/photos/a.317154781638645/5598220220198715/</v>
      </c>
      <c r="J117" s="1" t="str">
        <f>IFERROR(__xludf.DUMMYFUNCTION("""COMPUTED_VALUE"""),"2022-07-04T11:09:50.064Z")</f>
        <v>2022-07-04T11:09:50.064Z</v>
      </c>
      <c r="K117" s="1"/>
    </row>
    <row r="118">
      <c r="A118" s="2" t="str">
        <f>IFERROR(__xludf.DUMMYFUNCTION("""COMPUTED_VALUE"""),"https://www.facebook.com/cehfabre")</f>
        <v>https://www.facebook.com/cehfabre</v>
      </c>
      <c r="B118" s="1" t="str">
        <f>IFERROR(__xludf.DUMMYFUNCTION("""COMPUTED_VALUE"""),"Edith H. Fabre")</f>
        <v>Edith H. Fabre</v>
      </c>
      <c r="C118" s="1" t="str">
        <f>IFERROR(__xludf.DUMMYFUNCTION("""COMPUTED_VALUE"""),"Edith")</f>
        <v>Edith</v>
      </c>
      <c r="D118" s="1" t="str">
        <f>IFERROR(__xludf.DUMMYFUNCTION("""COMPUTED_VALUE"""),"H. Fabre")</f>
        <v>H. Fabre</v>
      </c>
      <c r="E118" s="1" t="str">
        <f>IFERROR(__xludf.DUMMYFUNCTION("""COMPUTED_VALUE"""),"Nice to see two strong women! God bless you both!")</f>
        <v>Nice to see two strong women! God bless you both!</v>
      </c>
      <c r="F118" s="1">
        <f>IFERROR(__xludf.DUMMYFUNCTION("""COMPUTED_VALUE"""),105.0)</f>
        <v>105</v>
      </c>
      <c r="G118" s="1" t="str">
        <f>IFERROR(__xludf.DUMMYFUNCTION("""COMPUTED_VALUE"""),"3 mos")</f>
        <v>3 mos</v>
      </c>
      <c r="H118" s="1" t="str">
        <f>IFERROR(__xludf.DUMMYFUNCTION("""COMPUTED_VALUE"""),"comment")</f>
        <v>comment</v>
      </c>
      <c r="I118" s="2" t="str">
        <f>IFERROR(__xludf.DUMMYFUNCTION("""COMPUTED_VALUE"""),"https://www.facebook.com/rapplerdotcom/photos/a.317154781638645/5598220220198715/")</f>
        <v>https://www.facebook.com/rapplerdotcom/photos/a.317154781638645/5598220220198715/</v>
      </c>
      <c r="J118" s="1" t="str">
        <f>IFERROR(__xludf.DUMMYFUNCTION("""COMPUTED_VALUE"""),"2022-07-04T11:09:50.064Z")</f>
        <v>2022-07-04T11:09:50.064Z</v>
      </c>
      <c r="K118" s="1"/>
    </row>
    <row r="119">
      <c r="A119" s="2" t="str">
        <f>IFERROR(__xludf.DUMMYFUNCTION("""COMPUTED_VALUE"""),"https://www.facebook.com/ana.abadsantos")</f>
        <v>https://www.facebook.com/ana.abadsantos</v>
      </c>
      <c r="B119" s="1" t="str">
        <f>IFERROR(__xludf.DUMMYFUNCTION("""COMPUTED_VALUE"""),"Ana Abad Santos")</f>
        <v>Ana Abad Santos</v>
      </c>
      <c r="C119" s="1" t="str">
        <f>IFERROR(__xludf.DUMMYFUNCTION("""COMPUTED_VALUE"""),"Ana")</f>
        <v>Ana</v>
      </c>
      <c r="D119" s="1" t="str">
        <f>IFERROR(__xludf.DUMMYFUNCTION("""COMPUTED_VALUE"""),"Abad Santos")</f>
        <v>Abad Santos</v>
      </c>
      <c r="E119" s="1" t="str">
        <f>IFERROR(__xludf.DUMMYFUNCTION("""COMPUTED_VALUE"""),"Edith H. Fabre 💗💗💗")</f>
        <v>Edith H. Fabre 💗💗💗</v>
      </c>
      <c r="F119" s="1">
        <f>IFERROR(__xludf.DUMMYFUNCTION("""COMPUTED_VALUE"""),1.0)</f>
        <v>1</v>
      </c>
      <c r="G119" s="1" t="str">
        <f>IFERROR(__xludf.DUMMYFUNCTION("""COMPUTED_VALUE"""),"3 mos")</f>
        <v>3 mos</v>
      </c>
      <c r="H119" s="1" t="str">
        <f>IFERROR(__xludf.DUMMYFUNCTION("""COMPUTED_VALUE"""),"reply")</f>
        <v>reply</v>
      </c>
      <c r="I119" s="2" t="str">
        <f>IFERROR(__xludf.DUMMYFUNCTION("""COMPUTED_VALUE"""),"https://www.facebook.com/rapplerdotcom/photos/a.317154781638645/5598220220198715/")</f>
        <v>https://www.facebook.com/rapplerdotcom/photos/a.317154781638645/5598220220198715/</v>
      </c>
      <c r="J119" s="1" t="str">
        <f>IFERROR(__xludf.DUMMYFUNCTION("""COMPUTED_VALUE"""),"2022-07-04T11:09:50.064Z")</f>
        <v>2022-07-04T11:09:50.064Z</v>
      </c>
      <c r="K119" s="1"/>
    </row>
    <row r="120">
      <c r="A120" s="2" t="str">
        <f>IFERROR(__xludf.DUMMYFUNCTION("""COMPUTED_VALUE"""),"https://www.facebook.com/profile.php?id=100078461366052")</f>
        <v>https://www.facebook.com/profile.php?id=100078461366052</v>
      </c>
      <c r="B120" s="1" t="str">
        <f>IFERROR(__xludf.DUMMYFUNCTION("""COMPUTED_VALUE"""),"Patrick Ramirez")</f>
        <v>Patrick Ramirez</v>
      </c>
      <c r="C120" s="1" t="str">
        <f>IFERROR(__xludf.DUMMYFUNCTION("""COMPUTED_VALUE"""),"Patrick")</f>
        <v>Patrick</v>
      </c>
      <c r="D120" s="1" t="str">
        <f>IFERROR(__xludf.DUMMYFUNCTION("""COMPUTED_VALUE"""),"Ramirez")</f>
        <v>Ramirez</v>
      </c>
      <c r="E120" s="1" t="str">
        <f>IFERROR(__xludf.DUMMYFUNCTION("""COMPUTED_VALUE"""),"Edith H. Fabre #LeniKiko2022 #LetLeniLead")</f>
        <v>Edith H. Fabre #LeniKiko2022 #LetLeniLead</v>
      </c>
      <c r="F120" s="1">
        <f>IFERROR(__xludf.DUMMYFUNCTION("""COMPUTED_VALUE"""),1.0)</f>
        <v>1</v>
      </c>
      <c r="G120" s="1" t="str">
        <f>IFERROR(__xludf.DUMMYFUNCTION("""COMPUTED_VALUE"""),"3 mos")</f>
        <v>3 mos</v>
      </c>
      <c r="H120" s="1" t="str">
        <f>IFERROR(__xludf.DUMMYFUNCTION("""COMPUTED_VALUE"""),"reply")</f>
        <v>reply</v>
      </c>
      <c r="I120" s="2" t="str">
        <f>IFERROR(__xludf.DUMMYFUNCTION("""COMPUTED_VALUE"""),"https://www.facebook.com/rapplerdotcom/photos/a.317154781638645/5598220220198715/")</f>
        <v>https://www.facebook.com/rapplerdotcom/photos/a.317154781638645/5598220220198715/</v>
      </c>
      <c r="J120" s="1" t="str">
        <f>IFERROR(__xludf.DUMMYFUNCTION("""COMPUTED_VALUE"""),"2022-07-04T11:09:50.064Z")</f>
        <v>2022-07-04T11:09:50.064Z</v>
      </c>
      <c r="K120" s="1"/>
    </row>
    <row r="121">
      <c r="A121" s="2" t="str">
        <f>IFERROR(__xludf.DUMMYFUNCTION("""COMPUTED_VALUE"""),"https://www.facebook.com/terrence.co")</f>
        <v>https://www.facebook.com/terrence.co</v>
      </c>
      <c r="B121" s="1" t="str">
        <f>IFERROR(__xludf.DUMMYFUNCTION("""COMPUTED_VALUE"""),"Terence Co")</f>
        <v>Terence Co</v>
      </c>
      <c r="C121" s="1" t="str">
        <f>IFERROR(__xludf.DUMMYFUNCTION("""COMPUTED_VALUE"""),"Terence")</f>
        <v>Terence</v>
      </c>
      <c r="D121" s="1" t="str">
        <f>IFERROR(__xludf.DUMMYFUNCTION("""COMPUTED_VALUE"""),"Co")</f>
        <v>Co</v>
      </c>
      <c r="E121" s="1" t="str">
        <f>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121" s="1">
        <f>IFERROR(__xludf.DUMMYFUNCTION("""COMPUTED_VALUE"""),51.0)</f>
        <v>51</v>
      </c>
      <c r="G121" s="1" t="str">
        <f>IFERROR(__xludf.DUMMYFUNCTION("""COMPUTED_VALUE"""),"3 mos")</f>
        <v>3 mos</v>
      </c>
      <c r="H121" s="1" t="str">
        <f>IFERROR(__xludf.DUMMYFUNCTION("""COMPUTED_VALUE"""),"comment")</f>
        <v>comment</v>
      </c>
      <c r="I121" s="2" t="str">
        <f>IFERROR(__xludf.DUMMYFUNCTION("""COMPUTED_VALUE"""),"https://www.facebook.com/rapplerdotcom/photos/a.317154781638645/5598220220198715/")</f>
        <v>https://www.facebook.com/rapplerdotcom/photos/a.317154781638645/5598220220198715/</v>
      </c>
      <c r="J121" s="1" t="str">
        <f>IFERROR(__xludf.DUMMYFUNCTION("""COMPUTED_VALUE"""),"2022-07-04T11:09:50.064Z")</f>
        <v>2022-07-04T11:09:50.064Z</v>
      </c>
      <c r="K121" s="1"/>
    </row>
    <row r="122">
      <c r="A122" s="2" t="str">
        <f>IFERROR(__xludf.DUMMYFUNCTION("""COMPUTED_VALUE"""),"https://www.facebook.com/profile.php?id=100070634495786")</f>
        <v>https://www.facebook.com/profile.php?id=100070634495786</v>
      </c>
      <c r="B122" s="1" t="str">
        <f>IFERROR(__xludf.DUMMYFUNCTION("""COMPUTED_VALUE"""),"Paco Tagle")</f>
        <v>Paco Tagle</v>
      </c>
      <c r="C122" s="1" t="str">
        <f>IFERROR(__xludf.DUMMYFUNCTION("""COMPUTED_VALUE"""),"Paco")</f>
        <v>Paco</v>
      </c>
      <c r="D122" s="1" t="str">
        <f>IFERROR(__xludf.DUMMYFUNCTION("""COMPUTED_VALUE"""),"Tagle")</f>
        <v>Tagle</v>
      </c>
      <c r="E122" s="1" t="str">
        <f>IFERROR(__xludf.DUMMYFUNCTION("""COMPUTED_VALUE"""),"Both very smart and strong, both maligned by that insecure brute in Malacañang pero both unaffected!")</f>
        <v>Both very smart and strong, both maligned by that insecure brute in Malacañang pero both unaffected!</v>
      </c>
      <c r="F122" s="1">
        <f>IFERROR(__xludf.DUMMYFUNCTION("""COMPUTED_VALUE"""),11.0)</f>
        <v>11</v>
      </c>
      <c r="G122" s="1" t="str">
        <f>IFERROR(__xludf.DUMMYFUNCTION("""COMPUTED_VALUE"""),"3 mos")</f>
        <v>3 mos</v>
      </c>
      <c r="H122" s="1" t="str">
        <f>IFERROR(__xludf.DUMMYFUNCTION("""COMPUTED_VALUE"""),"comment")</f>
        <v>comment</v>
      </c>
      <c r="I122" s="2" t="str">
        <f>IFERROR(__xludf.DUMMYFUNCTION("""COMPUTED_VALUE"""),"https://www.facebook.com/rapplerdotcom/photos/a.317154781638645/5598220220198715/")</f>
        <v>https://www.facebook.com/rapplerdotcom/photos/a.317154781638645/5598220220198715/</v>
      </c>
      <c r="J122" s="1" t="str">
        <f>IFERROR(__xludf.DUMMYFUNCTION("""COMPUTED_VALUE"""),"2022-07-04T11:09:50.064Z")</f>
        <v>2022-07-04T11:09:50.064Z</v>
      </c>
      <c r="K122" s="1"/>
    </row>
    <row r="123">
      <c r="A123" s="2" t="str">
        <f>IFERROR(__xludf.DUMMYFUNCTION("""COMPUTED_VALUE"""),"https://www.facebook.com/profile.php?id=100078716168416")</f>
        <v>https://www.facebook.com/profile.php?id=100078716168416</v>
      </c>
      <c r="B123" s="1" t="str">
        <f>IFERROR(__xludf.DUMMYFUNCTION("""COMPUTED_VALUE"""),"Joshua Maharlika")</f>
        <v>Joshua Maharlika</v>
      </c>
      <c r="C123" s="1" t="str">
        <f>IFERROR(__xludf.DUMMYFUNCTION("""COMPUTED_VALUE"""),"Joshua")</f>
        <v>Joshua</v>
      </c>
      <c r="D123" s="1" t="str">
        <f>IFERROR(__xludf.DUMMYFUNCTION("""COMPUTED_VALUE"""),"Maharlika")</f>
        <v>Maharlika</v>
      </c>
      <c r="E123" s="1" t="str">
        <f>IFERROR(__xludf.DUMMYFUNCTION("""COMPUTED_VALUE"""),"Paco Tagle mas matatapang pa sa mga lalaki 😁😁😁")</f>
        <v>Paco Tagle mas matatapang pa sa mga lalaki 😁😁😁</v>
      </c>
      <c r="F123" s="1"/>
      <c r="G123" s="1" t="str">
        <f>IFERROR(__xludf.DUMMYFUNCTION("""COMPUTED_VALUE"""),"3 mos")</f>
        <v>3 mos</v>
      </c>
      <c r="H123" s="1" t="str">
        <f>IFERROR(__xludf.DUMMYFUNCTION("""COMPUTED_VALUE"""),"reply")</f>
        <v>reply</v>
      </c>
      <c r="I123" s="2" t="str">
        <f>IFERROR(__xludf.DUMMYFUNCTION("""COMPUTED_VALUE"""),"https://www.facebook.com/rapplerdotcom/photos/a.317154781638645/5598220220198715/")</f>
        <v>https://www.facebook.com/rapplerdotcom/photos/a.317154781638645/5598220220198715/</v>
      </c>
      <c r="J123" s="1" t="str">
        <f>IFERROR(__xludf.DUMMYFUNCTION("""COMPUTED_VALUE"""),"2022-07-04T11:09:50.064Z")</f>
        <v>2022-07-04T11:09:50.064Z</v>
      </c>
      <c r="K123" s="1"/>
    </row>
    <row r="124">
      <c r="A124" s="2" t="str">
        <f>IFERROR(__xludf.DUMMYFUNCTION("""COMPUTED_VALUE"""),"https://www.facebook.com/profile.php?id=100078627702377")</f>
        <v>https://www.facebook.com/profile.php?id=100078627702377</v>
      </c>
      <c r="B124" s="1" t="str">
        <f>IFERROR(__xludf.DUMMYFUNCTION("""COMPUTED_VALUE"""),"Jamzel Pantin")</f>
        <v>Jamzel Pantin</v>
      </c>
      <c r="C124" s="1" t="str">
        <f>IFERROR(__xludf.DUMMYFUNCTION("""COMPUTED_VALUE"""),"Jamzel")</f>
        <v>Jamzel</v>
      </c>
      <c r="D124" s="1" t="str">
        <f>IFERROR(__xludf.DUMMYFUNCTION("""COMPUTED_VALUE"""),"Pantin")</f>
        <v>Pantin</v>
      </c>
      <c r="E124" s="1" t="str">
        <f>IFERROR(__xludf.DUMMYFUNCTION("""COMPUTED_VALUE"""),"Paco Tagle trueee 💯💯")</f>
        <v>Paco Tagle trueee 💯💯</v>
      </c>
      <c r="F124" s="1"/>
      <c r="G124" s="1" t="str">
        <f>IFERROR(__xludf.DUMMYFUNCTION("""COMPUTED_VALUE"""),"3 mos")</f>
        <v>3 mos</v>
      </c>
      <c r="H124" s="1" t="str">
        <f>IFERROR(__xludf.DUMMYFUNCTION("""COMPUTED_VALUE"""),"reply")</f>
        <v>reply</v>
      </c>
      <c r="I124" s="2" t="str">
        <f>IFERROR(__xludf.DUMMYFUNCTION("""COMPUTED_VALUE"""),"https://www.facebook.com/rapplerdotcom/photos/a.317154781638645/5598220220198715/")</f>
        <v>https://www.facebook.com/rapplerdotcom/photos/a.317154781638645/5598220220198715/</v>
      </c>
      <c r="J124" s="1" t="str">
        <f>IFERROR(__xludf.DUMMYFUNCTION("""COMPUTED_VALUE"""),"2022-07-04T11:09:50.064Z")</f>
        <v>2022-07-04T11:09:50.064Z</v>
      </c>
      <c r="K124" s="1"/>
    </row>
    <row r="125">
      <c r="A125" s="2" t="str">
        <f>IFERROR(__xludf.DUMMYFUNCTION("""COMPUTED_VALUE"""),"https://www.facebook.com/profile.php?id=100077223813002")</f>
        <v>https://www.facebook.com/profile.php?id=100077223813002</v>
      </c>
      <c r="B125" s="1" t="str">
        <f>IFERROR(__xludf.DUMMYFUNCTION("""COMPUTED_VALUE"""),"Michael Rickets")</f>
        <v>Michael Rickets</v>
      </c>
      <c r="C125" s="1" t="str">
        <f>IFERROR(__xludf.DUMMYFUNCTION("""COMPUTED_VALUE"""),"Michael")</f>
        <v>Michael</v>
      </c>
      <c r="D125" s="1" t="str">
        <f>IFERROR(__xludf.DUMMYFUNCTION("""COMPUTED_VALUE"""),"Rickets")</f>
        <v>Rickets</v>
      </c>
      <c r="E125" s="1" t="str">
        <f>IFERROR(__xludf.DUMMYFUNCTION("""COMPUTED_VALUE"""),"Paco Tagle 👏")</f>
        <v>Paco Tagle 👏</v>
      </c>
      <c r="F125" s="1"/>
      <c r="G125" s="1" t="str">
        <f>IFERROR(__xludf.DUMMYFUNCTION("""COMPUTED_VALUE"""),"3 mos")</f>
        <v>3 mos</v>
      </c>
      <c r="H125" s="1" t="str">
        <f>IFERROR(__xludf.DUMMYFUNCTION("""COMPUTED_VALUE"""),"reply")</f>
        <v>reply</v>
      </c>
      <c r="I125" s="2" t="str">
        <f>IFERROR(__xludf.DUMMYFUNCTION("""COMPUTED_VALUE"""),"https://www.facebook.com/rapplerdotcom/photos/a.317154781638645/5598220220198715/")</f>
        <v>https://www.facebook.com/rapplerdotcom/photos/a.317154781638645/5598220220198715/</v>
      </c>
      <c r="J125" s="1" t="str">
        <f>IFERROR(__xludf.DUMMYFUNCTION("""COMPUTED_VALUE"""),"2022-07-04T11:09:50.064Z")</f>
        <v>2022-07-04T11:09:50.064Z</v>
      </c>
      <c r="K125" s="1"/>
    </row>
    <row r="126">
      <c r="A126" s="2" t="str">
        <f>IFERROR(__xludf.DUMMYFUNCTION("""COMPUTED_VALUE"""),"https://www.facebook.com/jeje.cruz.1690")</f>
        <v>https://www.facebook.com/jeje.cruz.1690</v>
      </c>
      <c r="B126" s="1" t="str">
        <f>IFERROR(__xludf.DUMMYFUNCTION("""COMPUTED_VALUE"""),"Jeje Cruz")</f>
        <v>Jeje Cruz</v>
      </c>
      <c r="C126" s="1" t="str">
        <f>IFERROR(__xludf.DUMMYFUNCTION("""COMPUTED_VALUE"""),"Jeje")</f>
        <v>Jeje</v>
      </c>
      <c r="D126" s="1" t="str">
        <f>IFERROR(__xludf.DUMMYFUNCTION("""COMPUTED_VALUE"""),"Cruz")</f>
        <v>Cruz</v>
      </c>
      <c r="E126" s="1" t="str">
        <f>IFERROR(__xludf.DUMMYFUNCTION("""COMPUTED_VALUE"""),"Paco Tagle truee!")</f>
        <v>Paco Tagle truee!</v>
      </c>
      <c r="F126" s="1"/>
      <c r="G126" s="1" t="str">
        <f>IFERROR(__xludf.DUMMYFUNCTION("""COMPUTED_VALUE"""),"3 mos")</f>
        <v>3 mos</v>
      </c>
      <c r="H126" s="1" t="str">
        <f>IFERROR(__xludf.DUMMYFUNCTION("""COMPUTED_VALUE"""),"reply")</f>
        <v>reply</v>
      </c>
      <c r="I126" s="2" t="str">
        <f>IFERROR(__xludf.DUMMYFUNCTION("""COMPUTED_VALUE"""),"https://www.facebook.com/rapplerdotcom/photos/a.317154781638645/5598220220198715/")</f>
        <v>https://www.facebook.com/rapplerdotcom/photos/a.317154781638645/5598220220198715/</v>
      </c>
      <c r="J126" s="1" t="str">
        <f>IFERROR(__xludf.DUMMYFUNCTION("""COMPUTED_VALUE"""),"2022-07-04T11:09:50.064Z")</f>
        <v>2022-07-04T11:09:50.064Z</v>
      </c>
      <c r="K126" s="1"/>
    </row>
    <row r="127">
      <c r="A127" s="2" t="str">
        <f>IFERROR(__xludf.DUMMYFUNCTION("""COMPUTED_VALUE"""),"https://www.facebook.com/airam.libutaque")</f>
        <v>https://www.facebook.com/airam.libutaque</v>
      </c>
      <c r="B127" s="1" t="str">
        <f>IFERROR(__xludf.DUMMYFUNCTION("""COMPUTED_VALUE"""),"Airam Afinidad Libutaque")</f>
        <v>Airam Afinidad Libutaque</v>
      </c>
      <c r="C127" s="1" t="str">
        <f>IFERROR(__xludf.DUMMYFUNCTION("""COMPUTED_VALUE"""),"Airam")</f>
        <v>Airam</v>
      </c>
      <c r="D127" s="1" t="str">
        <f>IFERROR(__xludf.DUMMYFUNCTION("""COMPUTED_VALUE"""),"Afinidad Libutaque")</f>
        <v>Afinidad Libutaque</v>
      </c>
      <c r="E127" s="1" t="str">
        <f>IFERROR(__xludf.DUMMYFUNCTION("""COMPUTED_VALUE"""),"🌷 These two great women have  FOUGHT numerous BATTLES not for their personal ends but for the people's and the country's good! They are undoubtedly our MODERN DAY HEROINES!  🌷 Thank you for making the Filipinos proud! Thank you for being epitomes of TRU"&amp;"TH, HONESTY, DECENCY, SERVICE LOVE of Country...💗 #LeniKiko2022 #AngatBuhayLahat")</f>
        <v>🌷 These two great women have  FOUGHT numerous BATTLES not for their personal ends but for the people's and the country's good! They are undoubtedly our MODERN DAY HEROINES!  🌷 Thank you for making the Filipinos proud! Thank you for being epitomes of TRUTH, HONESTY, DECENCY, SERVICE LOVE of Country...💗 #LeniKiko2022 #AngatBuhayLahat</v>
      </c>
      <c r="F127" s="1">
        <f>IFERROR(__xludf.DUMMYFUNCTION("""COMPUTED_VALUE"""),98.0)</f>
        <v>98</v>
      </c>
      <c r="G127" s="1" t="str">
        <f>IFERROR(__xludf.DUMMYFUNCTION("""COMPUTED_VALUE"""),"3 mos")</f>
        <v>3 mos</v>
      </c>
      <c r="H127" s="1" t="str">
        <f>IFERROR(__xludf.DUMMYFUNCTION("""COMPUTED_VALUE"""),"comment")</f>
        <v>comment</v>
      </c>
      <c r="I127" s="2" t="str">
        <f>IFERROR(__xludf.DUMMYFUNCTION("""COMPUTED_VALUE"""),"https://www.facebook.com/rapplerdotcom/photos/a.317154781638645/5598220220198715/")</f>
        <v>https://www.facebook.com/rapplerdotcom/photos/a.317154781638645/5598220220198715/</v>
      </c>
      <c r="J127" s="1" t="str">
        <f>IFERROR(__xludf.DUMMYFUNCTION("""COMPUTED_VALUE"""),"2022-07-04T11:09:50.064Z")</f>
        <v>2022-07-04T11:09:50.064Z</v>
      </c>
      <c r="K127" s="1"/>
    </row>
    <row r="128">
      <c r="A128" s="2" t="str">
        <f>IFERROR(__xludf.DUMMYFUNCTION("""COMPUTED_VALUE"""),"https://www.facebook.com/airam.libutaque")</f>
        <v>https://www.facebook.com/airam.libutaque</v>
      </c>
      <c r="B128" s="1" t="str">
        <f>IFERROR(__xludf.DUMMYFUNCTION("""COMPUTED_VALUE"""),"Airam Afinidad Libutaque")</f>
        <v>Airam Afinidad Libutaque</v>
      </c>
      <c r="C128" s="1" t="str">
        <f>IFERROR(__xludf.DUMMYFUNCTION("""COMPUTED_VALUE"""),"Airam")</f>
        <v>Airam</v>
      </c>
      <c r="D128" s="1" t="str">
        <f>IFERROR(__xludf.DUMMYFUNCTION("""COMPUTED_VALUE"""),"Afinidad Libutaque")</f>
        <v>Afinidad Libutaque</v>
      </c>
      <c r="E128" s="1" t="str">
        <f>IFERROR(__xludf.DUMMYFUNCTION("""COMPUTED_VALUE"""),"#LeniKiko2022 #KikoAngManokKo")</f>
        <v>#LeniKiko2022 #KikoAngManokKo</v>
      </c>
      <c r="F128" s="1">
        <f>IFERROR(__xludf.DUMMYFUNCTION("""COMPUTED_VALUE"""),4.0)</f>
        <v>4</v>
      </c>
      <c r="G128" s="1" t="str">
        <f>IFERROR(__xludf.DUMMYFUNCTION("""COMPUTED_VALUE"""),"3 mos")</f>
        <v>3 mos</v>
      </c>
      <c r="H128" s="1" t="str">
        <f>IFERROR(__xludf.DUMMYFUNCTION("""COMPUTED_VALUE"""),"reply")</f>
        <v>reply</v>
      </c>
      <c r="I128" s="2" t="str">
        <f>IFERROR(__xludf.DUMMYFUNCTION("""COMPUTED_VALUE"""),"https://www.facebook.com/rapplerdotcom/photos/a.317154781638645/5598220220198715/")</f>
        <v>https://www.facebook.com/rapplerdotcom/photos/a.317154781638645/5598220220198715/</v>
      </c>
      <c r="J128" s="1" t="str">
        <f>IFERROR(__xludf.DUMMYFUNCTION("""COMPUTED_VALUE"""),"2022-07-04T11:09:50.064Z")</f>
        <v>2022-07-04T11:09:50.064Z</v>
      </c>
      <c r="K128" s="1"/>
    </row>
    <row r="129">
      <c r="A129" s="2" t="str">
        <f>IFERROR(__xludf.DUMMYFUNCTION("""COMPUTED_VALUE"""),"https://www.facebook.com/antonio.posadas.35")</f>
        <v>https://www.facebook.com/antonio.posadas.35</v>
      </c>
      <c r="B129" s="1" t="str">
        <f>IFERROR(__xludf.DUMMYFUNCTION("""COMPUTED_VALUE"""),"Antonio Posadas")</f>
        <v>Antonio Posadas</v>
      </c>
      <c r="C129" s="1" t="str">
        <f>IFERROR(__xludf.DUMMYFUNCTION("""COMPUTED_VALUE"""),"Antonio")</f>
        <v>Antonio</v>
      </c>
      <c r="D129" s="1" t="str">
        <f>IFERROR(__xludf.DUMMYFUNCTION("""COMPUTED_VALUE"""),"Posadas")</f>
        <v>Posadas</v>
      </c>
      <c r="E129" s="1" t="str">
        <f>IFERROR(__xludf.DUMMYFUNCTION("""COMPUTED_VALUE"""),"Airam Afinidad Libutaque you’re absolutely right")</f>
        <v>Airam Afinidad Libutaque you’re absolutely right</v>
      </c>
      <c r="F129" s="1">
        <f>IFERROR(__xludf.DUMMYFUNCTION("""COMPUTED_VALUE"""),1.0)</f>
        <v>1</v>
      </c>
      <c r="G129" s="1" t="str">
        <f>IFERROR(__xludf.DUMMYFUNCTION("""COMPUTED_VALUE"""),"3 mos")</f>
        <v>3 mos</v>
      </c>
      <c r="H129" s="1" t="str">
        <f>IFERROR(__xludf.DUMMYFUNCTION("""COMPUTED_VALUE"""),"reply")</f>
        <v>reply</v>
      </c>
      <c r="I129" s="2" t="str">
        <f>IFERROR(__xludf.DUMMYFUNCTION("""COMPUTED_VALUE"""),"https://www.facebook.com/rapplerdotcom/photos/a.317154781638645/5598220220198715/")</f>
        <v>https://www.facebook.com/rapplerdotcom/photos/a.317154781638645/5598220220198715/</v>
      </c>
      <c r="J129" s="1" t="str">
        <f>IFERROR(__xludf.DUMMYFUNCTION("""COMPUTED_VALUE"""),"2022-07-04T11:09:50.064Z")</f>
        <v>2022-07-04T11:09:50.064Z</v>
      </c>
      <c r="K129" s="1"/>
    </row>
    <row r="130">
      <c r="A130" s="2" t="str">
        <f>IFERROR(__xludf.DUMMYFUNCTION("""COMPUTED_VALUE"""),"https://www.facebook.com/profile.php?id=100079047092742")</f>
        <v>https://www.facebook.com/profile.php?id=100079047092742</v>
      </c>
      <c r="B130" s="1" t="str">
        <f>IFERROR(__xludf.DUMMYFUNCTION("""COMPUTED_VALUE"""),"Lois Capistrano")</f>
        <v>Lois Capistrano</v>
      </c>
      <c r="C130" s="1" t="str">
        <f>IFERROR(__xludf.DUMMYFUNCTION("""COMPUTED_VALUE"""),"Lois")</f>
        <v>Lois</v>
      </c>
      <c r="D130" s="1" t="str">
        <f>IFERROR(__xludf.DUMMYFUNCTION("""COMPUTED_VALUE"""),"Capistrano")</f>
        <v>Capistrano</v>
      </c>
      <c r="E130" s="1" t="str">
        <f>IFERROR(__xludf.DUMMYFUNCTION("""COMPUTED_VALUE"""),"Airam Afinidad Libutaque #LetaleniLead")</f>
        <v>Airam Afinidad Libutaque #LetaleniLead</v>
      </c>
      <c r="F130" s="1">
        <f>IFERROR(__xludf.DUMMYFUNCTION("""COMPUTED_VALUE"""),1.0)</f>
        <v>1</v>
      </c>
      <c r="G130" s="1" t="str">
        <f>IFERROR(__xludf.DUMMYFUNCTION("""COMPUTED_VALUE"""),"3 mos")</f>
        <v>3 mos</v>
      </c>
      <c r="H130" s="1" t="str">
        <f>IFERROR(__xludf.DUMMYFUNCTION("""COMPUTED_VALUE"""),"reply")</f>
        <v>reply</v>
      </c>
      <c r="I130" s="2" t="str">
        <f>IFERROR(__xludf.DUMMYFUNCTION("""COMPUTED_VALUE"""),"https://www.facebook.com/rapplerdotcom/photos/a.317154781638645/5598220220198715/")</f>
        <v>https://www.facebook.com/rapplerdotcom/photos/a.317154781638645/5598220220198715/</v>
      </c>
      <c r="J130" s="1" t="str">
        <f>IFERROR(__xludf.DUMMYFUNCTION("""COMPUTED_VALUE"""),"2022-07-04T11:09:50.064Z")</f>
        <v>2022-07-04T11:09:50.064Z</v>
      </c>
      <c r="K130" s="1"/>
    </row>
    <row r="131">
      <c r="A131" s="2" t="str">
        <f>IFERROR(__xludf.DUMMYFUNCTION("""COMPUTED_VALUE"""),"https://www.facebook.com/profile.php?id=100078504654734")</f>
        <v>https://www.facebook.com/profile.php?id=100078504654734</v>
      </c>
      <c r="B131" s="1" t="str">
        <f>IFERROR(__xludf.DUMMYFUNCTION("""COMPUTED_VALUE"""),"Rebreb Yumul")</f>
        <v>Rebreb Yumul</v>
      </c>
      <c r="C131" s="1" t="str">
        <f>IFERROR(__xludf.DUMMYFUNCTION("""COMPUTED_VALUE"""),"Rebreb")</f>
        <v>Rebreb</v>
      </c>
      <c r="D131" s="1" t="str">
        <f>IFERROR(__xludf.DUMMYFUNCTION("""COMPUTED_VALUE"""),"Yumul")</f>
        <v>Yumul</v>
      </c>
      <c r="E131" s="1" t="str">
        <f>IFERROR(__xludf.DUMMYFUNCTION("""COMPUTED_VALUE"""),"Airam Afinidad Libutaque #KayLeniTayo")</f>
        <v>Airam Afinidad Libutaque #KayLeniTayo</v>
      </c>
      <c r="F131" s="1">
        <f>IFERROR(__xludf.DUMMYFUNCTION("""COMPUTED_VALUE"""),1.0)</f>
        <v>1</v>
      </c>
      <c r="G131" s="1" t="str">
        <f>IFERROR(__xludf.DUMMYFUNCTION("""COMPUTED_VALUE"""),"3 mos")</f>
        <v>3 mos</v>
      </c>
      <c r="H131" s="1" t="str">
        <f>IFERROR(__xludf.DUMMYFUNCTION("""COMPUTED_VALUE"""),"reply")</f>
        <v>reply</v>
      </c>
      <c r="I131" s="2" t="str">
        <f>IFERROR(__xludf.DUMMYFUNCTION("""COMPUTED_VALUE"""),"https://www.facebook.com/rapplerdotcom/photos/a.317154781638645/5598220220198715/")</f>
        <v>https://www.facebook.com/rapplerdotcom/photos/a.317154781638645/5598220220198715/</v>
      </c>
      <c r="J131" s="1" t="str">
        <f>IFERROR(__xludf.DUMMYFUNCTION("""COMPUTED_VALUE"""),"2022-07-04T11:09:50.064Z")</f>
        <v>2022-07-04T11:09:50.064Z</v>
      </c>
      <c r="K131" s="1"/>
    </row>
    <row r="132">
      <c r="A132" s="2" t="str">
        <f>IFERROR(__xludf.DUMMYFUNCTION("""COMPUTED_VALUE"""),"https://www.facebook.com/profile.php?id=100078561682789")</f>
        <v>https://www.facebook.com/profile.php?id=100078561682789</v>
      </c>
      <c r="B132" s="1" t="str">
        <f>IFERROR(__xludf.DUMMYFUNCTION("""COMPUTED_VALUE"""),"Edwin Talavera")</f>
        <v>Edwin Talavera</v>
      </c>
      <c r="C132" s="1" t="str">
        <f>IFERROR(__xludf.DUMMYFUNCTION("""COMPUTED_VALUE"""),"Edwin")</f>
        <v>Edwin</v>
      </c>
      <c r="D132" s="1" t="str">
        <f>IFERROR(__xludf.DUMMYFUNCTION("""COMPUTED_VALUE"""),"Talavera")</f>
        <v>Talavera</v>
      </c>
      <c r="E132" s="1" t="str">
        <f>IFERROR(__xludf.DUMMYFUNCTION("""COMPUTED_VALUE"""),"Airam Afinidad Libutaque")</f>
        <v>Airam Afinidad Libutaque</v>
      </c>
      <c r="F132" s="1">
        <f>IFERROR(__xludf.DUMMYFUNCTION("""COMPUTED_VALUE"""),1.0)</f>
        <v>1</v>
      </c>
      <c r="G132" s="1" t="str">
        <f>IFERROR(__xludf.DUMMYFUNCTION("""COMPUTED_VALUE"""),"3 mos")</f>
        <v>3 mos</v>
      </c>
      <c r="H132" s="1" t="str">
        <f>IFERROR(__xludf.DUMMYFUNCTION("""COMPUTED_VALUE"""),"reply")</f>
        <v>reply</v>
      </c>
      <c r="I132" s="2" t="str">
        <f>IFERROR(__xludf.DUMMYFUNCTION("""COMPUTED_VALUE"""),"https://www.facebook.com/rapplerdotcom/photos/a.317154781638645/5598220220198715/")</f>
        <v>https://www.facebook.com/rapplerdotcom/photos/a.317154781638645/5598220220198715/</v>
      </c>
      <c r="J132" s="1" t="str">
        <f>IFERROR(__xludf.DUMMYFUNCTION("""COMPUTED_VALUE"""),"2022-07-04T11:09:50.064Z")</f>
        <v>2022-07-04T11:09:50.064Z</v>
      </c>
      <c r="K132" s="1"/>
    </row>
    <row r="133">
      <c r="A133" s="2" t="str">
        <f>IFERROR(__xludf.DUMMYFUNCTION("""COMPUTED_VALUE"""),"https://www.facebook.com/profile.php?id=100078433647836")</f>
        <v>https://www.facebook.com/profile.php?id=100078433647836</v>
      </c>
      <c r="B133" s="1" t="str">
        <f>IFERROR(__xludf.DUMMYFUNCTION("""COMPUTED_VALUE"""),"Melinda Rosario")</f>
        <v>Melinda Rosario</v>
      </c>
      <c r="C133" s="1" t="str">
        <f>IFERROR(__xludf.DUMMYFUNCTION("""COMPUTED_VALUE"""),"Melinda")</f>
        <v>Melinda</v>
      </c>
      <c r="D133" s="1" t="str">
        <f>IFERROR(__xludf.DUMMYFUNCTION("""COMPUTED_VALUE"""),"Rosario")</f>
        <v>Rosario</v>
      </c>
      <c r="E133" s="1" t="str">
        <f>IFERROR(__xludf.DUMMYFUNCTION("""COMPUTED_VALUE"""),"Airam Afinidad Libutaque we deserve a better governemnt #LeniKiko2022")</f>
        <v>Airam Afinidad Libutaque we deserve a better governemnt #LeniKiko2022</v>
      </c>
      <c r="F133" s="1">
        <f>IFERROR(__xludf.DUMMYFUNCTION("""COMPUTED_VALUE"""),1.0)</f>
        <v>1</v>
      </c>
      <c r="G133" s="1" t="str">
        <f>IFERROR(__xludf.DUMMYFUNCTION("""COMPUTED_VALUE"""),"3 mos")</f>
        <v>3 mos</v>
      </c>
      <c r="H133" s="1" t="str">
        <f>IFERROR(__xludf.DUMMYFUNCTION("""COMPUTED_VALUE"""),"reply")</f>
        <v>reply</v>
      </c>
      <c r="I133" s="2" t="str">
        <f>IFERROR(__xludf.DUMMYFUNCTION("""COMPUTED_VALUE"""),"https://www.facebook.com/rapplerdotcom/photos/a.317154781638645/5598220220198715/")</f>
        <v>https://www.facebook.com/rapplerdotcom/photos/a.317154781638645/5598220220198715/</v>
      </c>
      <c r="J133" s="1" t="str">
        <f>IFERROR(__xludf.DUMMYFUNCTION("""COMPUTED_VALUE"""),"2022-07-04T11:09:50.065Z")</f>
        <v>2022-07-04T11:09:50.065Z</v>
      </c>
      <c r="K133" s="1"/>
    </row>
    <row r="134">
      <c r="A134" s="2" t="str">
        <f>IFERROR(__xludf.DUMMYFUNCTION("""COMPUTED_VALUE"""),"https://www.facebook.com/profile.php?id=100078329061859")</f>
        <v>https://www.facebook.com/profile.php?id=100078329061859</v>
      </c>
      <c r="B134" s="1" t="str">
        <f>IFERROR(__xludf.DUMMYFUNCTION("""COMPUTED_VALUE"""),"Nap Antonio")</f>
        <v>Nap Antonio</v>
      </c>
      <c r="C134" s="1" t="str">
        <f>IFERROR(__xludf.DUMMYFUNCTION("""COMPUTED_VALUE"""),"Nap")</f>
        <v>Nap</v>
      </c>
      <c r="D134" s="1" t="str">
        <f>IFERROR(__xludf.DUMMYFUNCTION("""COMPUTED_VALUE"""),"Antonio")</f>
        <v>Antonio</v>
      </c>
      <c r="E134" s="1" t="str">
        <f>IFERROR(__xludf.DUMMYFUNCTION("""COMPUTED_VALUE"""),"Airam Afinidad Libutaque Ay Nako kawawa Ang mga kabataan natin, di MOBA nakikita palaging nakapaligid Ang mga makakaliwa.. paano nalang pagdating Ng panahon")</f>
        <v>Airam Afinidad Libutaque Ay Nako kawawa Ang mga kabataan natin, di MOBA nakikita palaging nakapaligid Ang mga makakaliwa.. paano nalang pagdating Ng panahon</v>
      </c>
      <c r="F134" s="1"/>
      <c r="G134" s="1" t="str">
        <f>IFERROR(__xludf.DUMMYFUNCTION("""COMPUTED_VALUE"""),"3 mos")</f>
        <v>3 mos</v>
      </c>
      <c r="H134" s="1" t="str">
        <f>IFERROR(__xludf.DUMMYFUNCTION("""COMPUTED_VALUE"""),"reply")</f>
        <v>reply</v>
      </c>
      <c r="I134" s="2" t="str">
        <f>IFERROR(__xludf.DUMMYFUNCTION("""COMPUTED_VALUE"""),"https://www.facebook.com/rapplerdotcom/photos/a.317154781638645/5598220220198715/")</f>
        <v>https://www.facebook.com/rapplerdotcom/photos/a.317154781638645/5598220220198715/</v>
      </c>
      <c r="J134" s="1" t="str">
        <f>IFERROR(__xludf.DUMMYFUNCTION("""COMPUTED_VALUE"""),"2022-07-04T11:09:50.065Z")</f>
        <v>2022-07-04T11:09:50.065Z</v>
      </c>
      <c r="K134" s="1"/>
    </row>
    <row r="135">
      <c r="A135" s="2" t="str">
        <f>IFERROR(__xludf.DUMMYFUNCTION("""COMPUTED_VALUE"""),"https://www.facebook.com/elizabeth.bondad")</f>
        <v>https://www.facebook.com/elizabeth.bondad</v>
      </c>
      <c r="B135" s="1" t="str">
        <f>IFERROR(__xludf.DUMMYFUNCTION("""COMPUTED_VALUE"""),"Elizabeth Bondad")</f>
        <v>Elizabeth Bondad</v>
      </c>
      <c r="C135" s="1" t="str">
        <f>IFERROR(__xludf.DUMMYFUNCTION("""COMPUTED_VALUE"""),"Elizabeth")</f>
        <v>Elizabeth</v>
      </c>
      <c r="D135" s="1" t="str">
        <f>IFERROR(__xludf.DUMMYFUNCTION("""COMPUTED_VALUE"""),"Bondad")</f>
        <v>Bondad</v>
      </c>
      <c r="E135" s="1" t="str">
        <f>IFERROR(__xludf.DUMMYFUNCTION("""COMPUTED_VALUE"""),"Woman Power! Women for Truth and Good Governance! #KulayRosasAngBukas #AngatBuhayLahat #LeniKiko2022")</f>
        <v>Woman Power! Women for Truth and Good Governance! #KulayRosasAngBukas #AngatBuhayLahat #LeniKiko2022</v>
      </c>
      <c r="F135" s="1">
        <f>IFERROR(__xludf.DUMMYFUNCTION("""COMPUTED_VALUE"""),83.0)</f>
        <v>83</v>
      </c>
      <c r="G135" s="1" t="str">
        <f>IFERROR(__xludf.DUMMYFUNCTION("""COMPUTED_VALUE"""),"3 mos")</f>
        <v>3 mos</v>
      </c>
      <c r="H135" s="1" t="str">
        <f>IFERROR(__xludf.DUMMYFUNCTION("""COMPUTED_VALUE"""),"comment")</f>
        <v>comment</v>
      </c>
      <c r="I135" s="2" t="str">
        <f>IFERROR(__xludf.DUMMYFUNCTION("""COMPUTED_VALUE"""),"https://www.facebook.com/rapplerdotcom/photos/a.317154781638645/5598220220198715/")</f>
        <v>https://www.facebook.com/rapplerdotcom/photos/a.317154781638645/5598220220198715/</v>
      </c>
      <c r="J135" s="1" t="str">
        <f>IFERROR(__xludf.DUMMYFUNCTION("""COMPUTED_VALUE"""),"2022-07-04T11:09:50.065Z")</f>
        <v>2022-07-04T11:09:50.065Z</v>
      </c>
      <c r="K135" s="1"/>
    </row>
    <row r="136">
      <c r="A136" s="2" t="str">
        <f>IFERROR(__xludf.DUMMYFUNCTION("""COMPUTED_VALUE"""),"https://www.facebook.com/ronfrias")</f>
        <v>https://www.facebook.com/ronfrias</v>
      </c>
      <c r="B136" s="1" t="str">
        <f>IFERROR(__xludf.DUMMYFUNCTION("""COMPUTED_VALUE"""),"Ronald Frias")</f>
        <v>Ronald Frias</v>
      </c>
      <c r="C136" s="1" t="str">
        <f>IFERROR(__xludf.DUMMYFUNCTION("""COMPUTED_VALUE"""),"Ronald")</f>
        <v>Ronald</v>
      </c>
      <c r="D136" s="1" t="str">
        <f>IFERROR(__xludf.DUMMYFUNCTION("""COMPUTED_VALUE"""),"Frias")</f>
        <v>Frias</v>
      </c>
      <c r="E136" s="1" t="str">
        <f>IFERROR(__xludf.DUMMYFUNCTION("""COMPUTED_VALUE"""),"Great to see 2 women fighting for truth and the greater good of the country. We salute you! ❤❤❤")</f>
        <v>Great to see 2 women fighting for truth and the greater good of the country. We salute you! ❤❤❤</v>
      </c>
      <c r="F136" s="1">
        <f>IFERROR(__xludf.DUMMYFUNCTION("""COMPUTED_VALUE"""),133.0)</f>
        <v>133</v>
      </c>
      <c r="G136" s="1" t="str">
        <f>IFERROR(__xludf.DUMMYFUNCTION("""COMPUTED_VALUE"""),"3 mos")</f>
        <v>3 mos</v>
      </c>
      <c r="H136" s="1" t="str">
        <f>IFERROR(__xludf.DUMMYFUNCTION("""COMPUTED_VALUE"""),"comment")</f>
        <v>comment</v>
      </c>
      <c r="I136" s="2" t="str">
        <f>IFERROR(__xludf.DUMMYFUNCTION("""COMPUTED_VALUE"""),"https://www.facebook.com/rapplerdotcom/photos/a.317154781638645/5598220220198715/")</f>
        <v>https://www.facebook.com/rapplerdotcom/photos/a.317154781638645/5598220220198715/</v>
      </c>
      <c r="J136" s="1" t="str">
        <f>IFERROR(__xludf.DUMMYFUNCTION("""COMPUTED_VALUE"""),"2022-07-04T11:09:50.065Z")</f>
        <v>2022-07-04T11:09:50.065Z</v>
      </c>
      <c r="K136" s="1"/>
    </row>
    <row r="137">
      <c r="A137" s="2" t="str">
        <f>IFERROR(__xludf.DUMMYFUNCTION("""COMPUTED_VALUE"""),"https://www.facebook.com/czaranthony.colocar")</f>
        <v>https://www.facebook.com/czaranthony.colocar</v>
      </c>
      <c r="B137" s="1" t="str">
        <f>IFERROR(__xludf.DUMMYFUNCTION("""COMPUTED_VALUE"""),"コロカ ー皇帝")</f>
        <v>コロカ ー皇帝</v>
      </c>
      <c r="C137" s="1" t="str">
        <f>IFERROR(__xludf.DUMMYFUNCTION("""COMPUTED_VALUE"""),"コロカ")</f>
        <v>コロカ</v>
      </c>
      <c r="D137" s="1" t="str">
        <f>IFERROR(__xludf.DUMMYFUNCTION("""COMPUTED_VALUE"""),"ー皇帝")</f>
        <v>ー皇帝</v>
      </c>
      <c r="E137" s="1" t="str">
        <f>IFERROR(__xludf.DUMMYFUNCTION("""COMPUTED_VALUE"""),"Ronald Frias yes, we are blessed to have them  #LeniKikoAllTheWay  #AngatBuhayLahat")</f>
        <v>Ronald Frias yes, we are blessed to have them  #LeniKikoAllTheWay  #AngatBuhayLahat</v>
      </c>
      <c r="F137" s="1">
        <f>IFERROR(__xludf.DUMMYFUNCTION("""COMPUTED_VALUE"""),2.0)</f>
        <v>2</v>
      </c>
      <c r="G137" s="1" t="str">
        <f>IFERROR(__xludf.DUMMYFUNCTION("""COMPUTED_VALUE"""),"3 mos")</f>
        <v>3 mos</v>
      </c>
      <c r="H137" s="1" t="str">
        <f>IFERROR(__xludf.DUMMYFUNCTION("""COMPUTED_VALUE"""),"reply")</f>
        <v>reply</v>
      </c>
      <c r="I137" s="2" t="str">
        <f>IFERROR(__xludf.DUMMYFUNCTION("""COMPUTED_VALUE"""),"https://www.facebook.com/rapplerdotcom/photos/a.317154781638645/5598220220198715/")</f>
        <v>https://www.facebook.com/rapplerdotcom/photos/a.317154781638645/5598220220198715/</v>
      </c>
      <c r="J137" s="1" t="str">
        <f>IFERROR(__xludf.DUMMYFUNCTION("""COMPUTED_VALUE"""),"2022-07-04T11:09:50.065Z")</f>
        <v>2022-07-04T11:09:50.065Z</v>
      </c>
      <c r="K137" s="1"/>
    </row>
    <row r="138">
      <c r="A138" s="2" t="str">
        <f>IFERROR(__xludf.DUMMYFUNCTION("""COMPUTED_VALUE"""),"https://www.facebook.com/profile.php?id=100078772872933")</f>
        <v>https://www.facebook.com/profile.php?id=100078772872933</v>
      </c>
      <c r="B138" s="1" t="str">
        <f>IFERROR(__xludf.DUMMYFUNCTION("""COMPUTED_VALUE"""),"Yvonne Yuzon")</f>
        <v>Yvonne Yuzon</v>
      </c>
      <c r="C138" s="1" t="str">
        <f>IFERROR(__xludf.DUMMYFUNCTION("""COMPUTED_VALUE"""),"Yvonne")</f>
        <v>Yvonne</v>
      </c>
      <c r="D138" s="1" t="str">
        <f>IFERROR(__xludf.DUMMYFUNCTION("""COMPUTED_VALUE"""),"Yuzon")</f>
        <v>Yuzon</v>
      </c>
      <c r="E138" s="1" t="str">
        <f>IFERROR(__xludf.DUMMYFUNCTION("""COMPUTED_VALUE"""),"Ronald Frias #LetLeniLead #IpanaloNa10To")</f>
        <v>Ronald Frias #LetLeniLead #IpanaloNa10To</v>
      </c>
      <c r="F138" s="1">
        <f>IFERROR(__xludf.DUMMYFUNCTION("""COMPUTED_VALUE"""),2.0)</f>
        <v>2</v>
      </c>
      <c r="G138" s="1" t="str">
        <f>IFERROR(__xludf.DUMMYFUNCTION("""COMPUTED_VALUE"""),"3 mos")</f>
        <v>3 mos</v>
      </c>
      <c r="H138" s="1" t="str">
        <f>IFERROR(__xludf.DUMMYFUNCTION("""COMPUTED_VALUE"""),"reply")</f>
        <v>reply</v>
      </c>
      <c r="I138" s="2" t="str">
        <f>IFERROR(__xludf.DUMMYFUNCTION("""COMPUTED_VALUE"""),"https://www.facebook.com/rapplerdotcom/photos/a.317154781638645/5598220220198715/")</f>
        <v>https://www.facebook.com/rapplerdotcom/photos/a.317154781638645/5598220220198715/</v>
      </c>
      <c r="J138" s="1" t="str">
        <f>IFERROR(__xludf.DUMMYFUNCTION("""COMPUTED_VALUE"""),"2022-07-04T11:09:50.065Z")</f>
        <v>2022-07-04T11:09:50.065Z</v>
      </c>
      <c r="K138" s="1"/>
    </row>
    <row r="139">
      <c r="A139" s="2" t="str">
        <f>IFERROR(__xludf.DUMMYFUNCTION("""COMPUTED_VALUE"""),"https://www.facebook.com/profile.php?id=100077975515176")</f>
        <v>https://www.facebook.com/profile.php?id=100077975515176</v>
      </c>
      <c r="B139" s="1" t="str">
        <f>IFERROR(__xludf.DUMMYFUNCTION("""COMPUTED_VALUE"""),"David Yulinco")</f>
        <v>David Yulinco</v>
      </c>
      <c r="C139" s="1" t="str">
        <f>IFERROR(__xludf.DUMMYFUNCTION("""COMPUTED_VALUE"""),"David")</f>
        <v>David</v>
      </c>
      <c r="D139" s="1" t="str">
        <f>IFERROR(__xludf.DUMMYFUNCTION("""COMPUTED_VALUE"""),"Yulinco")</f>
        <v>Yulinco</v>
      </c>
      <c r="E139" s="1" t="str">
        <f>IFERROR(__xludf.DUMMYFUNCTION("""COMPUTED_VALUE"""),"Ronald Frias #IpanaloNa10To")</f>
        <v>Ronald Frias #IpanaloNa10To</v>
      </c>
      <c r="F139" s="1">
        <f>IFERROR(__xludf.DUMMYFUNCTION("""COMPUTED_VALUE"""),1.0)</f>
        <v>1</v>
      </c>
      <c r="G139" s="1" t="str">
        <f>IFERROR(__xludf.DUMMYFUNCTION("""COMPUTED_VALUE"""),"3 mos")</f>
        <v>3 mos</v>
      </c>
      <c r="H139" s="1" t="str">
        <f>IFERROR(__xludf.DUMMYFUNCTION("""COMPUTED_VALUE"""),"reply")</f>
        <v>reply</v>
      </c>
      <c r="I139" s="2" t="str">
        <f>IFERROR(__xludf.DUMMYFUNCTION("""COMPUTED_VALUE"""),"https://www.facebook.com/rapplerdotcom/photos/a.317154781638645/5598220220198715/")</f>
        <v>https://www.facebook.com/rapplerdotcom/photos/a.317154781638645/5598220220198715/</v>
      </c>
      <c r="J139" s="1" t="str">
        <f>IFERROR(__xludf.DUMMYFUNCTION("""COMPUTED_VALUE"""),"2022-07-04T11:09:50.065Z")</f>
        <v>2022-07-04T11:09:50.065Z</v>
      </c>
      <c r="K139" s="1"/>
    </row>
    <row r="140">
      <c r="A140" s="2" t="str">
        <f>IFERROR(__xludf.DUMMYFUNCTION("""COMPUTED_VALUE"""),"https://www.facebook.com/profile.php?id=100078329061859")</f>
        <v>https://www.facebook.com/profile.php?id=100078329061859</v>
      </c>
      <c r="B140" s="1" t="str">
        <f>IFERROR(__xludf.DUMMYFUNCTION("""COMPUTED_VALUE"""),"Nap Antonio")</f>
        <v>Nap Antonio</v>
      </c>
      <c r="C140" s="1" t="str">
        <f>IFERROR(__xludf.DUMMYFUNCTION("""COMPUTED_VALUE"""),"Nap")</f>
        <v>Nap</v>
      </c>
      <c r="D140" s="1" t="str">
        <f>IFERROR(__xludf.DUMMYFUNCTION("""COMPUTED_VALUE"""),"Antonio")</f>
        <v>Antonio</v>
      </c>
      <c r="E140" s="1" t="str">
        <f>IFERROR(__xludf.DUMMYFUNCTION("""COMPUTED_VALUE"""),"Ronald Frias good for makakalipink kamo")</f>
        <v>Ronald Frias good for makakalipink kamo</v>
      </c>
      <c r="F140" s="1"/>
      <c r="G140" s="1" t="str">
        <f>IFERROR(__xludf.DUMMYFUNCTION("""COMPUTED_VALUE"""),"3 mos")</f>
        <v>3 mos</v>
      </c>
      <c r="H140" s="1" t="str">
        <f>IFERROR(__xludf.DUMMYFUNCTION("""COMPUTED_VALUE"""),"reply")</f>
        <v>reply</v>
      </c>
      <c r="I140" s="2" t="str">
        <f>IFERROR(__xludf.DUMMYFUNCTION("""COMPUTED_VALUE"""),"https://www.facebook.com/rapplerdotcom/photos/a.317154781638645/5598220220198715/")</f>
        <v>https://www.facebook.com/rapplerdotcom/photos/a.317154781638645/5598220220198715/</v>
      </c>
      <c r="J140" s="1" t="str">
        <f>IFERROR(__xludf.DUMMYFUNCTION("""COMPUTED_VALUE"""),"2022-07-04T11:09:50.065Z")</f>
        <v>2022-07-04T11:09:50.065Z</v>
      </c>
      <c r="K140" s="1"/>
    </row>
    <row r="141">
      <c r="A141" s="2" t="str">
        <f>IFERROR(__xludf.DUMMYFUNCTION("""COMPUTED_VALUE"""),"https://www.facebook.com/cielo.dupayamendiola")</f>
        <v>https://www.facebook.com/cielo.dupayamendiola</v>
      </c>
      <c r="B141" s="1" t="str">
        <f>IFERROR(__xludf.DUMMYFUNCTION("""COMPUTED_VALUE"""),"Cielo Dupaya Mendiola")</f>
        <v>Cielo Dupaya Mendiola</v>
      </c>
      <c r="C141" s="1" t="str">
        <f>IFERROR(__xludf.DUMMYFUNCTION("""COMPUTED_VALUE"""),"Cielo")</f>
        <v>Cielo</v>
      </c>
      <c r="D141" s="1" t="str">
        <f>IFERROR(__xludf.DUMMYFUNCTION("""COMPUTED_VALUE"""),"Dupaya Mendiola")</f>
        <v>Dupaya Mendiola</v>
      </c>
      <c r="E141" s="1" t="str">
        <f>IFERROR(__xludf.DUMMYFUNCTION("""COMPUTED_VALUE"""),"Two amazing and empowered women, makes me proud to be one #LeniRobredoIsMyPresident")</f>
        <v>Two amazing and empowered women, makes me proud to be one #LeniRobredoIsMyPresident</v>
      </c>
      <c r="F141" s="1">
        <f>IFERROR(__xludf.DUMMYFUNCTION("""COMPUTED_VALUE"""),45.0)</f>
        <v>45</v>
      </c>
      <c r="G141" s="1" t="str">
        <f>IFERROR(__xludf.DUMMYFUNCTION("""COMPUTED_VALUE"""),"3 mos")</f>
        <v>3 mos</v>
      </c>
      <c r="H141" s="1" t="str">
        <f>IFERROR(__xludf.DUMMYFUNCTION("""COMPUTED_VALUE"""),"comment")</f>
        <v>comment</v>
      </c>
      <c r="I141" s="2" t="str">
        <f>IFERROR(__xludf.DUMMYFUNCTION("""COMPUTED_VALUE"""),"https://www.facebook.com/rapplerdotcom/photos/a.317154781638645/5598220220198715/")</f>
        <v>https://www.facebook.com/rapplerdotcom/photos/a.317154781638645/5598220220198715/</v>
      </c>
      <c r="J141" s="1" t="str">
        <f>IFERROR(__xludf.DUMMYFUNCTION("""COMPUTED_VALUE"""),"2022-07-04T11:09:50.065Z")</f>
        <v>2022-07-04T11:09:50.065Z</v>
      </c>
      <c r="K141" s="1"/>
    </row>
    <row r="142">
      <c r="A142" s="2" t="str">
        <f>IFERROR(__xludf.DUMMYFUNCTION("""COMPUTED_VALUE"""),"https://www.facebook.com/profile.php?id=100078329061859")</f>
        <v>https://www.facebook.com/profile.php?id=100078329061859</v>
      </c>
      <c r="B142" s="1" t="str">
        <f>IFERROR(__xludf.DUMMYFUNCTION("""COMPUTED_VALUE"""),"Nap Antonio")</f>
        <v>Nap Antonio</v>
      </c>
      <c r="C142" s="1" t="str">
        <f>IFERROR(__xludf.DUMMYFUNCTION("""COMPUTED_VALUE"""),"Nap")</f>
        <v>Nap</v>
      </c>
      <c r="D142" s="1" t="str">
        <f>IFERROR(__xludf.DUMMYFUNCTION("""COMPUTED_VALUE"""),"Antonio")</f>
        <v>Antonio</v>
      </c>
      <c r="E142" s="1" t="str">
        <f>IFERROR(__xludf.DUMMYFUNCTION("""COMPUTED_VALUE"""),"Cielo Dupaya Mendiola pag disperada kahit makakaliwa o kahit sino nalang kinokopkop")</f>
        <v>Cielo Dupaya Mendiola pag disperada kahit makakaliwa o kahit sino nalang kinokopkop</v>
      </c>
      <c r="F142" s="1"/>
      <c r="G142" s="1" t="str">
        <f>IFERROR(__xludf.DUMMYFUNCTION("""COMPUTED_VALUE"""),"3 mos")</f>
        <v>3 mos</v>
      </c>
      <c r="H142" s="1" t="str">
        <f>IFERROR(__xludf.DUMMYFUNCTION("""COMPUTED_VALUE"""),"reply")</f>
        <v>reply</v>
      </c>
      <c r="I142" s="2" t="str">
        <f>IFERROR(__xludf.DUMMYFUNCTION("""COMPUTED_VALUE"""),"https://www.facebook.com/rapplerdotcom/photos/a.317154781638645/5598220220198715/")</f>
        <v>https://www.facebook.com/rapplerdotcom/photos/a.317154781638645/5598220220198715/</v>
      </c>
      <c r="J142" s="1" t="str">
        <f>IFERROR(__xludf.DUMMYFUNCTION("""COMPUTED_VALUE"""),"2022-07-04T11:09:50.065Z")</f>
        <v>2022-07-04T11:09:50.065Z</v>
      </c>
      <c r="K142" s="1"/>
    </row>
    <row r="143">
      <c r="A143" s="2" t="str">
        <f>IFERROR(__xludf.DUMMYFUNCTION("""COMPUTED_VALUE"""),"https://www.facebook.com/bella.sarenas")</f>
        <v>https://www.facebook.com/bella.sarenas</v>
      </c>
      <c r="B143" s="1" t="str">
        <f>IFERROR(__xludf.DUMMYFUNCTION("""COMPUTED_VALUE"""),"Bella Sarenas")</f>
        <v>Bella Sarenas</v>
      </c>
      <c r="C143" s="1" t="str">
        <f>IFERROR(__xludf.DUMMYFUNCTION("""COMPUTED_VALUE"""),"Bella")</f>
        <v>Bella</v>
      </c>
      <c r="D143" s="1" t="str">
        <f>IFERROR(__xludf.DUMMYFUNCTION("""COMPUTED_VALUE"""),"Sarenas")</f>
        <v>Sarenas</v>
      </c>
      <c r="E143" s="1" t="str">
        <f>IFERROR(__xludf.DUMMYFUNCTION("""COMPUTED_VALUE"""),"#PraiseYouJesus  for these women. #ToGodBeTheGlory #MahalinNatinAngPilipinas #MakaDiyosatMakaTao #TeamLeniKiko #GobyernongTapat  #AngatBuhayLahat #SalamatPoAmaSaBiyaya ng election 2022.")</f>
        <v>#PraiseYouJesus  for these women. #ToGodBeTheGlory #MahalinNatinAngPilipinas #MakaDiyosatMakaTao #TeamLeniKiko #GobyernongTapat  #AngatBuhayLahat #SalamatPoAmaSaBiyaya ng election 2022.</v>
      </c>
      <c r="F143" s="1">
        <f>IFERROR(__xludf.DUMMYFUNCTION("""COMPUTED_VALUE"""),61.0)</f>
        <v>61</v>
      </c>
      <c r="G143" s="1" t="str">
        <f>IFERROR(__xludf.DUMMYFUNCTION("""COMPUTED_VALUE"""),"3 mos")</f>
        <v>3 mos</v>
      </c>
      <c r="H143" s="1" t="str">
        <f>IFERROR(__xludf.DUMMYFUNCTION("""COMPUTED_VALUE"""),"comment")</f>
        <v>comment</v>
      </c>
      <c r="I143" s="2" t="str">
        <f>IFERROR(__xludf.DUMMYFUNCTION("""COMPUTED_VALUE"""),"https://www.facebook.com/rapplerdotcom/photos/a.317154781638645/5598220220198715/")</f>
        <v>https://www.facebook.com/rapplerdotcom/photos/a.317154781638645/5598220220198715/</v>
      </c>
      <c r="J143" s="1" t="str">
        <f>IFERROR(__xludf.DUMMYFUNCTION("""COMPUTED_VALUE"""),"2022-07-04T11:09:50.065Z")</f>
        <v>2022-07-04T11:09:50.065Z</v>
      </c>
      <c r="K143" s="1"/>
    </row>
    <row r="144">
      <c r="A144" s="2" t="str">
        <f>IFERROR(__xludf.DUMMYFUNCTION("""COMPUTED_VALUE"""),"https://www.facebook.com/ana.abadsantos")</f>
        <v>https://www.facebook.com/ana.abadsantos</v>
      </c>
      <c r="B144" s="1" t="str">
        <f>IFERROR(__xludf.DUMMYFUNCTION("""COMPUTED_VALUE"""),"Ana Abad Santos")</f>
        <v>Ana Abad Santos</v>
      </c>
      <c r="C144" s="1" t="str">
        <f>IFERROR(__xludf.DUMMYFUNCTION("""COMPUTED_VALUE"""),"Ana")</f>
        <v>Ana</v>
      </c>
      <c r="D144" s="1" t="str">
        <f>IFERROR(__xludf.DUMMYFUNCTION("""COMPUTED_VALUE"""),"Abad Santos")</f>
        <v>Abad Santos</v>
      </c>
      <c r="E144" s="1" t="str">
        <f>IFERROR(__xludf.DUMMYFUNCTION("""COMPUTED_VALUE"""),"two amazing women!!! Bravo 💗💗💗")</f>
        <v>two amazing women!!! Bravo 💗💗💗</v>
      </c>
      <c r="F144" s="1">
        <f>IFERROR(__xludf.DUMMYFUNCTION("""COMPUTED_VALUE"""),72.0)</f>
        <v>72</v>
      </c>
      <c r="G144" s="1" t="str">
        <f>IFERROR(__xludf.DUMMYFUNCTION("""COMPUTED_VALUE"""),"3 mos")</f>
        <v>3 mos</v>
      </c>
      <c r="H144" s="1" t="str">
        <f>IFERROR(__xludf.DUMMYFUNCTION("""COMPUTED_VALUE"""),"comment")</f>
        <v>comment</v>
      </c>
      <c r="I144" s="2" t="str">
        <f>IFERROR(__xludf.DUMMYFUNCTION("""COMPUTED_VALUE"""),"https://www.facebook.com/rapplerdotcom/photos/a.317154781638645/5598220220198715/")</f>
        <v>https://www.facebook.com/rapplerdotcom/photos/a.317154781638645/5598220220198715/</v>
      </c>
      <c r="J144" s="1" t="str">
        <f>IFERROR(__xludf.DUMMYFUNCTION("""COMPUTED_VALUE"""),"2022-07-04T11:09:50.065Z")</f>
        <v>2022-07-04T11:09:50.065Z</v>
      </c>
      <c r="K144" s="1"/>
    </row>
    <row r="145">
      <c r="A145" s="2" t="str">
        <f>IFERROR(__xludf.DUMMYFUNCTION("""COMPUTED_VALUE"""),"https://www.facebook.com/luz.baldoz")</f>
        <v>https://www.facebook.com/luz.baldoz</v>
      </c>
      <c r="B145" s="1" t="str">
        <f>IFERROR(__xludf.DUMMYFUNCTION("""COMPUTED_VALUE"""),"Luz Abad")</f>
        <v>Luz Abad</v>
      </c>
      <c r="C145" s="1" t="str">
        <f>IFERROR(__xludf.DUMMYFUNCTION("""COMPUTED_VALUE"""),"Luz")</f>
        <v>Luz</v>
      </c>
      <c r="D145" s="1" t="str">
        <f>IFERROR(__xludf.DUMMYFUNCTION("""COMPUTED_VALUE"""),"Abad")</f>
        <v>Abad</v>
      </c>
      <c r="E145" s="1" t="str">
        <f>IFERROR(__xludf.DUMMYFUNCTION("""COMPUTED_VALUE"""),"Two great women making great history.")</f>
        <v>Two great women making great history.</v>
      </c>
      <c r="F145" s="1">
        <f>IFERROR(__xludf.DUMMYFUNCTION("""COMPUTED_VALUE"""),3.0)</f>
        <v>3</v>
      </c>
      <c r="G145" s="1" t="str">
        <f>IFERROR(__xludf.DUMMYFUNCTION("""COMPUTED_VALUE"""),"3 mos")</f>
        <v>3 mos</v>
      </c>
      <c r="H145" s="1" t="str">
        <f>IFERROR(__xludf.DUMMYFUNCTION("""COMPUTED_VALUE"""),"comment")</f>
        <v>comment</v>
      </c>
      <c r="I145" s="2" t="str">
        <f>IFERROR(__xludf.DUMMYFUNCTION("""COMPUTED_VALUE"""),"https://www.facebook.com/rapplerdotcom/photos/a.317154781638645/5598220220198715/")</f>
        <v>https://www.facebook.com/rapplerdotcom/photos/a.317154781638645/5598220220198715/</v>
      </c>
      <c r="J145" s="1" t="str">
        <f>IFERROR(__xludf.DUMMYFUNCTION("""COMPUTED_VALUE"""),"2022-07-04T11:09:50.065Z")</f>
        <v>2022-07-04T11:09:50.065Z</v>
      </c>
      <c r="K145" s="1"/>
    </row>
    <row r="146">
      <c r="A146" s="2" t="str">
        <f>IFERROR(__xludf.DUMMYFUNCTION("""COMPUTED_VALUE"""),"https://www.facebook.com/Novie.furry.godmama")</f>
        <v>https://www.facebook.com/Novie.furry.godmama</v>
      </c>
      <c r="B146" s="1" t="str">
        <f>IFERROR(__xludf.DUMMYFUNCTION("""COMPUTED_VALUE"""),"Novie GA")</f>
        <v>Novie GA</v>
      </c>
      <c r="C146" s="1" t="str">
        <f>IFERROR(__xludf.DUMMYFUNCTION("""COMPUTED_VALUE"""),"Novie")</f>
        <v>Novie</v>
      </c>
      <c r="D146" s="1" t="str">
        <f>IFERROR(__xludf.DUMMYFUNCTION("""COMPUTED_VALUE"""),"GA")</f>
        <v>GA</v>
      </c>
      <c r="E146" s="1" t="str">
        <f>IFERROR(__xludf.DUMMYFUNCTION("""COMPUTED_VALUE"""),"Very dignified. Very presidential. #LeniForPresident2022")</f>
        <v>Very dignified. Very presidential. #LeniForPresident2022</v>
      </c>
      <c r="F146" s="1">
        <f>IFERROR(__xludf.DUMMYFUNCTION("""COMPUTED_VALUE"""),107.0)</f>
        <v>107</v>
      </c>
      <c r="G146" s="1" t="str">
        <f>IFERROR(__xludf.DUMMYFUNCTION("""COMPUTED_VALUE"""),"3 mos")</f>
        <v>3 mos</v>
      </c>
      <c r="H146" s="1" t="str">
        <f>IFERROR(__xludf.DUMMYFUNCTION("""COMPUTED_VALUE"""),"comment")</f>
        <v>comment</v>
      </c>
      <c r="I146" s="2" t="str">
        <f>IFERROR(__xludf.DUMMYFUNCTION("""COMPUTED_VALUE"""),"https://www.facebook.com/rapplerdotcom/photos/a.317154781638645/5598220220198715/")</f>
        <v>https://www.facebook.com/rapplerdotcom/photos/a.317154781638645/5598220220198715/</v>
      </c>
      <c r="J146" s="1" t="str">
        <f>IFERROR(__xludf.DUMMYFUNCTION("""COMPUTED_VALUE"""),"2022-07-04T11:09:50.065Z")</f>
        <v>2022-07-04T11:09:50.065Z</v>
      </c>
      <c r="K146" s="1"/>
    </row>
    <row r="147">
      <c r="A147" s="2" t="str">
        <f>IFERROR(__xludf.DUMMYFUNCTION("""COMPUTED_VALUE"""),"https://www.facebook.com/profile.php?id=100011526405374")</f>
        <v>https://www.facebook.com/profile.php?id=100011526405374</v>
      </c>
      <c r="B147" s="1" t="str">
        <f>IFERROR(__xludf.DUMMYFUNCTION("""COMPUTED_VALUE"""),"Maria Cecilia")</f>
        <v>Maria Cecilia</v>
      </c>
      <c r="C147" s="1" t="str">
        <f>IFERROR(__xludf.DUMMYFUNCTION("""COMPUTED_VALUE"""),"Maria")</f>
        <v>Maria</v>
      </c>
      <c r="D147" s="1" t="str">
        <f>IFERROR(__xludf.DUMMYFUNCTION("""COMPUTED_VALUE"""),"Cecilia")</f>
        <v>Cecilia</v>
      </c>
      <c r="E147" s="1" t="str">
        <f>IFERROR(__xludf.DUMMYFUNCTION("""COMPUTED_VALUE"""),"2 Women that stand firm to what is right even it takes their own life at risk.")</f>
        <v>2 Women that stand firm to what is right even it takes their own life at risk.</v>
      </c>
      <c r="F147" s="1">
        <f>IFERROR(__xludf.DUMMYFUNCTION("""COMPUTED_VALUE"""),204.0)</f>
        <v>204</v>
      </c>
      <c r="G147" s="1" t="str">
        <f>IFERROR(__xludf.DUMMYFUNCTION("""COMPUTED_VALUE"""),"3 mos")</f>
        <v>3 mos</v>
      </c>
      <c r="H147" s="1" t="str">
        <f>IFERROR(__xludf.DUMMYFUNCTION("""COMPUTED_VALUE"""),"comment")</f>
        <v>comment</v>
      </c>
      <c r="I147" s="2" t="str">
        <f>IFERROR(__xludf.DUMMYFUNCTION("""COMPUTED_VALUE"""),"https://www.facebook.com/rapplerdotcom/photos/a.317154781638645/5598220220198715/")</f>
        <v>https://www.facebook.com/rapplerdotcom/photos/a.317154781638645/5598220220198715/</v>
      </c>
      <c r="J147" s="1" t="str">
        <f>IFERROR(__xludf.DUMMYFUNCTION("""COMPUTED_VALUE"""),"2022-07-04T11:09:50.065Z")</f>
        <v>2022-07-04T11:09:50.065Z</v>
      </c>
      <c r="K147" s="1"/>
    </row>
    <row r="148">
      <c r="A148" s="2" t="str">
        <f>IFERROR(__xludf.DUMMYFUNCTION("""COMPUTED_VALUE"""),"https://www.facebook.com/profile.php?id=100079089531211")</f>
        <v>https://www.facebook.com/profile.php?id=100079089531211</v>
      </c>
      <c r="B148" s="1" t="str">
        <f>IFERROR(__xludf.DUMMYFUNCTION("""COMPUTED_VALUE"""),"Judy B Lusa")</f>
        <v>Judy B Lusa</v>
      </c>
      <c r="C148" s="1" t="str">
        <f>IFERROR(__xludf.DUMMYFUNCTION("""COMPUTED_VALUE"""),"Judy")</f>
        <v>Judy</v>
      </c>
      <c r="D148" s="1" t="str">
        <f>IFERROR(__xludf.DUMMYFUNCTION("""COMPUTED_VALUE"""),"B Lusa")</f>
        <v>B Lusa</v>
      </c>
      <c r="E148" s="1" t="str">
        <f>IFERROR(__xludf.DUMMYFUNCTION("""COMPUTED_VALUE"""),"Maria Cecilia yes their OWN life at risk")</f>
        <v>Maria Cecilia yes their OWN life at risk</v>
      </c>
      <c r="F148" s="1">
        <f>IFERROR(__xludf.DUMMYFUNCTION("""COMPUTED_VALUE"""),1.0)</f>
        <v>1</v>
      </c>
      <c r="G148" s="1" t="str">
        <f>IFERROR(__xludf.DUMMYFUNCTION("""COMPUTED_VALUE"""),"3 mos")</f>
        <v>3 mos</v>
      </c>
      <c r="H148" s="1" t="str">
        <f>IFERROR(__xludf.DUMMYFUNCTION("""COMPUTED_VALUE"""),"reply")</f>
        <v>reply</v>
      </c>
      <c r="I148" s="2" t="str">
        <f>IFERROR(__xludf.DUMMYFUNCTION("""COMPUTED_VALUE"""),"https://www.facebook.com/rapplerdotcom/photos/a.317154781638645/5598220220198715/")</f>
        <v>https://www.facebook.com/rapplerdotcom/photos/a.317154781638645/5598220220198715/</v>
      </c>
      <c r="J148" s="1" t="str">
        <f>IFERROR(__xludf.DUMMYFUNCTION("""COMPUTED_VALUE"""),"2022-07-04T11:09:50.065Z")</f>
        <v>2022-07-04T11:09:50.065Z</v>
      </c>
      <c r="K148" s="1"/>
    </row>
    <row r="149">
      <c r="A149" s="2" t="str">
        <f>IFERROR(__xludf.DUMMYFUNCTION("""COMPUTED_VALUE"""),"https://www.facebook.com/messengah")</f>
        <v>https://www.facebook.com/messengah</v>
      </c>
      <c r="B149" s="1" t="str">
        <f>IFERROR(__xludf.DUMMYFUNCTION("""COMPUTED_VALUE"""),"Andrew Pagador")</f>
        <v>Andrew Pagador</v>
      </c>
      <c r="C149" s="1" t="str">
        <f>IFERROR(__xludf.DUMMYFUNCTION("""COMPUTED_VALUE"""),"Andrew")</f>
        <v>Andrew</v>
      </c>
      <c r="D149" s="1" t="str">
        <f>IFERROR(__xludf.DUMMYFUNCTION("""COMPUTED_VALUE"""),"Pagador")</f>
        <v>Pagador</v>
      </c>
      <c r="E149" s="1" t="str">
        <f>IFERROR(__xludf.DUMMYFUNCTION("""COMPUTED_VALUE"""),"Maria Cecilia those who haha reaction doesn’t want a better tomorrow. Smh 🤦🏻‍♂️")</f>
        <v>Maria Cecilia those who haha reaction doesn’t want a better tomorrow. Smh 🤦🏻‍♂️</v>
      </c>
      <c r="F149" s="1">
        <f>IFERROR(__xludf.DUMMYFUNCTION("""COMPUTED_VALUE"""),7.0)</f>
        <v>7</v>
      </c>
      <c r="G149" s="1" t="str">
        <f>IFERROR(__xludf.DUMMYFUNCTION("""COMPUTED_VALUE"""),"3 mos")</f>
        <v>3 mos</v>
      </c>
      <c r="H149" s="1" t="str">
        <f>IFERROR(__xludf.DUMMYFUNCTION("""COMPUTED_VALUE"""),"reply")</f>
        <v>reply</v>
      </c>
      <c r="I149" s="2" t="str">
        <f>IFERROR(__xludf.DUMMYFUNCTION("""COMPUTED_VALUE"""),"https://www.facebook.com/rapplerdotcom/photos/a.317154781638645/5598220220198715/")</f>
        <v>https://www.facebook.com/rapplerdotcom/photos/a.317154781638645/5598220220198715/</v>
      </c>
      <c r="J149" s="1" t="str">
        <f>IFERROR(__xludf.DUMMYFUNCTION("""COMPUTED_VALUE"""),"2022-07-04T11:09:50.065Z")</f>
        <v>2022-07-04T11:09:50.065Z</v>
      </c>
      <c r="K149" s="1"/>
    </row>
    <row r="150">
      <c r="A150" s="2" t="str">
        <f>IFERROR(__xludf.DUMMYFUNCTION("""COMPUTED_VALUE"""),"https://www.facebook.com/deadinsidemychest")</f>
        <v>https://www.facebook.com/deadinsidemychest</v>
      </c>
      <c r="B150" s="1" t="str">
        <f>IFERROR(__xludf.DUMMYFUNCTION("""COMPUTED_VALUE"""),"Albert Castro")</f>
        <v>Albert Castro</v>
      </c>
      <c r="C150" s="1" t="str">
        <f>IFERROR(__xludf.DUMMYFUNCTION("""COMPUTED_VALUE"""),"Albert")</f>
        <v>Albert</v>
      </c>
      <c r="D150" s="1" t="str">
        <f>IFERROR(__xludf.DUMMYFUNCTION("""COMPUTED_VALUE"""),"Castro")</f>
        <v>Castro</v>
      </c>
      <c r="E150" s="1" t="str">
        <f>IFERROR(__xludf.DUMMYFUNCTION("""COMPUTED_VALUE"""),"Andrew Pagador sino pinaglololoko mo?")</f>
        <v>Andrew Pagador sino pinaglololoko mo?</v>
      </c>
      <c r="F150" s="1">
        <f>IFERROR(__xludf.DUMMYFUNCTION("""COMPUTED_VALUE"""),1.0)</f>
        <v>1</v>
      </c>
      <c r="G150" s="1" t="str">
        <f>IFERROR(__xludf.DUMMYFUNCTION("""COMPUTED_VALUE"""),"3 mos")</f>
        <v>3 mos</v>
      </c>
      <c r="H150" s="1" t="str">
        <f>IFERROR(__xludf.DUMMYFUNCTION("""COMPUTED_VALUE"""),"reply")</f>
        <v>reply</v>
      </c>
      <c r="I150" s="2" t="str">
        <f>IFERROR(__xludf.DUMMYFUNCTION("""COMPUTED_VALUE"""),"https://www.facebook.com/rapplerdotcom/photos/a.317154781638645/5598220220198715/")</f>
        <v>https://www.facebook.com/rapplerdotcom/photos/a.317154781638645/5598220220198715/</v>
      </c>
      <c r="J150" s="1" t="str">
        <f>IFERROR(__xludf.DUMMYFUNCTION("""COMPUTED_VALUE"""),"2022-07-04T11:09:50.065Z")</f>
        <v>2022-07-04T11:09:50.065Z</v>
      </c>
      <c r="K150" s="1"/>
    </row>
    <row r="151">
      <c r="A151" s="2" t="str">
        <f>IFERROR(__xludf.DUMMYFUNCTION("""COMPUTED_VALUE"""),"https://www.facebook.com/antonio.banaga.20")</f>
        <v>https://www.facebook.com/antonio.banaga.20</v>
      </c>
      <c r="B151" s="1" t="str">
        <f>IFERROR(__xludf.DUMMYFUNCTION("""COMPUTED_VALUE"""),"Antonio Fernandez Bañaga")</f>
        <v>Antonio Fernandez Bañaga</v>
      </c>
      <c r="C151" s="1" t="str">
        <f>IFERROR(__xludf.DUMMYFUNCTION("""COMPUTED_VALUE"""),"Antonio")</f>
        <v>Antonio</v>
      </c>
      <c r="D151" s="1" t="str">
        <f>IFERROR(__xludf.DUMMYFUNCTION("""COMPUTED_VALUE"""),"Fernandez Bañaga")</f>
        <v>Fernandez Bañaga</v>
      </c>
      <c r="E151" s="1" t="str">
        <f>IFERROR(__xludf.DUMMYFUNCTION("""COMPUTED_VALUE"""),"Two fearless women Dignified!!")</f>
        <v>Two fearless women Dignified!!</v>
      </c>
      <c r="F151" s="1">
        <f>IFERROR(__xludf.DUMMYFUNCTION("""COMPUTED_VALUE"""),104.0)</f>
        <v>104</v>
      </c>
      <c r="G151" s="1" t="str">
        <f>IFERROR(__xludf.DUMMYFUNCTION("""COMPUTED_VALUE"""),"3 mos")</f>
        <v>3 mos</v>
      </c>
      <c r="H151" s="1" t="str">
        <f>IFERROR(__xludf.DUMMYFUNCTION("""COMPUTED_VALUE"""),"comment")</f>
        <v>comment</v>
      </c>
      <c r="I151" s="2" t="str">
        <f>IFERROR(__xludf.DUMMYFUNCTION("""COMPUTED_VALUE"""),"https://www.facebook.com/rapplerdotcom/photos/a.317154781638645/5598220220198715/")</f>
        <v>https://www.facebook.com/rapplerdotcom/photos/a.317154781638645/5598220220198715/</v>
      </c>
      <c r="J151" s="1" t="str">
        <f>IFERROR(__xludf.DUMMYFUNCTION("""COMPUTED_VALUE"""),"2022-07-04T11:09:50.065Z")</f>
        <v>2022-07-04T11:09:50.065Z</v>
      </c>
      <c r="K151" s="1"/>
    </row>
    <row r="152">
      <c r="A152" s="2" t="str">
        <f>IFERROR(__xludf.DUMMYFUNCTION("""COMPUTED_VALUE"""),"https://www.facebook.com/bechabye")</f>
        <v>https://www.facebook.com/bechabye</v>
      </c>
      <c r="B152" s="1" t="str">
        <f>IFERROR(__xludf.DUMMYFUNCTION("""COMPUTED_VALUE"""),"Beth Sebastian Salazar")</f>
        <v>Beth Sebastian Salazar</v>
      </c>
      <c r="C152" s="1" t="str">
        <f>IFERROR(__xludf.DUMMYFUNCTION("""COMPUTED_VALUE"""),"Beth")</f>
        <v>Beth</v>
      </c>
      <c r="D152" s="1" t="str">
        <f>IFERROR(__xludf.DUMMYFUNCTION("""COMPUTED_VALUE"""),"Sebastian Salazar")</f>
        <v>Sebastian Salazar</v>
      </c>
      <c r="E152" s="1" t="str">
        <f>IFERROR(__xludf.DUMMYFUNCTION("""COMPUTED_VALUE"""),"Two great Filipinos .....wow awesome. Mabuhay kayo.")</f>
        <v>Two great Filipinos .....wow awesome. Mabuhay kayo.</v>
      </c>
      <c r="F152" s="1">
        <f>IFERROR(__xludf.DUMMYFUNCTION("""COMPUTED_VALUE"""),45.0)</f>
        <v>45</v>
      </c>
      <c r="G152" s="1" t="str">
        <f>IFERROR(__xludf.DUMMYFUNCTION("""COMPUTED_VALUE"""),"3 mos")</f>
        <v>3 mos</v>
      </c>
      <c r="H152" s="1" t="str">
        <f>IFERROR(__xludf.DUMMYFUNCTION("""COMPUTED_VALUE"""),"comment")</f>
        <v>comment</v>
      </c>
      <c r="I152" s="2" t="str">
        <f>IFERROR(__xludf.DUMMYFUNCTION("""COMPUTED_VALUE"""),"https://www.facebook.com/rapplerdotcom/photos/a.317154781638645/5598220220198715/")</f>
        <v>https://www.facebook.com/rapplerdotcom/photos/a.317154781638645/5598220220198715/</v>
      </c>
      <c r="J152" s="1" t="str">
        <f>IFERROR(__xludf.DUMMYFUNCTION("""COMPUTED_VALUE"""),"2022-07-04T11:09:50.065Z")</f>
        <v>2022-07-04T11:09:50.065Z</v>
      </c>
      <c r="K152" s="1"/>
    </row>
    <row r="153">
      <c r="A153" s="2" t="str">
        <f>IFERROR(__xludf.DUMMYFUNCTION("""COMPUTED_VALUE"""),"https://www.facebook.com/meann.garcia.brubelle")</f>
        <v>https://www.facebook.com/meann.garcia.brubelle</v>
      </c>
      <c r="B153" s="1" t="str">
        <f>IFERROR(__xludf.DUMMYFUNCTION("""COMPUTED_VALUE"""),"Me'anne Gangcuangco Garcia")</f>
        <v>Me'anne Gangcuangco Garcia</v>
      </c>
      <c r="C153" s="1" t="str">
        <f>IFERROR(__xludf.DUMMYFUNCTION("""COMPUTED_VALUE"""),"Me'anne")</f>
        <v>Me'anne</v>
      </c>
      <c r="D153" s="1" t="str">
        <f>IFERROR(__xludf.DUMMYFUNCTION("""COMPUTED_VALUE"""),"Gangcuangco Garcia")</f>
        <v>Gangcuangco Garcia</v>
      </c>
      <c r="E153" s="1" t="str">
        <f>IFERROR(__xludf.DUMMYFUNCTION("""COMPUTED_VALUE"""),"Women of Substance &gt; so so proud of you both!!!")</f>
        <v>Women of Substance &gt; so so proud of you both!!!</v>
      </c>
      <c r="F153" s="1">
        <f>IFERROR(__xludf.DUMMYFUNCTION("""COMPUTED_VALUE"""),35.0)</f>
        <v>35</v>
      </c>
      <c r="G153" s="1" t="str">
        <f>IFERROR(__xludf.DUMMYFUNCTION("""COMPUTED_VALUE"""),"3 mos")</f>
        <v>3 mos</v>
      </c>
      <c r="H153" s="1" t="str">
        <f>IFERROR(__xludf.DUMMYFUNCTION("""COMPUTED_VALUE"""),"comment")</f>
        <v>comment</v>
      </c>
      <c r="I153" s="2" t="str">
        <f>IFERROR(__xludf.DUMMYFUNCTION("""COMPUTED_VALUE"""),"https://www.facebook.com/rapplerdotcom/photos/a.317154781638645/5598220220198715/")</f>
        <v>https://www.facebook.com/rapplerdotcom/photos/a.317154781638645/5598220220198715/</v>
      </c>
      <c r="J153" s="1" t="str">
        <f>IFERROR(__xludf.DUMMYFUNCTION("""COMPUTED_VALUE"""),"2022-07-04T11:09:50.065Z")</f>
        <v>2022-07-04T11:09:50.065Z</v>
      </c>
      <c r="K153" s="1"/>
    </row>
    <row r="154">
      <c r="A154" s="2" t="str">
        <f>IFERROR(__xludf.DUMMYFUNCTION("""COMPUTED_VALUE"""),"https://www.facebook.com/irene.s.mangubat")</f>
        <v>https://www.facebook.com/irene.s.mangubat</v>
      </c>
      <c r="B154" s="1" t="str">
        <f>IFERROR(__xludf.DUMMYFUNCTION("""COMPUTED_VALUE"""),"Irene Sanchez Mangubat")</f>
        <v>Irene Sanchez Mangubat</v>
      </c>
      <c r="C154" s="1" t="str">
        <f>IFERROR(__xludf.DUMMYFUNCTION("""COMPUTED_VALUE"""),"Irene")</f>
        <v>Irene</v>
      </c>
      <c r="D154" s="1" t="str">
        <f>IFERROR(__xludf.DUMMYFUNCTION("""COMPUTED_VALUE"""),"Sanchez Mangubat")</f>
        <v>Sanchez Mangubat</v>
      </c>
      <c r="E154" s="1" t="str">
        <f>IFERROR(__xludf.DUMMYFUNCTION("""COMPUTED_VALUE"""),"Two amazing women, pride of our country. 🙏❤🙏")</f>
        <v>Two amazing women, pride of our country. 🙏❤🙏</v>
      </c>
      <c r="F154" s="1">
        <f>IFERROR(__xludf.DUMMYFUNCTION("""COMPUTED_VALUE"""),14.0)</f>
        <v>14</v>
      </c>
      <c r="G154" s="1" t="str">
        <f>IFERROR(__xludf.DUMMYFUNCTION("""COMPUTED_VALUE"""),"3 mos")</f>
        <v>3 mos</v>
      </c>
      <c r="H154" s="1" t="str">
        <f>IFERROR(__xludf.DUMMYFUNCTION("""COMPUTED_VALUE"""),"comment")</f>
        <v>comment</v>
      </c>
      <c r="I154" s="2" t="str">
        <f>IFERROR(__xludf.DUMMYFUNCTION("""COMPUTED_VALUE"""),"https://www.facebook.com/rapplerdotcom/photos/a.317154781638645/5598220220198715/")</f>
        <v>https://www.facebook.com/rapplerdotcom/photos/a.317154781638645/5598220220198715/</v>
      </c>
      <c r="J154" s="1" t="str">
        <f>IFERROR(__xludf.DUMMYFUNCTION("""COMPUTED_VALUE"""),"2022-07-04T11:09:50.065Z")</f>
        <v>2022-07-04T11:09:50.065Z</v>
      </c>
      <c r="K154" s="1"/>
    </row>
    <row r="155">
      <c r="A155" s="2" t="str">
        <f>IFERROR(__xludf.DUMMYFUNCTION("""COMPUTED_VALUE"""),"https://www.facebook.com/jolly.amaf")</f>
        <v>https://www.facebook.com/jolly.amaf</v>
      </c>
      <c r="B155" s="1" t="str">
        <f>IFERROR(__xludf.DUMMYFUNCTION("""COMPUTED_VALUE"""),"Yeoj B Mafa")</f>
        <v>Yeoj B Mafa</v>
      </c>
      <c r="C155" s="1" t="str">
        <f>IFERROR(__xludf.DUMMYFUNCTION("""COMPUTED_VALUE"""),"Yeoj")</f>
        <v>Yeoj</v>
      </c>
      <c r="D155" s="1" t="str">
        <f>IFERROR(__xludf.DUMMYFUNCTION("""COMPUTED_VALUE"""),"B Mafa")</f>
        <v>B Mafa</v>
      </c>
      <c r="E155" s="1" t="str">
        <f>IFERROR(__xludf.DUMMYFUNCTION("""COMPUTED_VALUE"""),"Two dignified women who stand for truth, justice and good governance.  Epitome of women empowerment. You are the face of the future, salute to you both and to all women for that matter.💕🎀❤🌷🌹⚘💐")</f>
        <v>Two dignified women who stand for truth, justice and good governance.  Epitome of women empowerment. You are the face of the future, salute to you both and to all women for that matter.💕🎀❤🌷🌹⚘💐</v>
      </c>
      <c r="F155" s="1">
        <f>IFERROR(__xludf.DUMMYFUNCTION("""COMPUTED_VALUE"""),82.0)</f>
        <v>82</v>
      </c>
      <c r="G155" s="1" t="str">
        <f>IFERROR(__xludf.DUMMYFUNCTION("""COMPUTED_VALUE"""),"3 mos")</f>
        <v>3 mos</v>
      </c>
      <c r="H155" s="1" t="str">
        <f>IFERROR(__xludf.DUMMYFUNCTION("""COMPUTED_VALUE"""),"comment")</f>
        <v>comment</v>
      </c>
      <c r="I155" s="2" t="str">
        <f>IFERROR(__xludf.DUMMYFUNCTION("""COMPUTED_VALUE"""),"https://www.facebook.com/rapplerdotcom/photos/a.317154781638645/5598220220198715/")</f>
        <v>https://www.facebook.com/rapplerdotcom/photos/a.317154781638645/5598220220198715/</v>
      </c>
      <c r="J155" s="1" t="str">
        <f>IFERROR(__xludf.DUMMYFUNCTION("""COMPUTED_VALUE"""),"2022-07-04T11:09:50.065Z")</f>
        <v>2022-07-04T11:09:50.065Z</v>
      </c>
      <c r="K155" s="1"/>
    </row>
    <row r="156">
      <c r="A156" s="2" t="str">
        <f>IFERROR(__xludf.DUMMYFUNCTION("""COMPUTED_VALUE"""),"https://www.facebook.com/ventura.mariejane")</f>
        <v>https://www.facebook.com/ventura.mariejane</v>
      </c>
      <c r="B156" s="1" t="str">
        <f>IFERROR(__xludf.DUMMYFUNCTION("""COMPUTED_VALUE"""),"Jane Maltu Ventura")</f>
        <v>Jane Maltu Ventura</v>
      </c>
      <c r="C156" s="1" t="str">
        <f>IFERROR(__xludf.DUMMYFUNCTION("""COMPUTED_VALUE"""),"Jane")</f>
        <v>Jane</v>
      </c>
      <c r="D156" s="1" t="str">
        <f>IFERROR(__xludf.DUMMYFUNCTION("""COMPUTED_VALUE"""),"Maltu Ventura")</f>
        <v>Maltu Ventura</v>
      </c>
      <c r="E156" s="1" t="str">
        <f>IFERROR(__xludf.DUMMYFUNCTION("""COMPUTED_VALUE"""),"Women Empowerment. For better Philippines  The best Man for the job is a Woman 👠👠 #IpanaloNa10To #LeniKiko2022 #10RobredoForPresident  #7KikoPangilinanVicePresident  #TrillanesForSenator2022  #LeilaDeLima2022  #RisaHontiveros2022  #SonnyMatula2022  #Ale"&amp;"xLacson2022  #ChelDioknoSaSenado  #DickGordon #NeriComenares #AngatBuhayLahat #KulayRosasAngBukas  #GobyernongTapatAngatBuhayLahat  #HelloPagkainGoodbyeGutom")</f>
        <v>Women Empowerment. For better Philippines  The best Man for the job is a Woman 👠👠 #IpanaloNa10To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v>
      </c>
      <c r="F156" s="1">
        <f>IFERROR(__xludf.DUMMYFUNCTION("""COMPUTED_VALUE"""),1.0)</f>
        <v>1</v>
      </c>
      <c r="G156" s="1" t="str">
        <f>IFERROR(__xludf.DUMMYFUNCTION("""COMPUTED_VALUE"""),"3 mos")</f>
        <v>3 mos</v>
      </c>
      <c r="H156" s="1" t="str">
        <f>IFERROR(__xludf.DUMMYFUNCTION("""COMPUTED_VALUE"""),"comment")</f>
        <v>comment</v>
      </c>
      <c r="I156" s="2" t="str">
        <f>IFERROR(__xludf.DUMMYFUNCTION("""COMPUTED_VALUE"""),"https://www.facebook.com/rapplerdotcom/photos/a.317154781638645/5598220220198715/")</f>
        <v>https://www.facebook.com/rapplerdotcom/photos/a.317154781638645/5598220220198715/</v>
      </c>
      <c r="J156" s="1" t="str">
        <f>IFERROR(__xludf.DUMMYFUNCTION("""COMPUTED_VALUE"""),"2022-07-04T11:09:50.065Z")</f>
        <v>2022-07-04T11:09:50.065Z</v>
      </c>
      <c r="K156" s="1"/>
    </row>
    <row r="157">
      <c r="A157" s="2" t="str">
        <f>IFERROR(__xludf.DUMMYFUNCTION("""COMPUTED_VALUE"""),"https://www.facebook.com/olracyer.nadneba.3")</f>
        <v>https://www.facebook.com/olracyer.nadneba.3</v>
      </c>
      <c r="B157" s="1" t="str">
        <f>IFERROR(__xludf.DUMMYFUNCTION("""COMPUTED_VALUE"""),"Olrac Yer Nadneba")</f>
        <v>Olrac Yer Nadneba</v>
      </c>
      <c r="C157" s="1" t="str">
        <f>IFERROR(__xludf.DUMMYFUNCTION("""COMPUTED_VALUE"""),"Olrac")</f>
        <v>Olrac</v>
      </c>
      <c r="D157" s="1" t="str">
        <f>IFERROR(__xludf.DUMMYFUNCTION("""COMPUTED_VALUE"""),"Yer Nadneba")</f>
        <v>Yer Nadneba</v>
      </c>
      <c r="E157" s="1" t="str">
        <f>IFERROR(__xludf.DUMMYFUNCTION("""COMPUTED_VALUE"""),"Wag niyong gawing biro yan dahil pagdating naman ng 2015, hindi lang natin mapapabilis ang biyahe mula Baclaran hanggang Bacoor kundi madadagdagan din tayo ng tinatayong 250,000 na pasahero ang maisasakay kada araw dahil sa LRT Line 1 extension. At pag hi"&amp;"ndi ho nangyari ito, nandiyan po si Secretary Abaya na mangangasiwa ng proyektong to, dalawa na kaming magpapasagasa siguro sa tren.")</f>
        <v>Wag niyong gawing biro yan dahil pagdating naman ng 2015,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157" s="1">
        <f>IFERROR(__xludf.DUMMYFUNCTION("""COMPUTED_VALUE"""),5.0)</f>
        <v>5</v>
      </c>
      <c r="G157" s="1" t="str">
        <f>IFERROR(__xludf.DUMMYFUNCTION("""COMPUTED_VALUE"""),"3 mos")</f>
        <v>3 mos</v>
      </c>
      <c r="H157" s="1" t="str">
        <f>IFERROR(__xludf.DUMMYFUNCTION("""COMPUTED_VALUE"""),"comment")</f>
        <v>comment</v>
      </c>
      <c r="I157" s="2" t="str">
        <f>IFERROR(__xludf.DUMMYFUNCTION("""COMPUTED_VALUE"""),"https://www.facebook.com/rapplerdotcom/photos/a.317154781638645/5598220220198715/")</f>
        <v>https://www.facebook.com/rapplerdotcom/photos/a.317154781638645/5598220220198715/</v>
      </c>
      <c r="J157" s="1" t="str">
        <f>IFERROR(__xludf.DUMMYFUNCTION("""COMPUTED_VALUE"""),"2022-07-04T11:09:50.065Z")</f>
        <v>2022-07-04T11:09:50.065Z</v>
      </c>
      <c r="K157" s="1"/>
    </row>
    <row r="158">
      <c r="A158" s="2" t="str">
        <f>IFERROR(__xludf.DUMMYFUNCTION("""COMPUTED_VALUE"""),"https://www.facebook.com/frankanthony.pataueg.1")</f>
        <v>https://www.facebook.com/frankanthony.pataueg.1</v>
      </c>
      <c r="B158" s="1" t="str">
        <f>IFERROR(__xludf.DUMMYFUNCTION("""COMPUTED_VALUE"""),"Frank Anthony Pataueg")</f>
        <v>Frank Anthony Pataueg</v>
      </c>
      <c r="C158" s="1" t="str">
        <f>IFERROR(__xludf.DUMMYFUNCTION("""COMPUTED_VALUE"""),"Frank")</f>
        <v>Frank</v>
      </c>
      <c r="D158" s="1" t="str">
        <f>IFERROR(__xludf.DUMMYFUNCTION("""COMPUTED_VALUE"""),"Anthony Pataueg")</f>
        <v>Anthony Pataueg</v>
      </c>
      <c r="E158" s="1" t="str">
        <f>IFERROR(__xludf.DUMMYFUNCTION("""COMPUTED_VALUE"""),"Olrac Yer Nadneba 2015? Are you serious? It is already in the past!? What time are you in?? Kala q si vp Lrni ang lutang 😅😂🤣")</f>
        <v>Olrac Yer Nadneba 2015? Are you serious? It is already in the past!? What time are you in?? Kala q si vp Lrni ang lutang 😅😂🤣</v>
      </c>
      <c r="F158" s="1"/>
      <c r="G158" s="1" t="str">
        <f>IFERROR(__xludf.DUMMYFUNCTION("""COMPUTED_VALUE"""),"3 mos")</f>
        <v>3 mos</v>
      </c>
      <c r="H158" s="1" t="str">
        <f>IFERROR(__xludf.DUMMYFUNCTION("""COMPUTED_VALUE"""),"reply")</f>
        <v>reply</v>
      </c>
      <c r="I158" s="2" t="str">
        <f>IFERROR(__xludf.DUMMYFUNCTION("""COMPUTED_VALUE"""),"https://www.facebook.com/rapplerdotcom/photos/a.317154781638645/5598220220198715/")</f>
        <v>https://www.facebook.com/rapplerdotcom/photos/a.317154781638645/5598220220198715/</v>
      </c>
      <c r="J158" s="1" t="str">
        <f>IFERROR(__xludf.DUMMYFUNCTION("""COMPUTED_VALUE"""),"2022-07-04T11:09:50.065Z")</f>
        <v>2022-07-04T11:09:50.065Z</v>
      </c>
      <c r="K158" s="1"/>
    </row>
    <row r="159">
      <c r="A159" s="2" t="str">
        <f>IFERROR(__xludf.DUMMYFUNCTION("""COMPUTED_VALUE"""),"https://www.facebook.com/christinefamulagan")</f>
        <v>https://www.facebook.com/christinefamulagan</v>
      </c>
      <c r="B159" s="1" t="str">
        <f>IFERROR(__xludf.DUMMYFUNCTION("""COMPUTED_VALUE"""),"Tine Nagalumaf")</f>
        <v>Tine Nagalumaf</v>
      </c>
      <c r="C159" s="1" t="str">
        <f>IFERROR(__xludf.DUMMYFUNCTION("""COMPUTED_VALUE"""),"Tine")</f>
        <v>Tine</v>
      </c>
      <c r="D159" s="1" t="str">
        <f>IFERROR(__xludf.DUMMYFUNCTION("""COMPUTED_VALUE"""),"Nagalumaf")</f>
        <v>Nagalumaf</v>
      </c>
      <c r="E159" s="1" t="str">
        <f>IFERROR(__xludf.DUMMYFUNCTION("""COMPUTED_VALUE"""),"#LeniKiko2022  Empowered women for a better Philippines!")</f>
        <v>#LeniKiko2022  Empowered women for a better Philippines!</v>
      </c>
      <c r="F159" s="1">
        <f>IFERROR(__xludf.DUMMYFUNCTION("""COMPUTED_VALUE"""),11.0)</f>
        <v>11</v>
      </c>
      <c r="G159" s="1" t="str">
        <f>IFERROR(__xludf.DUMMYFUNCTION("""COMPUTED_VALUE"""),"3 mos")</f>
        <v>3 mos</v>
      </c>
      <c r="H159" s="1" t="str">
        <f>IFERROR(__xludf.DUMMYFUNCTION("""COMPUTED_VALUE"""),"comment")</f>
        <v>comment</v>
      </c>
      <c r="I159" s="2" t="str">
        <f>IFERROR(__xludf.DUMMYFUNCTION("""COMPUTED_VALUE"""),"https://www.facebook.com/rapplerdotcom/photos/a.317154781638645/5598220220198715/")</f>
        <v>https://www.facebook.com/rapplerdotcom/photos/a.317154781638645/5598220220198715/</v>
      </c>
      <c r="J159" s="1" t="str">
        <f>IFERROR(__xludf.DUMMYFUNCTION("""COMPUTED_VALUE"""),"2022-07-04T11:09:50.065Z")</f>
        <v>2022-07-04T11:09:50.065Z</v>
      </c>
      <c r="K159" s="1"/>
    </row>
    <row r="160">
      <c r="A160" s="2" t="str">
        <f>IFERROR(__xludf.DUMMYFUNCTION("""COMPUTED_VALUE"""),"https://www.facebook.com/amalia.ledesma.56")</f>
        <v>https://www.facebook.com/amalia.ledesma.56</v>
      </c>
      <c r="B160" s="1" t="str">
        <f>IFERROR(__xludf.DUMMYFUNCTION("""COMPUTED_VALUE"""),"Amalia Ledesma")</f>
        <v>Amalia Ledesma</v>
      </c>
      <c r="C160" s="1" t="str">
        <f>IFERROR(__xludf.DUMMYFUNCTION("""COMPUTED_VALUE"""),"Amalia")</f>
        <v>Amalia</v>
      </c>
      <c r="D160" s="1" t="str">
        <f>IFERROR(__xludf.DUMMYFUNCTION("""COMPUTED_VALUE"""),"Ledesma")</f>
        <v>Ledesma</v>
      </c>
      <c r="E160" s="1" t="str">
        <f>IFERROR(__xludf.DUMMYFUNCTION("""COMPUTED_VALUE"""),"A leader we can all be proud of, can represent us all anywhere in the world with dignity and integrity, for sure she will be welcomed by all!")</f>
        <v>A leader we can all be proud of, can represent us all anywhere in the world with dignity and integrity, for sure she will be welcomed by all!</v>
      </c>
      <c r="F160" s="1">
        <f>IFERROR(__xludf.DUMMYFUNCTION("""COMPUTED_VALUE"""),46.0)</f>
        <v>46</v>
      </c>
      <c r="G160" s="1" t="str">
        <f>IFERROR(__xludf.DUMMYFUNCTION("""COMPUTED_VALUE"""),"3 mos")</f>
        <v>3 mos</v>
      </c>
      <c r="H160" s="1" t="str">
        <f>IFERROR(__xludf.DUMMYFUNCTION("""COMPUTED_VALUE"""),"comment")</f>
        <v>comment</v>
      </c>
      <c r="I160" s="2" t="str">
        <f>IFERROR(__xludf.DUMMYFUNCTION("""COMPUTED_VALUE"""),"https://www.facebook.com/rapplerdotcom/photos/a.317154781638645/5598220220198715/")</f>
        <v>https://www.facebook.com/rapplerdotcom/photos/a.317154781638645/5598220220198715/</v>
      </c>
      <c r="J160" s="1" t="str">
        <f>IFERROR(__xludf.DUMMYFUNCTION("""COMPUTED_VALUE"""),"2022-07-04T11:09:50.065Z")</f>
        <v>2022-07-04T11:09:50.065Z</v>
      </c>
      <c r="K160" s="1"/>
    </row>
    <row r="161">
      <c r="A161" s="2" t="str">
        <f>IFERROR(__xludf.DUMMYFUNCTION("""COMPUTED_VALUE"""),"https://www.facebook.com/rosario.liang.9")</f>
        <v>https://www.facebook.com/rosario.liang.9</v>
      </c>
      <c r="B161" s="1" t="str">
        <f>IFERROR(__xludf.DUMMYFUNCTION("""COMPUTED_VALUE"""),"Rosario Liang")</f>
        <v>Rosario Liang</v>
      </c>
      <c r="C161" s="1" t="str">
        <f>IFERROR(__xludf.DUMMYFUNCTION("""COMPUTED_VALUE"""),"Rosario")</f>
        <v>Rosario</v>
      </c>
      <c r="D161" s="1" t="str">
        <f>IFERROR(__xludf.DUMMYFUNCTION("""COMPUTED_VALUE"""),"Liang")</f>
        <v>Liang</v>
      </c>
      <c r="E161" s="1" t="str">
        <f>IFERROR(__xludf.DUMMYFUNCTION("""COMPUTED_VALUE"""),"Amalia Ledesma not at all")</f>
        <v>Amalia Ledesma not at all</v>
      </c>
      <c r="F161" s="1"/>
      <c r="G161" s="1" t="str">
        <f>IFERROR(__xludf.DUMMYFUNCTION("""COMPUTED_VALUE"""),"3 mos")</f>
        <v>3 mos</v>
      </c>
      <c r="H161" s="1" t="str">
        <f>IFERROR(__xludf.DUMMYFUNCTION("""COMPUTED_VALUE"""),"reply")</f>
        <v>reply</v>
      </c>
      <c r="I161" s="2" t="str">
        <f>IFERROR(__xludf.DUMMYFUNCTION("""COMPUTED_VALUE"""),"https://www.facebook.com/rapplerdotcom/photos/a.317154781638645/5598220220198715/")</f>
        <v>https://www.facebook.com/rapplerdotcom/photos/a.317154781638645/5598220220198715/</v>
      </c>
      <c r="J161" s="1" t="str">
        <f>IFERROR(__xludf.DUMMYFUNCTION("""COMPUTED_VALUE"""),"2022-07-04T11:09:50.065Z")</f>
        <v>2022-07-04T11:09:50.065Z</v>
      </c>
      <c r="K161" s="1"/>
    </row>
    <row r="162">
      <c r="A162" s="2" t="str">
        <f>IFERROR(__xludf.DUMMYFUNCTION("""COMPUTED_VALUE"""),"https://www.facebook.com/sweetverni")</f>
        <v>https://www.facebook.com/sweetverni</v>
      </c>
      <c r="B162" s="1" t="str">
        <f>IFERROR(__xludf.DUMMYFUNCTION("""COMPUTED_VALUE"""),"Sweetverni Aces")</f>
        <v>Sweetverni Aces</v>
      </c>
      <c r="C162" s="1" t="str">
        <f>IFERROR(__xludf.DUMMYFUNCTION("""COMPUTED_VALUE"""),"Sweetverni")</f>
        <v>Sweetverni</v>
      </c>
      <c r="D162" s="1" t="str">
        <f>IFERROR(__xludf.DUMMYFUNCTION("""COMPUTED_VALUE"""),"Aces")</f>
        <v>Aces</v>
      </c>
      <c r="E162" s="1" t="str">
        <f>IFERROR(__xludf.DUMMYFUNCTION("""COMPUTED_VALUE"""),"Amalia Ledesma 🌸🌸🍀🍀I agree... indeed, stars are at their brightest in the darkest of nights.  Mga TALA NG PAG-ASA, not just for economic but also for MORAL RECOVERY... 🍀🍀🌸🌸 lenirobredo.com")</f>
        <v>Amalia Ledesma 🌸🌸🍀🍀I agree... indeed, stars are at their brightest in the darkest of nights.  Mga TALA NG PAG-ASA, not just for economic but also for MORAL RECOVERY... 🍀🍀🌸🌸 lenirobredo.com</v>
      </c>
      <c r="F162" s="1"/>
      <c r="G162" s="1" t="str">
        <f>IFERROR(__xludf.DUMMYFUNCTION("""COMPUTED_VALUE"""),"3 mos")</f>
        <v>3 mos</v>
      </c>
      <c r="H162" s="1" t="str">
        <f>IFERROR(__xludf.DUMMYFUNCTION("""COMPUTED_VALUE"""),"reply")</f>
        <v>reply</v>
      </c>
      <c r="I162" s="2" t="str">
        <f>IFERROR(__xludf.DUMMYFUNCTION("""COMPUTED_VALUE"""),"https://www.facebook.com/rapplerdotcom/photos/a.317154781638645/5598220220198715/")</f>
        <v>https://www.facebook.com/rapplerdotcom/photos/a.317154781638645/5598220220198715/</v>
      </c>
      <c r="J162" s="1" t="str">
        <f>IFERROR(__xludf.DUMMYFUNCTION("""COMPUTED_VALUE"""),"2022-07-04T11:09:50.065Z")</f>
        <v>2022-07-04T11:09:50.065Z</v>
      </c>
      <c r="K162" s="1"/>
    </row>
    <row r="163">
      <c r="A163" s="2" t="str">
        <f>IFERROR(__xludf.DUMMYFUNCTION("""COMPUTED_VALUE"""),"https://www.facebook.com/marilen.estaniel")</f>
        <v>https://www.facebook.com/marilen.estaniel</v>
      </c>
      <c r="B163" s="1" t="str">
        <f>IFERROR(__xludf.DUMMYFUNCTION("""COMPUTED_VALUE"""),"Marilen Reyes- Estaniel")</f>
        <v>Marilen Reyes- Estaniel</v>
      </c>
      <c r="C163" s="1" t="str">
        <f>IFERROR(__xludf.DUMMYFUNCTION("""COMPUTED_VALUE"""),"Marilen")</f>
        <v>Marilen</v>
      </c>
      <c r="D163" s="1" t="str">
        <f>IFERROR(__xludf.DUMMYFUNCTION("""COMPUTED_VALUE"""),"Reyes- Estaniel")</f>
        <v>Reyes- Estaniel</v>
      </c>
      <c r="E163" s="1" t="str">
        <f>IFERROR(__xludf.DUMMYFUNCTION("""COMPUTED_VALUE"""),"Both fearless, dignified, respectable, and have genuine love for our country.")</f>
        <v>Both fearless, dignified, respectable, and have genuine love for our country.</v>
      </c>
      <c r="F163" s="1">
        <f>IFERROR(__xludf.DUMMYFUNCTION("""COMPUTED_VALUE"""),41.0)</f>
        <v>41</v>
      </c>
      <c r="G163" s="1" t="str">
        <f>IFERROR(__xludf.DUMMYFUNCTION("""COMPUTED_VALUE"""),"3 mos")</f>
        <v>3 mos</v>
      </c>
      <c r="H163" s="1" t="str">
        <f>IFERROR(__xludf.DUMMYFUNCTION("""COMPUTED_VALUE"""),"comment")</f>
        <v>comment</v>
      </c>
      <c r="I163" s="2" t="str">
        <f>IFERROR(__xludf.DUMMYFUNCTION("""COMPUTED_VALUE"""),"https://www.facebook.com/rapplerdotcom/photos/a.317154781638645/5598220220198715/")</f>
        <v>https://www.facebook.com/rapplerdotcom/photos/a.317154781638645/5598220220198715/</v>
      </c>
      <c r="J163" s="1" t="str">
        <f>IFERROR(__xludf.DUMMYFUNCTION("""COMPUTED_VALUE"""),"2022-07-04T11:09:50.065Z")</f>
        <v>2022-07-04T11:09:50.065Z</v>
      </c>
      <c r="K163" s="1"/>
    </row>
    <row r="164">
      <c r="A164" s="2" t="str">
        <f>IFERROR(__xludf.DUMMYFUNCTION("""COMPUTED_VALUE"""),"https://www.facebook.com/profile.php?id=100079089531211")</f>
        <v>https://www.facebook.com/profile.php?id=100079089531211</v>
      </c>
      <c r="B164" s="1" t="str">
        <f>IFERROR(__xludf.DUMMYFUNCTION("""COMPUTED_VALUE"""),"Judy B Lusa")</f>
        <v>Judy B Lusa</v>
      </c>
      <c r="C164" s="1" t="str">
        <f>IFERROR(__xludf.DUMMYFUNCTION("""COMPUTED_VALUE"""),"Judy")</f>
        <v>Judy</v>
      </c>
      <c r="D164" s="1" t="str">
        <f>IFERROR(__xludf.DUMMYFUNCTION("""COMPUTED_VALUE"""),"B Lusa")</f>
        <v>B Lusa</v>
      </c>
      <c r="E164" s="1" t="str">
        <f>IFERROR(__xludf.DUMMYFUNCTION("""COMPUTED_VALUE"""),"Marilen Reyes- Estaniel Kay scripted gud why man ma scared")</f>
        <v>Marilen Reyes- Estaniel Kay scripted gud why man ma scared</v>
      </c>
      <c r="F164" s="1"/>
      <c r="G164" s="1" t="str">
        <f>IFERROR(__xludf.DUMMYFUNCTION("""COMPUTED_VALUE"""),"3 mos")</f>
        <v>3 mos</v>
      </c>
      <c r="H164" s="1" t="str">
        <f>IFERROR(__xludf.DUMMYFUNCTION("""COMPUTED_VALUE"""),"reply")</f>
        <v>reply</v>
      </c>
      <c r="I164" s="2" t="str">
        <f>IFERROR(__xludf.DUMMYFUNCTION("""COMPUTED_VALUE"""),"https://www.facebook.com/rapplerdotcom/photos/a.317154781638645/5598220220198715/")</f>
        <v>https://www.facebook.com/rapplerdotcom/photos/a.317154781638645/5598220220198715/</v>
      </c>
      <c r="J164" s="1" t="str">
        <f>IFERROR(__xludf.DUMMYFUNCTION("""COMPUTED_VALUE"""),"2022-07-04T11:09:50.065Z")</f>
        <v>2022-07-04T11:09:50.065Z</v>
      </c>
      <c r="K164" s="1"/>
    </row>
    <row r="165">
      <c r="A165" s="2" t="str">
        <f>IFERROR(__xludf.DUMMYFUNCTION("""COMPUTED_VALUE"""),"https://www.facebook.com/mais.korni.9")</f>
        <v>https://www.facebook.com/mais.korni.9</v>
      </c>
      <c r="B165" s="1" t="str">
        <f>IFERROR(__xludf.DUMMYFUNCTION("""COMPUTED_VALUE"""),"Badder Lee")</f>
        <v>Badder Lee</v>
      </c>
      <c r="C165" s="1" t="str">
        <f>IFERROR(__xludf.DUMMYFUNCTION("""COMPUTED_VALUE"""),"Badder")</f>
        <v>Badder</v>
      </c>
      <c r="D165" s="1" t="str">
        <f>IFERROR(__xludf.DUMMYFUNCTION("""COMPUTED_VALUE"""),"Lee")</f>
        <v>Lee</v>
      </c>
      <c r="E165" s="1" t="str">
        <f>IFERROR(__xludf.DUMMYFUNCTION("""COMPUTED_VALUE"""),"Marilen Reyes- Estaniel both fearless, both dignified, both US Funded")</f>
        <v>Marilen Reyes- Estaniel both fearless, both dignified, both US Funded</v>
      </c>
      <c r="F165" s="1"/>
      <c r="G165" s="1" t="str">
        <f>IFERROR(__xludf.DUMMYFUNCTION("""COMPUTED_VALUE"""),"3 mos")</f>
        <v>3 mos</v>
      </c>
      <c r="H165" s="1" t="str">
        <f>IFERROR(__xludf.DUMMYFUNCTION("""COMPUTED_VALUE"""),"reply")</f>
        <v>reply</v>
      </c>
      <c r="I165" s="2" t="str">
        <f>IFERROR(__xludf.DUMMYFUNCTION("""COMPUTED_VALUE"""),"https://www.facebook.com/rapplerdotcom/photos/a.317154781638645/5598220220198715/")</f>
        <v>https://www.facebook.com/rapplerdotcom/photos/a.317154781638645/5598220220198715/</v>
      </c>
      <c r="J165" s="1" t="str">
        <f>IFERROR(__xludf.DUMMYFUNCTION("""COMPUTED_VALUE"""),"2022-07-04T11:09:50.065Z")</f>
        <v>2022-07-04T11:09:50.065Z</v>
      </c>
      <c r="K165" s="1"/>
    </row>
    <row r="166">
      <c r="A166" s="2" t="str">
        <f>IFERROR(__xludf.DUMMYFUNCTION("""COMPUTED_VALUE"""),"https://www.facebook.com/denia.b.gatdula")</f>
        <v>https://www.facebook.com/denia.b.gatdula</v>
      </c>
      <c r="B166" s="1" t="str">
        <f>IFERROR(__xludf.DUMMYFUNCTION("""COMPUTED_VALUE"""),"Denia Biboso Gatdula")</f>
        <v>Denia Biboso Gatdula</v>
      </c>
      <c r="C166" s="1" t="str">
        <f>IFERROR(__xludf.DUMMYFUNCTION("""COMPUTED_VALUE"""),"Denia")</f>
        <v>Denia</v>
      </c>
      <c r="D166" s="1" t="str">
        <f>IFERROR(__xludf.DUMMYFUNCTION("""COMPUTED_VALUE"""),"Biboso Gatdula")</f>
        <v>Biboso Gatdula</v>
      </c>
      <c r="E166" s="1" t="str">
        <f>IFERROR(__xludf.DUMMYFUNCTION("""COMPUTED_VALUE"""),"2 intellectual women of  dignity standing for what is right for the benefits of fellowmen and country💞")</f>
        <v>2 intellectual women of  dignity standing for what is right for the benefits of fellowmen and country💞</v>
      </c>
      <c r="F166" s="1">
        <f>IFERROR(__xludf.DUMMYFUNCTION("""COMPUTED_VALUE"""),59.0)</f>
        <v>59</v>
      </c>
      <c r="G166" s="1" t="str">
        <f>IFERROR(__xludf.DUMMYFUNCTION("""COMPUTED_VALUE"""),"3 mos")</f>
        <v>3 mos</v>
      </c>
      <c r="H166" s="1" t="str">
        <f>IFERROR(__xludf.DUMMYFUNCTION("""COMPUTED_VALUE"""),"comment")</f>
        <v>comment</v>
      </c>
      <c r="I166" s="2" t="str">
        <f>IFERROR(__xludf.DUMMYFUNCTION("""COMPUTED_VALUE"""),"https://www.facebook.com/rapplerdotcom/photos/a.317154781638645/5598220220198715/")</f>
        <v>https://www.facebook.com/rapplerdotcom/photos/a.317154781638645/5598220220198715/</v>
      </c>
      <c r="J166" s="1" t="str">
        <f>IFERROR(__xludf.DUMMYFUNCTION("""COMPUTED_VALUE"""),"2022-07-04T11:09:50.065Z")</f>
        <v>2022-07-04T11:09:50.065Z</v>
      </c>
      <c r="K166" s="1"/>
    </row>
    <row r="167">
      <c r="A167" s="2" t="str">
        <f>IFERROR(__xludf.DUMMYFUNCTION("""COMPUTED_VALUE"""),"https://www.facebook.com/bayani.manlongat")</f>
        <v>https://www.facebook.com/bayani.manlongat</v>
      </c>
      <c r="B167" s="1" t="str">
        <f>IFERROR(__xludf.DUMMYFUNCTION("""COMPUTED_VALUE"""),"Bayani De Guzman Manlongat")</f>
        <v>Bayani De Guzman Manlongat</v>
      </c>
      <c r="C167" s="1" t="str">
        <f>IFERROR(__xludf.DUMMYFUNCTION("""COMPUTED_VALUE"""),"Bayani")</f>
        <v>Bayani</v>
      </c>
      <c r="D167" s="1" t="str">
        <f>IFERROR(__xludf.DUMMYFUNCTION("""COMPUTED_VALUE"""),"De Guzman Manlongat")</f>
        <v>De Guzman Manlongat</v>
      </c>
      <c r="E167" s="1" t="str">
        <f>IFERROR(__xludf.DUMMYFUNCTION("""COMPUTED_VALUE"""),"From ""A Thousand Cuts"" to ""A Thousand Smiles"". Kudos to you both, ACHIEVERS in your own rights.")</f>
        <v>From "A Thousand Cuts" to "A Thousand Smiles". Kudos to you both, ACHIEVERS in your own rights.</v>
      </c>
      <c r="F167" s="1">
        <f>IFERROR(__xludf.DUMMYFUNCTION("""COMPUTED_VALUE"""),30.0)</f>
        <v>30</v>
      </c>
      <c r="G167" s="1" t="str">
        <f>IFERROR(__xludf.DUMMYFUNCTION("""COMPUTED_VALUE"""),"3 mos")</f>
        <v>3 mos</v>
      </c>
      <c r="H167" s="1" t="str">
        <f>IFERROR(__xludf.DUMMYFUNCTION("""COMPUTED_VALUE"""),"comment")</f>
        <v>comment</v>
      </c>
      <c r="I167" s="2" t="str">
        <f>IFERROR(__xludf.DUMMYFUNCTION("""COMPUTED_VALUE"""),"https://www.facebook.com/rapplerdotcom/photos/a.317154781638645/5598220220198715/")</f>
        <v>https://www.facebook.com/rapplerdotcom/photos/a.317154781638645/5598220220198715/</v>
      </c>
      <c r="J167" s="1" t="str">
        <f>IFERROR(__xludf.DUMMYFUNCTION("""COMPUTED_VALUE"""),"2022-07-04T11:09:50.065Z")</f>
        <v>2022-07-04T11:09:50.065Z</v>
      </c>
      <c r="K167" s="1"/>
    </row>
    <row r="168">
      <c r="A168" s="2" t="str">
        <f>IFERROR(__xludf.DUMMYFUNCTION("""COMPUTED_VALUE"""),"https://www.facebook.com/maria.delapena.714")</f>
        <v>https://www.facebook.com/maria.delapena.714</v>
      </c>
      <c r="B168" s="1" t="str">
        <f>IFERROR(__xludf.DUMMYFUNCTION("""COMPUTED_VALUE"""),"Maria Dela Pena")</f>
        <v>Maria Dela Pena</v>
      </c>
      <c r="C168" s="1" t="str">
        <f>IFERROR(__xludf.DUMMYFUNCTION("""COMPUTED_VALUE"""),"Maria")</f>
        <v>Maria</v>
      </c>
      <c r="D168" s="1" t="str">
        <f>IFERROR(__xludf.DUMMYFUNCTION("""COMPUTED_VALUE"""),"Dela Pena")</f>
        <v>Dela Pena</v>
      </c>
      <c r="E168" s="1" t="str">
        <f>IFERROR(__xludf.DUMMYFUNCTION("""COMPUTED_VALUE"""),"Both have courage and conviction. # Lenikikoteam2022")</f>
        <v>Both have courage and conviction. # Lenikikoteam2022</v>
      </c>
      <c r="F168" s="1">
        <f>IFERROR(__xludf.DUMMYFUNCTION("""COMPUTED_VALUE"""),35.0)</f>
        <v>35</v>
      </c>
      <c r="G168" s="1" t="str">
        <f>IFERROR(__xludf.DUMMYFUNCTION("""COMPUTED_VALUE"""),"3 mos")</f>
        <v>3 mos</v>
      </c>
      <c r="H168" s="1" t="str">
        <f>IFERROR(__xludf.DUMMYFUNCTION("""COMPUTED_VALUE"""),"comment")</f>
        <v>comment</v>
      </c>
      <c r="I168" s="2" t="str">
        <f>IFERROR(__xludf.DUMMYFUNCTION("""COMPUTED_VALUE"""),"https://www.facebook.com/rapplerdotcom/photos/a.317154781638645/5598220220198715/")</f>
        <v>https://www.facebook.com/rapplerdotcom/photos/a.317154781638645/5598220220198715/</v>
      </c>
      <c r="J168" s="1" t="str">
        <f>IFERROR(__xludf.DUMMYFUNCTION("""COMPUTED_VALUE"""),"2022-07-04T11:09:50.065Z")</f>
        <v>2022-07-04T11:09:50.065Z</v>
      </c>
      <c r="K168" s="1"/>
    </row>
    <row r="169">
      <c r="A169" s="2" t="str">
        <f>IFERROR(__xludf.DUMMYFUNCTION("""COMPUTED_VALUE"""),"https://www.facebook.com/priscila.matocinos.5")</f>
        <v>https://www.facebook.com/priscila.matocinos.5</v>
      </c>
      <c r="B169" s="1" t="str">
        <f>IFERROR(__xludf.DUMMYFUNCTION("""COMPUTED_VALUE"""),"Priscila Matociños")</f>
        <v>Priscila Matociños</v>
      </c>
      <c r="C169" s="1" t="str">
        <f>IFERROR(__xludf.DUMMYFUNCTION("""COMPUTED_VALUE"""),"Priscila")</f>
        <v>Priscila</v>
      </c>
      <c r="D169" s="1" t="str">
        <f>IFERROR(__xludf.DUMMYFUNCTION("""COMPUTED_VALUE"""),"Matociños")</f>
        <v>Matociños</v>
      </c>
      <c r="E169" s="1" t="str">
        <f>IFERROR(__xludf.DUMMYFUNCTION("""COMPUTED_VALUE"""),"Two women fight for the Truth and Good Governance ,God Bless both of u and the whole worl.")</f>
        <v>Two women fight for the Truth and Good Governance ,God Bless both of u and the whole worl.</v>
      </c>
      <c r="F169" s="1"/>
      <c r="G169" s="1" t="str">
        <f>IFERROR(__xludf.DUMMYFUNCTION("""COMPUTED_VALUE"""),"3 mos")</f>
        <v>3 mos</v>
      </c>
      <c r="H169" s="1" t="str">
        <f>IFERROR(__xludf.DUMMYFUNCTION("""COMPUTED_VALUE"""),"comment")</f>
        <v>comment</v>
      </c>
      <c r="I169" s="2" t="str">
        <f>IFERROR(__xludf.DUMMYFUNCTION("""COMPUTED_VALUE"""),"https://www.facebook.com/rapplerdotcom/photos/a.317154781638645/5598220220198715/")</f>
        <v>https://www.facebook.com/rapplerdotcom/photos/a.317154781638645/5598220220198715/</v>
      </c>
      <c r="J169" s="1" t="str">
        <f>IFERROR(__xludf.DUMMYFUNCTION("""COMPUTED_VALUE"""),"2022-07-04T11:09:50.065Z")</f>
        <v>2022-07-04T11:09:50.065Z</v>
      </c>
      <c r="K169" s="1"/>
    </row>
    <row r="170">
      <c r="A170" s="2" t="str">
        <f>IFERROR(__xludf.DUMMYFUNCTION("""COMPUTED_VALUE"""),"https://www.facebook.com/lutgarda.duenas")</f>
        <v>https://www.facebook.com/lutgarda.duenas</v>
      </c>
      <c r="B170" s="1" t="str">
        <f>IFERROR(__xludf.DUMMYFUNCTION("""COMPUTED_VALUE"""),"Lutgarda Duenas")</f>
        <v>Lutgarda Duenas</v>
      </c>
      <c r="C170" s="1" t="str">
        <f>IFERROR(__xludf.DUMMYFUNCTION("""COMPUTED_VALUE"""),"Lutgarda")</f>
        <v>Lutgarda</v>
      </c>
      <c r="D170" s="1" t="str">
        <f>IFERROR(__xludf.DUMMYFUNCTION("""COMPUTED_VALUE"""),"Duenas")</f>
        <v>Duenas</v>
      </c>
      <c r="E170" s="1" t="str">
        <f>IFERROR(__xludf.DUMMYFUNCTION("""COMPUTED_VALUE"""),"Thank you Lord for d strong women fight for good givernance..God bless...")</f>
        <v>Thank you Lord for d strong women fight for good givernance..God bless...</v>
      </c>
      <c r="F170" s="1">
        <f>IFERROR(__xludf.DUMMYFUNCTION("""COMPUTED_VALUE"""),3.0)</f>
        <v>3</v>
      </c>
      <c r="G170" s="1" t="str">
        <f>IFERROR(__xludf.DUMMYFUNCTION("""COMPUTED_VALUE"""),"3 mos")</f>
        <v>3 mos</v>
      </c>
      <c r="H170" s="1" t="str">
        <f>IFERROR(__xludf.DUMMYFUNCTION("""COMPUTED_VALUE"""),"comment")</f>
        <v>comment</v>
      </c>
      <c r="I170" s="2" t="str">
        <f>IFERROR(__xludf.DUMMYFUNCTION("""COMPUTED_VALUE"""),"https://www.facebook.com/rapplerdotcom/photos/a.317154781638645/5598220220198715/")</f>
        <v>https://www.facebook.com/rapplerdotcom/photos/a.317154781638645/5598220220198715/</v>
      </c>
      <c r="J170" s="1" t="str">
        <f>IFERROR(__xludf.DUMMYFUNCTION("""COMPUTED_VALUE"""),"2022-07-04T11:09:50.065Z")</f>
        <v>2022-07-04T11:09:50.065Z</v>
      </c>
      <c r="K170" s="1"/>
    </row>
    <row r="171">
      <c r="A171" s="2" t="str">
        <f>IFERROR(__xludf.DUMMYFUNCTION("""COMPUTED_VALUE"""),"https://www.facebook.com/profile.php?id=100004073401228")</f>
        <v>https://www.facebook.com/profile.php?id=100004073401228</v>
      </c>
      <c r="B171" s="1" t="str">
        <f>IFERROR(__xludf.DUMMYFUNCTION("""COMPUTED_VALUE"""),"Cely Urbiztondo")</f>
        <v>Cely Urbiztondo</v>
      </c>
      <c r="C171" s="1" t="str">
        <f>IFERROR(__xludf.DUMMYFUNCTION("""COMPUTED_VALUE"""),"Cely")</f>
        <v>Cely</v>
      </c>
      <c r="D171" s="1" t="str">
        <f>IFERROR(__xludf.DUMMYFUNCTION("""COMPUTED_VALUE"""),"Urbiztondo")</f>
        <v>Urbiztondo</v>
      </c>
      <c r="E171" s="1" t="str">
        <f>IFERROR(__xludf.DUMMYFUNCTION("""COMPUTED_VALUE"""),"Two great women of different works and achievements in their respective fields.")</f>
        <v>Two great women of different works and achievements in their respective fields.</v>
      </c>
      <c r="F171" s="1">
        <f>IFERROR(__xludf.DUMMYFUNCTION("""COMPUTED_VALUE"""),2.0)</f>
        <v>2</v>
      </c>
      <c r="G171" s="1" t="str">
        <f>IFERROR(__xludf.DUMMYFUNCTION("""COMPUTED_VALUE"""),"3 mos")</f>
        <v>3 mos</v>
      </c>
      <c r="H171" s="1" t="str">
        <f>IFERROR(__xludf.DUMMYFUNCTION("""COMPUTED_VALUE"""),"comment")</f>
        <v>comment</v>
      </c>
      <c r="I171" s="2" t="str">
        <f>IFERROR(__xludf.DUMMYFUNCTION("""COMPUTED_VALUE"""),"https://www.facebook.com/rapplerdotcom/photos/a.317154781638645/5598220220198715/")</f>
        <v>https://www.facebook.com/rapplerdotcom/photos/a.317154781638645/5598220220198715/</v>
      </c>
      <c r="J171" s="1" t="str">
        <f>IFERROR(__xludf.DUMMYFUNCTION("""COMPUTED_VALUE"""),"2022-07-04T11:09:50.065Z")</f>
        <v>2022-07-04T11:09:50.065Z</v>
      </c>
      <c r="K171" s="1"/>
    </row>
    <row r="172">
      <c r="A172" s="2" t="str">
        <f>IFERROR(__xludf.DUMMYFUNCTION("""COMPUTED_VALUE"""),"https://www.facebook.com/titomendiola345")</f>
        <v>https://www.facebook.com/titomendiola345</v>
      </c>
      <c r="B172" s="1" t="str">
        <f>IFERROR(__xludf.DUMMYFUNCTION("""COMPUTED_VALUE"""),"Tito Mendiola")</f>
        <v>Tito Mendiola</v>
      </c>
      <c r="C172" s="1" t="str">
        <f>IFERROR(__xludf.DUMMYFUNCTION("""COMPUTED_VALUE"""),"Tito")</f>
        <v>Tito</v>
      </c>
      <c r="D172" s="1" t="str">
        <f>IFERROR(__xludf.DUMMYFUNCTION("""COMPUTED_VALUE"""),"Mendiola")</f>
        <v>Mendiola</v>
      </c>
      <c r="E172" s="1" t="str">
        <f>IFERROR(__xludf.DUMMYFUNCTION("""COMPUTED_VALUE"""),"The most qualified to lead the nation.")</f>
        <v>The most qualified to lead the nation.</v>
      </c>
      <c r="F172" s="1">
        <f>IFERROR(__xludf.DUMMYFUNCTION("""COMPUTED_VALUE"""),1.0)</f>
        <v>1</v>
      </c>
      <c r="G172" s="1" t="str">
        <f>IFERROR(__xludf.DUMMYFUNCTION("""COMPUTED_VALUE"""),"3 mos")</f>
        <v>3 mos</v>
      </c>
      <c r="H172" s="1" t="str">
        <f>IFERROR(__xludf.DUMMYFUNCTION("""COMPUTED_VALUE"""),"comment")</f>
        <v>comment</v>
      </c>
      <c r="I172" s="2" t="str">
        <f>IFERROR(__xludf.DUMMYFUNCTION("""COMPUTED_VALUE"""),"https://www.facebook.com/rapplerdotcom/photos/a.317154781638645/5598220220198715/")</f>
        <v>https://www.facebook.com/rapplerdotcom/photos/a.317154781638645/5598220220198715/</v>
      </c>
      <c r="J172" s="1" t="str">
        <f>IFERROR(__xludf.DUMMYFUNCTION("""COMPUTED_VALUE"""),"2022-07-04T11:09:50.065Z")</f>
        <v>2022-07-04T11:09:50.065Z</v>
      </c>
      <c r="K172" s="1"/>
    </row>
    <row r="173">
      <c r="A173" s="2" t="str">
        <f>IFERROR(__xludf.DUMMYFUNCTION("""COMPUTED_VALUE"""),"https://www.facebook.com/marah.dominguez")</f>
        <v>https://www.facebook.com/marah.dominguez</v>
      </c>
      <c r="B173" s="1" t="str">
        <f>IFERROR(__xludf.DUMMYFUNCTION("""COMPUTED_VALUE"""),"Marah Fabreag Dominguez")</f>
        <v>Marah Fabreag Dominguez</v>
      </c>
      <c r="C173" s="1" t="str">
        <f>IFERROR(__xludf.DUMMYFUNCTION("""COMPUTED_VALUE"""),"Marah")</f>
        <v>Marah</v>
      </c>
      <c r="D173" s="1" t="str">
        <f>IFERROR(__xludf.DUMMYFUNCTION("""COMPUTED_VALUE"""),"Fabreag Dominguez")</f>
        <v>Fabreag Dominguez</v>
      </c>
      <c r="E173" s="1" t="str">
        <f>IFERROR(__xludf.DUMMYFUNCTION("""COMPUTED_VALUE"""),"Two strong and dignified women 😍😍")</f>
        <v>Two strong and dignified women 😍😍</v>
      </c>
      <c r="F173" s="1">
        <f>IFERROR(__xludf.DUMMYFUNCTION("""COMPUTED_VALUE"""),8.0)</f>
        <v>8</v>
      </c>
      <c r="G173" s="1" t="str">
        <f>IFERROR(__xludf.DUMMYFUNCTION("""COMPUTED_VALUE"""),"3 mos")</f>
        <v>3 mos</v>
      </c>
      <c r="H173" s="1" t="str">
        <f>IFERROR(__xludf.DUMMYFUNCTION("""COMPUTED_VALUE"""),"comment")</f>
        <v>comment</v>
      </c>
      <c r="I173" s="2" t="str">
        <f>IFERROR(__xludf.DUMMYFUNCTION("""COMPUTED_VALUE"""),"https://www.facebook.com/rapplerdotcom/photos/a.317154781638645/5598220220198715/")</f>
        <v>https://www.facebook.com/rapplerdotcom/photos/a.317154781638645/5598220220198715/</v>
      </c>
      <c r="J173" s="1" t="str">
        <f>IFERROR(__xludf.DUMMYFUNCTION("""COMPUTED_VALUE"""),"2022-07-04T11:09:50.065Z")</f>
        <v>2022-07-04T11:09:50.065Z</v>
      </c>
      <c r="K173" s="1"/>
    </row>
    <row r="174">
      <c r="A174" s="2" t="str">
        <f>IFERROR(__xludf.DUMMYFUNCTION("""COMPUTED_VALUE"""),"https://www.facebook.com/araceli.abellar.16")</f>
        <v>https://www.facebook.com/araceli.abellar.16</v>
      </c>
      <c r="B174" s="1" t="str">
        <f>IFERROR(__xludf.DUMMYFUNCTION("""COMPUTED_VALUE"""),"Araceli Abellar")</f>
        <v>Araceli Abellar</v>
      </c>
      <c r="C174" s="1" t="str">
        <f>IFERROR(__xludf.DUMMYFUNCTION("""COMPUTED_VALUE"""),"Araceli")</f>
        <v>Araceli</v>
      </c>
      <c r="D174" s="1" t="str">
        <f>IFERROR(__xludf.DUMMYFUNCTION("""COMPUTED_VALUE"""),"Abellar")</f>
        <v>Abellar</v>
      </c>
      <c r="E174" s="1" t="str">
        <f>IFERROR(__xludf.DUMMYFUNCTION("""COMPUTED_VALUE"""),"Yes to good governance.")</f>
        <v>Yes to good governance.</v>
      </c>
      <c r="F174" s="1">
        <f>IFERROR(__xludf.DUMMYFUNCTION("""COMPUTED_VALUE"""),1.0)</f>
        <v>1</v>
      </c>
      <c r="G174" s="1" t="str">
        <f>IFERROR(__xludf.DUMMYFUNCTION("""COMPUTED_VALUE"""),"3 mos")</f>
        <v>3 mos</v>
      </c>
      <c r="H174" s="1" t="str">
        <f>IFERROR(__xludf.DUMMYFUNCTION("""COMPUTED_VALUE"""),"comment")</f>
        <v>comment</v>
      </c>
      <c r="I174" s="2" t="str">
        <f>IFERROR(__xludf.DUMMYFUNCTION("""COMPUTED_VALUE"""),"https://www.facebook.com/rapplerdotcom/photos/a.317154781638645/5598220220198715/")</f>
        <v>https://www.facebook.com/rapplerdotcom/photos/a.317154781638645/5598220220198715/</v>
      </c>
      <c r="J174" s="1" t="str">
        <f>IFERROR(__xludf.DUMMYFUNCTION("""COMPUTED_VALUE"""),"2022-07-04T11:09:50.065Z")</f>
        <v>2022-07-04T11:09:50.065Z</v>
      </c>
      <c r="K174" s="1"/>
    </row>
    <row r="175">
      <c r="A175" s="2" t="str">
        <f>IFERROR(__xludf.DUMMYFUNCTION("""COMPUTED_VALUE"""),"https://www.facebook.com/jefferson.yabut")</f>
        <v>https://www.facebook.com/jefferson.yabut</v>
      </c>
      <c r="B175" s="1" t="str">
        <f>IFERROR(__xludf.DUMMYFUNCTION("""COMPUTED_VALUE"""),"Jeff Yabut")</f>
        <v>Jeff Yabut</v>
      </c>
      <c r="C175" s="1" t="str">
        <f>IFERROR(__xludf.DUMMYFUNCTION("""COMPUTED_VALUE"""),"Jeff")</f>
        <v>Jeff</v>
      </c>
      <c r="D175" s="1" t="str">
        <f>IFERROR(__xludf.DUMMYFUNCTION("""COMPUTED_VALUE"""),"Yabut")</f>
        <v>Yabut</v>
      </c>
      <c r="E175" s="1" t="str">
        <f>IFERROR(__xludf.DUMMYFUNCTION("""COMPUTED_VALUE"""),"Epitome of truth &amp; integrity in one frame. Powerful women! 🤍💗")</f>
        <v>Epitome of truth &amp; integrity in one frame. Powerful women! 🤍💗</v>
      </c>
      <c r="F175" s="1">
        <f>IFERROR(__xludf.DUMMYFUNCTION("""COMPUTED_VALUE"""),23.0)</f>
        <v>23</v>
      </c>
      <c r="G175" s="1" t="str">
        <f>IFERROR(__xludf.DUMMYFUNCTION("""COMPUTED_VALUE"""),"3 mos")</f>
        <v>3 mos</v>
      </c>
      <c r="H175" s="1" t="str">
        <f>IFERROR(__xludf.DUMMYFUNCTION("""COMPUTED_VALUE"""),"comment")</f>
        <v>comment</v>
      </c>
      <c r="I175" s="2" t="str">
        <f>IFERROR(__xludf.DUMMYFUNCTION("""COMPUTED_VALUE"""),"https://www.facebook.com/rapplerdotcom/photos/a.317154781638645/5598220220198715/")</f>
        <v>https://www.facebook.com/rapplerdotcom/photos/a.317154781638645/5598220220198715/</v>
      </c>
      <c r="J175" s="1" t="str">
        <f>IFERROR(__xludf.DUMMYFUNCTION("""COMPUTED_VALUE"""),"2022-07-04T11:09:50.065Z")</f>
        <v>2022-07-04T11:09:50.065Z</v>
      </c>
      <c r="K175" s="1"/>
    </row>
    <row r="176">
      <c r="A176" s="2" t="str">
        <f>IFERROR(__xludf.DUMMYFUNCTION("""COMPUTED_VALUE"""),"https://www.facebook.com/ofelia529")</f>
        <v>https://www.facebook.com/ofelia529</v>
      </c>
      <c r="B176" s="1" t="str">
        <f>IFERROR(__xludf.DUMMYFUNCTION("""COMPUTED_VALUE"""),"オフェリア 海石榴")</f>
        <v>オフェリア 海石榴</v>
      </c>
      <c r="C176" s="1" t="str">
        <f>IFERROR(__xludf.DUMMYFUNCTION("""COMPUTED_VALUE"""),"オフェリア")</f>
        <v>オフェリア</v>
      </c>
      <c r="D176" s="1" t="str">
        <f>IFERROR(__xludf.DUMMYFUNCTION("""COMPUTED_VALUE"""),"海石榴")</f>
        <v>海石榴</v>
      </c>
      <c r="E176" s="1" t="str">
        <f>IFERROR(__xludf.DUMMYFUNCTION("""COMPUTED_VALUE"""),"Strong women, both with best intentions for our country! May your tribe increase!")</f>
        <v>Strong women, both with best intentions for our country! May your tribe increase!</v>
      </c>
      <c r="F176" s="1">
        <f>IFERROR(__xludf.DUMMYFUNCTION("""COMPUTED_VALUE"""),2.0)</f>
        <v>2</v>
      </c>
      <c r="G176" s="1" t="str">
        <f>IFERROR(__xludf.DUMMYFUNCTION("""COMPUTED_VALUE"""),"3 mos")</f>
        <v>3 mos</v>
      </c>
      <c r="H176" s="1" t="str">
        <f>IFERROR(__xludf.DUMMYFUNCTION("""COMPUTED_VALUE"""),"comment")</f>
        <v>comment</v>
      </c>
      <c r="I176" s="2" t="str">
        <f>IFERROR(__xludf.DUMMYFUNCTION("""COMPUTED_VALUE"""),"https://www.facebook.com/rapplerdotcom/photos/a.317154781638645/5598220220198715/")</f>
        <v>https://www.facebook.com/rapplerdotcom/photos/a.317154781638645/5598220220198715/</v>
      </c>
      <c r="J176" s="1" t="str">
        <f>IFERROR(__xludf.DUMMYFUNCTION("""COMPUTED_VALUE"""),"2022-07-04T11:09:50.065Z")</f>
        <v>2022-07-04T11:09:50.065Z</v>
      </c>
      <c r="K176" s="1"/>
    </row>
    <row r="177">
      <c r="A177" s="2" t="str">
        <f>IFERROR(__xludf.DUMMYFUNCTION("""COMPUTED_VALUE"""),"https://www.facebook.com/danilo.salas.98")</f>
        <v>https://www.facebook.com/danilo.salas.98</v>
      </c>
      <c r="B177" s="1" t="str">
        <f>IFERROR(__xludf.DUMMYFUNCTION("""COMPUTED_VALUE"""),"Danilo Salas")</f>
        <v>Danilo Salas</v>
      </c>
      <c r="C177" s="1" t="str">
        <f>IFERROR(__xludf.DUMMYFUNCTION("""COMPUTED_VALUE"""),"Danilo")</f>
        <v>Danilo</v>
      </c>
      <c r="D177" s="1" t="str">
        <f>IFERROR(__xludf.DUMMYFUNCTION("""COMPUTED_VALUE"""),"Salas")</f>
        <v>Salas</v>
      </c>
      <c r="E177" s="1" t="str">
        <f>IFERROR(__xludf.DUMMYFUNCTION("""COMPUTED_VALUE"""),"Yes na yes the Two amazing and empowered women for truth and Good Governance 👍👍👍🌸🌸🌸💕💕💕🌷🌷🌷 #GobyernongTapatAngatBuhayLahat #LeniKiko2022 #KulayRosasAngBukas")</f>
        <v>Yes na yes the Two amazing and empowered women for truth and Good Governance 👍👍👍🌸🌸🌸💕💕💕🌷🌷🌷 #GobyernongTapatAngatBuhayLahat #LeniKiko2022 #KulayRosasAngBukas</v>
      </c>
      <c r="F177" s="1">
        <f>IFERROR(__xludf.DUMMYFUNCTION("""COMPUTED_VALUE"""),1.0)</f>
        <v>1</v>
      </c>
      <c r="G177" s="1" t="str">
        <f>IFERROR(__xludf.DUMMYFUNCTION("""COMPUTED_VALUE"""),"3 mos")</f>
        <v>3 mos</v>
      </c>
      <c r="H177" s="1" t="str">
        <f>IFERROR(__xludf.DUMMYFUNCTION("""COMPUTED_VALUE"""),"comment")</f>
        <v>comment</v>
      </c>
      <c r="I177" s="2" t="str">
        <f>IFERROR(__xludf.DUMMYFUNCTION("""COMPUTED_VALUE"""),"https://www.facebook.com/rapplerdotcom/photos/a.317154781638645/5598220220198715/")</f>
        <v>https://www.facebook.com/rapplerdotcom/photos/a.317154781638645/5598220220198715/</v>
      </c>
      <c r="J177" s="1" t="str">
        <f>IFERROR(__xludf.DUMMYFUNCTION("""COMPUTED_VALUE"""),"2022-07-04T11:09:50.065Z")</f>
        <v>2022-07-04T11:09:50.065Z</v>
      </c>
      <c r="K177" s="1"/>
    </row>
    <row r="178">
      <c r="A178" s="2" t="str">
        <f>IFERROR(__xludf.DUMMYFUNCTION("""COMPUTED_VALUE"""),"https://www.facebook.com/doc.ahl.9")</f>
        <v>https://www.facebook.com/doc.ahl.9</v>
      </c>
      <c r="B178" s="1" t="str">
        <f>IFERROR(__xludf.DUMMYFUNCTION("""COMPUTED_VALUE"""),"Doc Ahl")</f>
        <v>Doc Ahl</v>
      </c>
      <c r="C178" s="1" t="str">
        <f>IFERROR(__xludf.DUMMYFUNCTION("""COMPUTED_VALUE"""),"Doc")</f>
        <v>Doc</v>
      </c>
      <c r="D178" s="1" t="str">
        <f>IFERROR(__xludf.DUMMYFUNCTION("""COMPUTED_VALUE"""),"Ahl")</f>
        <v>Ahl</v>
      </c>
      <c r="E178" s="1" t="str">
        <f>IFERROR(__xludf.DUMMYFUNCTION("""COMPUTED_VALUE"""),"KUDOS TO BOTH OF YOU! OUR MODERN DAY   WOMEN LEADERS💕🌺💕")</f>
        <v>KUDOS TO BOTH OF YOU! OUR MODERN DAY   WOMEN LEADERS💕🌺💕</v>
      </c>
      <c r="F178" s="1">
        <f>IFERROR(__xludf.DUMMYFUNCTION("""COMPUTED_VALUE"""),1.0)</f>
        <v>1</v>
      </c>
      <c r="G178" s="1" t="str">
        <f>IFERROR(__xludf.DUMMYFUNCTION("""COMPUTED_VALUE"""),"3 mos")</f>
        <v>3 mos</v>
      </c>
      <c r="H178" s="1" t="str">
        <f>IFERROR(__xludf.DUMMYFUNCTION("""COMPUTED_VALUE"""),"comment")</f>
        <v>comment</v>
      </c>
      <c r="I178" s="2" t="str">
        <f>IFERROR(__xludf.DUMMYFUNCTION("""COMPUTED_VALUE"""),"https://www.facebook.com/rapplerdotcom/photos/a.317154781638645/5598220220198715/")</f>
        <v>https://www.facebook.com/rapplerdotcom/photos/a.317154781638645/5598220220198715/</v>
      </c>
      <c r="J178" s="1" t="str">
        <f>IFERROR(__xludf.DUMMYFUNCTION("""COMPUTED_VALUE"""),"2022-07-04T11:09:50.065Z")</f>
        <v>2022-07-04T11:09:50.065Z</v>
      </c>
      <c r="K178" s="1"/>
    </row>
    <row r="179">
      <c r="A179" s="2" t="str">
        <f>IFERROR(__xludf.DUMMYFUNCTION("""COMPUTED_VALUE"""),"https://www.facebook.com/benedicta.cesistarosapa")</f>
        <v>https://www.facebook.com/benedicta.cesistarosapa</v>
      </c>
      <c r="B179" s="1" t="str">
        <f>IFERROR(__xludf.DUMMYFUNCTION("""COMPUTED_VALUE"""),"Beth Cesista Tavares-Rosapa")</f>
        <v>Beth Cesista Tavares-Rosapa</v>
      </c>
      <c r="C179" s="1" t="str">
        <f>IFERROR(__xludf.DUMMYFUNCTION("""COMPUTED_VALUE"""),"Beth")</f>
        <v>Beth</v>
      </c>
      <c r="D179" s="1" t="str">
        <f>IFERROR(__xludf.DUMMYFUNCTION("""COMPUTED_VALUE"""),"Cesista Tavares-Rosapa")</f>
        <v>Cesista Tavares-Rosapa</v>
      </c>
      <c r="E179" s="1" t="str">
        <f>IFERROR(__xludf.DUMMYFUNCTION("""COMPUTED_VALUE"""),"We need woman like this two... can fight for the good of our fellomen &amp; our country.")</f>
        <v>We need woman like this two... can fight for the good of our fellomen &amp; our country.</v>
      </c>
      <c r="F179" s="1">
        <f>IFERROR(__xludf.DUMMYFUNCTION("""COMPUTED_VALUE"""),41.0)</f>
        <v>41</v>
      </c>
      <c r="G179" s="1" t="str">
        <f>IFERROR(__xludf.DUMMYFUNCTION("""COMPUTED_VALUE"""),"3 mos")</f>
        <v>3 mos</v>
      </c>
      <c r="H179" s="1" t="str">
        <f>IFERROR(__xludf.DUMMYFUNCTION("""COMPUTED_VALUE"""),"comment")</f>
        <v>comment</v>
      </c>
      <c r="I179" s="2" t="str">
        <f>IFERROR(__xludf.DUMMYFUNCTION("""COMPUTED_VALUE"""),"https://www.facebook.com/rapplerdotcom/photos/a.317154781638645/5598220220198715/")</f>
        <v>https://www.facebook.com/rapplerdotcom/photos/a.317154781638645/5598220220198715/</v>
      </c>
      <c r="J179" s="1" t="str">
        <f>IFERROR(__xludf.DUMMYFUNCTION("""COMPUTED_VALUE"""),"2022-07-04T11:09:50.065Z")</f>
        <v>2022-07-04T11:09:50.065Z</v>
      </c>
      <c r="K179" s="1"/>
    </row>
    <row r="180">
      <c r="A180" s="2" t="str">
        <f>IFERROR(__xludf.DUMMYFUNCTION("""COMPUTED_VALUE"""),"https://www.facebook.com/mariamila.barbasa")</f>
        <v>https://www.facebook.com/mariamila.barbasa</v>
      </c>
      <c r="B180" s="1" t="str">
        <f>IFERROR(__xludf.DUMMYFUNCTION("""COMPUTED_VALUE"""),"Maria Mila Barbasa")</f>
        <v>Maria Mila Barbasa</v>
      </c>
      <c r="C180" s="1" t="str">
        <f>IFERROR(__xludf.DUMMYFUNCTION("""COMPUTED_VALUE"""),"Maria")</f>
        <v>Maria</v>
      </c>
      <c r="D180" s="1" t="str">
        <f>IFERROR(__xludf.DUMMYFUNCTION("""COMPUTED_VALUE"""),"Mila Barbasa")</f>
        <v>Mila Barbasa</v>
      </c>
      <c r="E180" s="1" t="str">
        <f>IFERROR(__xludf.DUMMYFUNCTION("""COMPUTED_VALUE"""),"Two strong woman! God bless you...")</f>
        <v>Two strong woman! God bless you...</v>
      </c>
      <c r="F180" s="1">
        <f>IFERROR(__xludf.DUMMYFUNCTION("""COMPUTED_VALUE"""),49.0)</f>
        <v>49</v>
      </c>
      <c r="G180" s="1" t="str">
        <f>IFERROR(__xludf.DUMMYFUNCTION("""COMPUTED_VALUE"""),"3 mos")</f>
        <v>3 mos</v>
      </c>
      <c r="H180" s="1" t="str">
        <f>IFERROR(__xludf.DUMMYFUNCTION("""COMPUTED_VALUE"""),"comment")</f>
        <v>comment</v>
      </c>
      <c r="I180" s="2" t="str">
        <f>IFERROR(__xludf.DUMMYFUNCTION("""COMPUTED_VALUE"""),"https://www.facebook.com/rapplerdotcom/photos/a.317154781638645/5598220220198715/")</f>
        <v>https://www.facebook.com/rapplerdotcom/photos/a.317154781638645/5598220220198715/</v>
      </c>
      <c r="J180" s="1" t="str">
        <f>IFERROR(__xludf.DUMMYFUNCTION("""COMPUTED_VALUE"""),"2022-07-04T11:09:50.065Z")</f>
        <v>2022-07-04T11:09:50.065Z</v>
      </c>
      <c r="K180" s="1"/>
    </row>
    <row r="181">
      <c r="A181" s="2" t="str">
        <f>IFERROR(__xludf.DUMMYFUNCTION("""COMPUTED_VALUE"""),"https://www.facebook.com/ner.estrellado")</f>
        <v>https://www.facebook.com/ner.estrellado</v>
      </c>
      <c r="B181" s="1" t="str">
        <f>IFERROR(__xludf.DUMMYFUNCTION("""COMPUTED_VALUE"""),"Ner Estrellado")</f>
        <v>Ner Estrellado</v>
      </c>
      <c r="C181" s="1" t="str">
        <f>IFERROR(__xludf.DUMMYFUNCTION("""COMPUTED_VALUE"""),"Ner")</f>
        <v>Ner</v>
      </c>
      <c r="D181" s="1" t="str">
        <f>IFERROR(__xludf.DUMMYFUNCTION("""COMPUTED_VALUE"""),"Estrellado")</f>
        <v>Estrellado</v>
      </c>
      <c r="E181" s="1" t="str">
        <f>IFERROR(__xludf.DUMMYFUNCTION("""COMPUTED_VALUE"""),"Woman to Woman.Courage to Courage.Hope to Hope.Integrity to Integrity.I salute you both.")</f>
        <v>Woman to Woman.Courage to Courage.Hope to Hope.Integrity to Integrity.I salute you both.</v>
      </c>
      <c r="F181" s="1">
        <f>IFERROR(__xludf.DUMMYFUNCTION("""COMPUTED_VALUE"""),10.0)</f>
        <v>10</v>
      </c>
      <c r="G181" s="1" t="str">
        <f>IFERROR(__xludf.DUMMYFUNCTION("""COMPUTED_VALUE"""),"3 mos")</f>
        <v>3 mos</v>
      </c>
      <c r="H181" s="1" t="str">
        <f>IFERROR(__xludf.DUMMYFUNCTION("""COMPUTED_VALUE"""),"comment")</f>
        <v>comment</v>
      </c>
      <c r="I181" s="2" t="str">
        <f>IFERROR(__xludf.DUMMYFUNCTION("""COMPUTED_VALUE"""),"https://www.facebook.com/rapplerdotcom/photos/a.317154781638645/5598220220198715/")</f>
        <v>https://www.facebook.com/rapplerdotcom/photos/a.317154781638645/5598220220198715/</v>
      </c>
      <c r="J181" s="1" t="str">
        <f>IFERROR(__xludf.DUMMYFUNCTION("""COMPUTED_VALUE"""),"2022-07-04T11:09:50.065Z")</f>
        <v>2022-07-04T11:09:50.065Z</v>
      </c>
      <c r="K181" s="1"/>
    </row>
    <row r="182">
      <c r="A182" s="2" t="str">
        <f>IFERROR(__xludf.DUMMYFUNCTION("""COMPUTED_VALUE"""),"https://www.facebook.com/tinapacura")</f>
        <v>https://www.facebook.com/tinapacura</v>
      </c>
      <c r="B182" s="1" t="str">
        <f>IFERROR(__xludf.DUMMYFUNCTION("""COMPUTED_VALUE"""),"Tina Pacura")</f>
        <v>Tina Pacura</v>
      </c>
      <c r="C182" s="1" t="str">
        <f>IFERROR(__xludf.DUMMYFUNCTION("""COMPUTED_VALUE"""),"Tina")</f>
        <v>Tina</v>
      </c>
      <c r="D182" s="1" t="str">
        <f>IFERROR(__xludf.DUMMYFUNCTION("""COMPUTED_VALUE"""),"Pacura")</f>
        <v>Pacura</v>
      </c>
      <c r="E182" s="1" t="str">
        <f>IFERROR(__xludf.DUMMYFUNCTION("""COMPUTED_VALUE"""),"Brave Women Leaders!")</f>
        <v>Brave Women Leaders!</v>
      </c>
      <c r="F182" s="1">
        <f>IFERROR(__xludf.DUMMYFUNCTION("""COMPUTED_VALUE"""),13.0)</f>
        <v>13</v>
      </c>
      <c r="G182" s="1" t="str">
        <f>IFERROR(__xludf.DUMMYFUNCTION("""COMPUTED_VALUE"""),"3 mos")</f>
        <v>3 mos</v>
      </c>
      <c r="H182" s="1" t="str">
        <f>IFERROR(__xludf.DUMMYFUNCTION("""COMPUTED_VALUE"""),"comment")</f>
        <v>comment</v>
      </c>
      <c r="I182" s="2" t="str">
        <f>IFERROR(__xludf.DUMMYFUNCTION("""COMPUTED_VALUE"""),"https://www.facebook.com/rapplerdotcom/photos/a.317154781638645/5598220220198715/")</f>
        <v>https://www.facebook.com/rapplerdotcom/photos/a.317154781638645/5598220220198715/</v>
      </c>
      <c r="J182" s="1" t="str">
        <f>IFERROR(__xludf.DUMMYFUNCTION("""COMPUTED_VALUE"""),"2022-07-04T11:09:50.066Z")</f>
        <v>2022-07-04T11:09:50.066Z</v>
      </c>
      <c r="K182" s="1"/>
    </row>
    <row r="183">
      <c r="A183" s="2" t="str">
        <f>IFERROR(__xludf.DUMMYFUNCTION("""COMPUTED_VALUE"""),"https://www.facebook.com/champoybulletelbow")</f>
        <v>https://www.facebook.com/champoybulletelbow</v>
      </c>
      <c r="B183" s="1" t="str">
        <f>IFERROR(__xludf.DUMMYFUNCTION("""COMPUTED_VALUE"""),"March NJ")</f>
        <v>March NJ</v>
      </c>
      <c r="C183" s="1" t="str">
        <f>IFERROR(__xludf.DUMMYFUNCTION("""COMPUTED_VALUE"""),"March")</f>
        <v>March</v>
      </c>
      <c r="D183" s="1" t="str">
        <f>IFERROR(__xludf.DUMMYFUNCTION("""COMPUTED_VALUE"""),"NJ")</f>
        <v>NJ</v>
      </c>
      <c r="E183" s="1" t="str">
        <f>IFERROR(__xludf.DUMMYFUNCTION("""COMPUTED_VALUE"""),"God bless you both. 🙏🌷🌷🙏")</f>
        <v>God bless you both. 🙏🌷🌷🙏</v>
      </c>
      <c r="F183" s="1">
        <f>IFERROR(__xludf.DUMMYFUNCTION("""COMPUTED_VALUE"""),13.0)</f>
        <v>13</v>
      </c>
      <c r="G183" s="1" t="str">
        <f>IFERROR(__xludf.DUMMYFUNCTION("""COMPUTED_VALUE"""),"3 mos")</f>
        <v>3 mos</v>
      </c>
      <c r="H183" s="1" t="str">
        <f>IFERROR(__xludf.DUMMYFUNCTION("""COMPUTED_VALUE"""),"comment")</f>
        <v>comment</v>
      </c>
      <c r="I183" s="2" t="str">
        <f>IFERROR(__xludf.DUMMYFUNCTION("""COMPUTED_VALUE"""),"https://www.facebook.com/rapplerdotcom/photos/a.317154781638645/5598220220198715/")</f>
        <v>https://www.facebook.com/rapplerdotcom/photos/a.317154781638645/5598220220198715/</v>
      </c>
      <c r="J183" s="1" t="str">
        <f>IFERROR(__xludf.DUMMYFUNCTION("""COMPUTED_VALUE"""),"2022-07-04T11:09:50.066Z")</f>
        <v>2022-07-04T11:09:50.066Z</v>
      </c>
      <c r="K183" s="1"/>
    </row>
    <row r="184">
      <c r="A184" s="2" t="str">
        <f>IFERROR(__xludf.DUMMYFUNCTION("""COMPUTED_VALUE"""),"https://www.facebook.com/debby.martinez.gumban")</f>
        <v>https://www.facebook.com/debby.martinez.gumban</v>
      </c>
      <c r="B184" s="1" t="str">
        <f>IFERROR(__xludf.DUMMYFUNCTION("""COMPUTED_VALUE"""),"Debby Martinez Gumban")</f>
        <v>Debby Martinez Gumban</v>
      </c>
      <c r="C184" s="1" t="str">
        <f>IFERROR(__xludf.DUMMYFUNCTION("""COMPUTED_VALUE"""),"Debby")</f>
        <v>Debby</v>
      </c>
      <c r="D184" s="1" t="str">
        <f>IFERROR(__xludf.DUMMYFUNCTION("""COMPUTED_VALUE"""),"Martinez Gumban")</f>
        <v>Martinez Gumban</v>
      </c>
      <c r="E184" s="1" t="str">
        <f>IFERROR(__xludf.DUMMYFUNCTION("""COMPUTED_VALUE"""),"2 Women of Courage &amp; Integrity.💗💗💗💪🏻💪🏻💪🏻")</f>
        <v>2 Women of Courage &amp; Integrity.💗💗💗💪🏻💪🏻💪🏻</v>
      </c>
      <c r="F184" s="1">
        <f>IFERROR(__xludf.DUMMYFUNCTION("""COMPUTED_VALUE"""),3.0)</f>
        <v>3</v>
      </c>
      <c r="G184" s="1" t="str">
        <f>IFERROR(__xludf.DUMMYFUNCTION("""COMPUTED_VALUE"""),"3 mos")</f>
        <v>3 mos</v>
      </c>
      <c r="H184" s="1" t="str">
        <f>IFERROR(__xludf.DUMMYFUNCTION("""COMPUTED_VALUE"""),"comment")</f>
        <v>comment</v>
      </c>
      <c r="I184" s="2" t="str">
        <f>IFERROR(__xludf.DUMMYFUNCTION("""COMPUTED_VALUE"""),"https://www.facebook.com/rapplerdotcom/photos/a.317154781638645/5598220220198715/")</f>
        <v>https://www.facebook.com/rapplerdotcom/photos/a.317154781638645/5598220220198715/</v>
      </c>
      <c r="J184" s="1" t="str">
        <f>IFERROR(__xludf.DUMMYFUNCTION("""COMPUTED_VALUE"""),"2022-07-04T11:09:50.066Z")</f>
        <v>2022-07-04T11:09:50.066Z</v>
      </c>
      <c r="K184" s="1"/>
    </row>
    <row r="185">
      <c r="A185" s="2" t="str">
        <f>IFERROR(__xludf.DUMMYFUNCTION("""COMPUTED_VALUE"""),"https://www.facebook.com/anita.tamayo.33671")</f>
        <v>https://www.facebook.com/anita.tamayo.33671</v>
      </c>
      <c r="B185" s="1" t="str">
        <f>IFERROR(__xludf.DUMMYFUNCTION("""COMPUTED_VALUE"""),"Anita Tamayo")</f>
        <v>Anita Tamayo</v>
      </c>
      <c r="C185" s="1" t="str">
        <f>IFERROR(__xludf.DUMMYFUNCTION("""COMPUTED_VALUE"""),"Anita")</f>
        <v>Anita</v>
      </c>
      <c r="D185" s="1" t="str">
        <f>IFERROR(__xludf.DUMMYFUNCTION("""COMPUTED_VALUE"""),"Tamayo")</f>
        <v>Tamayo</v>
      </c>
      <c r="E185" s="1" t="str">
        <f>IFERROR(__xludf.DUMMYFUNCTION("""COMPUTED_VALUE"""),"I salute, both of you...")</f>
        <v>I salute, both of you...</v>
      </c>
      <c r="F185" s="1">
        <f>IFERROR(__xludf.DUMMYFUNCTION("""COMPUTED_VALUE"""),1.0)</f>
        <v>1</v>
      </c>
      <c r="G185" s="1" t="str">
        <f>IFERROR(__xludf.DUMMYFUNCTION("""COMPUTED_VALUE"""),"3 mos")</f>
        <v>3 mos</v>
      </c>
      <c r="H185" s="1" t="str">
        <f>IFERROR(__xludf.DUMMYFUNCTION("""COMPUTED_VALUE"""),"comment")</f>
        <v>comment</v>
      </c>
      <c r="I185" s="2" t="str">
        <f>IFERROR(__xludf.DUMMYFUNCTION("""COMPUTED_VALUE"""),"https://www.facebook.com/rapplerdotcom/photos/a.317154781638645/5598220220198715/")</f>
        <v>https://www.facebook.com/rapplerdotcom/photos/a.317154781638645/5598220220198715/</v>
      </c>
      <c r="J185" s="1" t="str">
        <f>IFERROR(__xludf.DUMMYFUNCTION("""COMPUTED_VALUE"""),"2022-07-04T11:09:50.066Z")</f>
        <v>2022-07-04T11:09:50.066Z</v>
      </c>
      <c r="K185" s="1"/>
    </row>
    <row r="186">
      <c r="A186" s="2" t="str">
        <f>IFERROR(__xludf.DUMMYFUNCTION("""COMPUTED_VALUE"""),"https://www.facebook.com/roysem88")</f>
        <v>https://www.facebook.com/roysem88</v>
      </c>
      <c r="B186" s="1" t="str">
        <f>IFERROR(__xludf.DUMMYFUNCTION("""COMPUTED_VALUE"""),"Roy Lily Joy Sembrano")</f>
        <v>Roy Lily Joy Sembrano</v>
      </c>
      <c r="C186" s="1" t="str">
        <f>IFERROR(__xludf.DUMMYFUNCTION("""COMPUTED_VALUE"""),"Roy")</f>
        <v>Roy</v>
      </c>
      <c r="D186" s="1" t="str">
        <f>IFERROR(__xludf.DUMMYFUNCTION("""COMPUTED_VALUE"""),"Lily Joy Sembrano")</f>
        <v>Lily Joy Sembrano</v>
      </c>
      <c r="E186" s="1" t="str">
        <f>IFERROR(__xludf.DUMMYFUNCTION("""COMPUTED_VALUE"""),"#LeniKikoAllTheWay #LeniKiko2022")</f>
        <v>#LeniKikoAllTheWay #LeniKiko2022</v>
      </c>
      <c r="F186" s="1">
        <f>IFERROR(__xludf.DUMMYFUNCTION("""COMPUTED_VALUE"""),2.0)</f>
        <v>2</v>
      </c>
      <c r="G186" s="1" t="str">
        <f>IFERROR(__xludf.DUMMYFUNCTION("""COMPUTED_VALUE"""),"3 mos")</f>
        <v>3 mos</v>
      </c>
      <c r="H186" s="1" t="str">
        <f>IFERROR(__xludf.DUMMYFUNCTION("""COMPUTED_VALUE"""),"comment")</f>
        <v>comment</v>
      </c>
      <c r="I186" s="2" t="str">
        <f>IFERROR(__xludf.DUMMYFUNCTION("""COMPUTED_VALUE"""),"https://www.facebook.com/rapplerdotcom/photos/a.317154781638645/5598220220198715/")</f>
        <v>https://www.facebook.com/rapplerdotcom/photos/a.317154781638645/5598220220198715/</v>
      </c>
      <c r="J186" s="1" t="str">
        <f>IFERROR(__xludf.DUMMYFUNCTION("""COMPUTED_VALUE"""),"2022-07-04T11:09:50.066Z")</f>
        <v>2022-07-04T11:09:50.066Z</v>
      </c>
      <c r="K186" s="1"/>
    </row>
    <row r="187">
      <c r="A187" s="2" t="str">
        <f>IFERROR(__xludf.DUMMYFUNCTION("""COMPUTED_VALUE"""),"https://www.facebook.com/angelita.villaflor.1")</f>
        <v>https://www.facebook.com/angelita.villaflor.1</v>
      </c>
      <c r="B187" s="1" t="str">
        <f>IFERROR(__xludf.DUMMYFUNCTION("""COMPUTED_VALUE"""),"Angelita Villaflor")</f>
        <v>Angelita Villaflor</v>
      </c>
      <c r="C187" s="1" t="str">
        <f>IFERROR(__xludf.DUMMYFUNCTION("""COMPUTED_VALUE"""),"Angelita")</f>
        <v>Angelita</v>
      </c>
      <c r="D187" s="1" t="str">
        <f>IFERROR(__xludf.DUMMYFUNCTION("""COMPUTED_VALUE"""),"Villaflor")</f>
        <v>Villaflor</v>
      </c>
      <c r="E187" s="1" t="str">
        <f>IFERROR(__xludf.DUMMYFUNCTION("""COMPUTED_VALUE"""),"God Bless the both of you")</f>
        <v>God Bless the both of you</v>
      </c>
      <c r="F187" s="1">
        <f>IFERROR(__xludf.DUMMYFUNCTION("""COMPUTED_VALUE"""),7.0)</f>
        <v>7</v>
      </c>
      <c r="G187" s="1" t="str">
        <f>IFERROR(__xludf.DUMMYFUNCTION("""COMPUTED_VALUE"""),"3 mos")</f>
        <v>3 mos</v>
      </c>
      <c r="H187" s="1" t="str">
        <f>IFERROR(__xludf.DUMMYFUNCTION("""COMPUTED_VALUE"""),"comment")</f>
        <v>comment</v>
      </c>
      <c r="I187" s="2" t="str">
        <f>IFERROR(__xludf.DUMMYFUNCTION("""COMPUTED_VALUE"""),"https://www.facebook.com/rapplerdotcom/photos/a.317154781638645/5598220220198715/")</f>
        <v>https://www.facebook.com/rapplerdotcom/photos/a.317154781638645/5598220220198715/</v>
      </c>
      <c r="J187" s="1" t="str">
        <f>IFERROR(__xludf.DUMMYFUNCTION("""COMPUTED_VALUE"""),"2022-07-04T11:09:50.066Z")</f>
        <v>2022-07-04T11:09:50.066Z</v>
      </c>
      <c r="K187" s="1"/>
    </row>
    <row r="188">
      <c r="A188" s="2" t="str">
        <f>IFERROR(__xludf.DUMMYFUNCTION("""COMPUTED_VALUE"""),"https://www.facebook.com/lolit.gaddi.1")</f>
        <v>https://www.facebook.com/lolit.gaddi.1</v>
      </c>
      <c r="B188" s="1" t="str">
        <f>IFERROR(__xludf.DUMMYFUNCTION("""COMPUTED_VALUE"""),"Lolit Gaddi")</f>
        <v>Lolit Gaddi</v>
      </c>
      <c r="C188" s="1" t="str">
        <f>IFERROR(__xludf.DUMMYFUNCTION("""COMPUTED_VALUE"""),"Lolit")</f>
        <v>Lolit</v>
      </c>
      <c r="D188" s="1" t="str">
        <f>IFERROR(__xludf.DUMMYFUNCTION("""COMPUTED_VALUE"""),"Gaddi")</f>
        <v>Gaddi</v>
      </c>
      <c r="E188" s="1" t="str">
        <f>IFERROR(__xludf.DUMMYFUNCTION("""COMPUTED_VALUE"""),"Women power in truth and love for country🥰")</f>
        <v>Women power in truth and love for country🥰</v>
      </c>
      <c r="F188" s="1">
        <f>IFERROR(__xludf.DUMMYFUNCTION("""COMPUTED_VALUE"""),2.0)</f>
        <v>2</v>
      </c>
      <c r="G188" s="1" t="str">
        <f>IFERROR(__xludf.DUMMYFUNCTION("""COMPUTED_VALUE"""),"3 mos")</f>
        <v>3 mos</v>
      </c>
      <c r="H188" s="1" t="str">
        <f>IFERROR(__xludf.DUMMYFUNCTION("""COMPUTED_VALUE"""),"comment")</f>
        <v>comment</v>
      </c>
      <c r="I188" s="2" t="str">
        <f>IFERROR(__xludf.DUMMYFUNCTION("""COMPUTED_VALUE"""),"https://www.facebook.com/rapplerdotcom/photos/a.317154781638645/5598220220198715/")</f>
        <v>https://www.facebook.com/rapplerdotcom/photos/a.317154781638645/5598220220198715/</v>
      </c>
      <c r="J188" s="1" t="str">
        <f>IFERROR(__xludf.DUMMYFUNCTION("""COMPUTED_VALUE"""),"2022-07-04T11:09:50.066Z")</f>
        <v>2022-07-04T11:09:50.066Z</v>
      </c>
      <c r="K188" s="1"/>
    </row>
    <row r="189">
      <c r="A189" s="2" t="str">
        <f>IFERROR(__xludf.DUMMYFUNCTION("""COMPUTED_VALUE"""),"https://www.facebook.com/RomelManugidLorilla07")</f>
        <v>https://www.facebook.com/RomelManugidLorilla07</v>
      </c>
      <c r="B189" s="1" t="str">
        <f>IFERROR(__xludf.DUMMYFUNCTION("""COMPUTED_VALUE"""),"Romel Lorilla")</f>
        <v>Romel Lorilla</v>
      </c>
      <c r="C189" s="1" t="str">
        <f>IFERROR(__xludf.DUMMYFUNCTION("""COMPUTED_VALUE"""),"Romel")</f>
        <v>Romel</v>
      </c>
      <c r="D189" s="1" t="str">
        <f>IFERROR(__xludf.DUMMYFUNCTION("""COMPUTED_VALUE"""),"Lorilla")</f>
        <v>Lorilla</v>
      </c>
      <c r="E189" s="1" t="str">
        <f>IFERROR(__xludf.DUMMYFUNCTION("""COMPUTED_VALUE"""),"Two greatest women of our nation in the current generation. 🥰")</f>
        <v>Two greatest women of our nation in the current generation. 🥰</v>
      </c>
      <c r="F189" s="1">
        <f>IFERROR(__xludf.DUMMYFUNCTION("""COMPUTED_VALUE"""),5.0)</f>
        <v>5</v>
      </c>
      <c r="G189" s="1" t="str">
        <f>IFERROR(__xludf.DUMMYFUNCTION("""COMPUTED_VALUE"""),"3 mos")</f>
        <v>3 mos</v>
      </c>
      <c r="H189" s="1" t="str">
        <f>IFERROR(__xludf.DUMMYFUNCTION("""COMPUTED_VALUE"""),"comment")</f>
        <v>comment</v>
      </c>
      <c r="I189" s="2" t="str">
        <f>IFERROR(__xludf.DUMMYFUNCTION("""COMPUTED_VALUE"""),"https://www.facebook.com/rapplerdotcom/photos/a.317154781638645/5598220220198715/")</f>
        <v>https://www.facebook.com/rapplerdotcom/photos/a.317154781638645/5598220220198715/</v>
      </c>
      <c r="J189" s="1" t="str">
        <f>IFERROR(__xludf.DUMMYFUNCTION("""COMPUTED_VALUE"""),"2022-07-04T11:09:50.066Z")</f>
        <v>2022-07-04T11:09:50.066Z</v>
      </c>
      <c r="K189" s="1"/>
    </row>
    <row r="190">
      <c r="A190" s="2" t="str">
        <f>IFERROR(__xludf.DUMMYFUNCTION("""COMPUTED_VALUE"""),"https://www.facebook.com/romel.mesina.9")</f>
        <v>https://www.facebook.com/romel.mesina.9</v>
      </c>
      <c r="B190" s="1" t="str">
        <f>IFERROR(__xludf.DUMMYFUNCTION("""COMPUTED_VALUE"""),"Romel Mesina")</f>
        <v>Romel Mesina</v>
      </c>
      <c r="C190" s="1" t="str">
        <f>IFERROR(__xludf.DUMMYFUNCTION("""COMPUTED_VALUE"""),"Romel")</f>
        <v>Romel</v>
      </c>
      <c r="D190" s="1" t="str">
        <f>IFERROR(__xludf.DUMMYFUNCTION("""COMPUTED_VALUE"""),"Mesina")</f>
        <v>Mesina</v>
      </c>
      <c r="E190" s="1" t="str">
        <f>IFERROR(__xludf.DUMMYFUNCTION("""COMPUTED_VALUE"""),"two great leader")</f>
        <v>two great leader</v>
      </c>
      <c r="F190" s="1">
        <f>IFERROR(__xludf.DUMMYFUNCTION("""COMPUTED_VALUE"""),4.0)</f>
        <v>4</v>
      </c>
      <c r="G190" s="1" t="str">
        <f>IFERROR(__xludf.DUMMYFUNCTION("""COMPUTED_VALUE"""),"3 mos")</f>
        <v>3 mos</v>
      </c>
      <c r="H190" s="1" t="str">
        <f>IFERROR(__xludf.DUMMYFUNCTION("""COMPUTED_VALUE"""),"comment")</f>
        <v>comment</v>
      </c>
      <c r="I190" s="2" t="str">
        <f>IFERROR(__xludf.DUMMYFUNCTION("""COMPUTED_VALUE"""),"https://www.facebook.com/rapplerdotcom/photos/a.317154781638645/5598220220198715/")</f>
        <v>https://www.facebook.com/rapplerdotcom/photos/a.317154781638645/5598220220198715/</v>
      </c>
      <c r="J190" s="1" t="str">
        <f>IFERROR(__xludf.DUMMYFUNCTION("""COMPUTED_VALUE"""),"2022-07-04T11:09:50.066Z")</f>
        <v>2022-07-04T11:09:50.066Z</v>
      </c>
      <c r="K190" s="1"/>
    </row>
    <row r="191">
      <c r="A191" s="2" t="str">
        <f>IFERROR(__xludf.DUMMYFUNCTION("""COMPUTED_VALUE"""),"https://www.facebook.com/frankanthony.pataueg.1")</f>
        <v>https://www.facebook.com/frankanthony.pataueg.1</v>
      </c>
      <c r="B191" s="1" t="str">
        <f>IFERROR(__xludf.DUMMYFUNCTION("""COMPUTED_VALUE"""),"Frank Anthony Pataueg")</f>
        <v>Frank Anthony Pataueg</v>
      </c>
      <c r="C191" s="1" t="str">
        <f>IFERROR(__xludf.DUMMYFUNCTION("""COMPUTED_VALUE"""),"Frank")</f>
        <v>Frank</v>
      </c>
      <c r="D191" s="1" t="str">
        <f>IFERROR(__xludf.DUMMYFUNCTION("""COMPUTED_VALUE"""),"Anthony Pataueg")</f>
        <v>Anthony Pataueg</v>
      </c>
      <c r="E191" s="1" t="str">
        <f>IFERROR(__xludf.DUMMYFUNCTION("""COMPUTED_VALUE"""),"Pride of the country! Kudos sa inyo!  #LiwanagSaDilim")</f>
        <v>Pride of the country! Kudos sa inyo!  #LiwanagSaDilim</v>
      </c>
      <c r="F191" s="1">
        <f>IFERROR(__xludf.DUMMYFUNCTION("""COMPUTED_VALUE"""),1.0)</f>
        <v>1</v>
      </c>
      <c r="G191" s="1" t="str">
        <f>IFERROR(__xludf.DUMMYFUNCTION("""COMPUTED_VALUE"""),"3 mos")</f>
        <v>3 mos</v>
      </c>
      <c r="H191" s="1" t="str">
        <f>IFERROR(__xludf.DUMMYFUNCTION("""COMPUTED_VALUE"""),"comment")</f>
        <v>comment</v>
      </c>
      <c r="I191" s="2" t="str">
        <f>IFERROR(__xludf.DUMMYFUNCTION("""COMPUTED_VALUE"""),"https://www.facebook.com/rapplerdotcom/photos/a.317154781638645/5598220220198715/")</f>
        <v>https://www.facebook.com/rapplerdotcom/photos/a.317154781638645/5598220220198715/</v>
      </c>
      <c r="J191" s="1" t="str">
        <f>IFERROR(__xludf.DUMMYFUNCTION("""COMPUTED_VALUE"""),"2022-07-04T11:09:50.066Z")</f>
        <v>2022-07-04T11:09:50.066Z</v>
      </c>
      <c r="K191" s="1"/>
    </row>
    <row r="192">
      <c r="A192" s="2" t="str">
        <f>IFERROR(__xludf.DUMMYFUNCTION("""COMPUTED_VALUE"""),"https://www.facebook.com/aida.villauz")</f>
        <v>https://www.facebook.com/aida.villauz</v>
      </c>
      <c r="B192" s="1" t="str">
        <f>IFERROR(__xludf.DUMMYFUNCTION("""COMPUTED_VALUE"""),"Aida Villaluz")</f>
        <v>Aida Villaluz</v>
      </c>
      <c r="C192" s="1" t="str">
        <f>IFERROR(__xludf.DUMMYFUNCTION("""COMPUTED_VALUE"""),"Aida")</f>
        <v>Aida</v>
      </c>
      <c r="D192" s="1" t="str">
        <f>IFERROR(__xludf.DUMMYFUNCTION("""COMPUTED_VALUE"""),"Villaluz")</f>
        <v>Villaluz</v>
      </c>
      <c r="E192" s="1" t="str">
        <f>IFERROR(__xludf.DUMMYFUNCTION("""COMPUTED_VALUE"""),"Lenikiko team......god bless")</f>
        <v>Lenikiko team......god bless</v>
      </c>
      <c r="F192" s="1">
        <f>IFERROR(__xludf.DUMMYFUNCTION("""COMPUTED_VALUE"""),1.0)</f>
        <v>1</v>
      </c>
      <c r="G192" s="1" t="str">
        <f>IFERROR(__xludf.DUMMYFUNCTION("""COMPUTED_VALUE"""),"3 mos")</f>
        <v>3 mos</v>
      </c>
      <c r="H192" s="1" t="str">
        <f>IFERROR(__xludf.DUMMYFUNCTION("""COMPUTED_VALUE"""),"comment")</f>
        <v>comment</v>
      </c>
      <c r="I192" s="2" t="str">
        <f>IFERROR(__xludf.DUMMYFUNCTION("""COMPUTED_VALUE"""),"https://www.facebook.com/rapplerdotcom/photos/a.317154781638645/5598220220198715/")</f>
        <v>https://www.facebook.com/rapplerdotcom/photos/a.317154781638645/5598220220198715/</v>
      </c>
      <c r="J192" s="1" t="str">
        <f>IFERROR(__xludf.DUMMYFUNCTION("""COMPUTED_VALUE"""),"2022-07-04T11:09:50.066Z")</f>
        <v>2022-07-04T11:09:50.066Z</v>
      </c>
      <c r="K192" s="1"/>
    </row>
    <row r="193">
      <c r="A193" s="2" t="str">
        <f>IFERROR(__xludf.DUMMYFUNCTION("""COMPUTED_VALUE"""),"https://www.facebook.com/joyce.orena")</f>
        <v>https://www.facebook.com/joyce.orena</v>
      </c>
      <c r="B193" s="1" t="str">
        <f>IFERROR(__xludf.DUMMYFUNCTION("""COMPUTED_VALUE"""),"Joyce Oreña")</f>
        <v>Joyce Oreña</v>
      </c>
      <c r="C193" s="1" t="str">
        <f>IFERROR(__xludf.DUMMYFUNCTION("""COMPUTED_VALUE"""),"Joyce")</f>
        <v>Joyce</v>
      </c>
      <c r="D193" s="1" t="str">
        <f>IFERROR(__xludf.DUMMYFUNCTION("""COMPUTED_VALUE"""),"Oreña")</f>
        <v>Oreña</v>
      </c>
      <c r="E193" s="1" t="str">
        <f>IFERROR(__xludf.DUMMYFUNCTION("""COMPUTED_VALUE"""),"Our future president.")</f>
        <v>Our future president.</v>
      </c>
      <c r="F193" s="1">
        <f>IFERROR(__xludf.DUMMYFUNCTION("""COMPUTED_VALUE"""),1.0)</f>
        <v>1</v>
      </c>
      <c r="G193" s="1" t="str">
        <f>IFERROR(__xludf.DUMMYFUNCTION("""COMPUTED_VALUE"""),"3 mos")</f>
        <v>3 mos</v>
      </c>
      <c r="H193" s="1" t="str">
        <f>IFERROR(__xludf.DUMMYFUNCTION("""COMPUTED_VALUE"""),"comment")</f>
        <v>comment</v>
      </c>
      <c r="I193" s="2" t="str">
        <f>IFERROR(__xludf.DUMMYFUNCTION("""COMPUTED_VALUE"""),"https://www.facebook.com/rapplerdotcom/photos/a.317154781638645/5598220220198715/")</f>
        <v>https://www.facebook.com/rapplerdotcom/photos/a.317154781638645/5598220220198715/</v>
      </c>
      <c r="J193" s="1" t="str">
        <f>IFERROR(__xludf.DUMMYFUNCTION("""COMPUTED_VALUE"""),"2022-07-04T11:09:50.066Z")</f>
        <v>2022-07-04T11:09:50.066Z</v>
      </c>
      <c r="K193" s="1"/>
    </row>
    <row r="194">
      <c r="A194" s="2" t="str">
        <f>IFERROR(__xludf.DUMMYFUNCTION("""COMPUTED_VALUE"""),"https://www.facebook.com/nssilvela")</f>
        <v>https://www.facebook.com/nssilvela</v>
      </c>
      <c r="B194" s="1" t="str">
        <f>IFERROR(__xludf.DUMMYFUNCTION("""COMPUTED_VALUE"""),"Nancy Silvela")</f>
        <v>Nancy Silvela</v>
      </c>
      <c r="C194" s="1" t="str">
        <f>IFERROR(__xludf.DUMMYFUNCTION("""COMPUTED_VALUE"""),"Nancy")</f>
        <v>Nancy</v>
      </c>
      <c r="D194" s="1" t="str">
        <f>IFERROR(__xludf.DUMMYFUNCTION("""COMPUTED_VALUE"""),"Silvela")</f>
        <v>Silvela</v>
      </c>
      <c r="E194" s="1" t="str">
        <f>IFERROR(__xludf.DUMMYFUNCTION("""COMPUTED_VALUE"""),"🌌May GOD Bless Us All With Lots of Wisdom To Share With None... May The Lord Jesus Christ Protect and Guide Us All To GOD's Gace and Embrace. Amen. 🙏🏼🕊🌕☀️🌴🌻💜🌐🇵🇭  #LeniKiko2022 #VoteKikoToProtectLeni  #LeniKikoAllTheWay  #10LeniRobredoPresident "&amp;" #7KikoPangilinanVicePresident  #GobyernongTapatAngatBuhayLahat  #PinkIsHope  #HelloPagkainGoodbyeGutom  🙏🏼🕊🌕☀️🌴💟💚💜🌷🌾🌻🌐🇵🇭")</f>
        <v>🌌May GOD Bless Us All With Lots of Wisdom To Share With None... May The Lord Jesus Christ Protect and Guide Us All To GOD's Gace and Embrace. Amen. 🙏🏼🕊🌕☀️🌴🌻💜🌐🇵🇭  #LeniKiko2022 #VoteKikoToProtectLeni  #LeniKikoAllTheWay  #10LeniRobredoPresident  #7KikoPangilinanVicePresident  #GobyernongTapatAngatBuhayLahat  #PinkIsHope  #HelloPagkainGoodbyeGutom  🙏🏼🕊🌕☀️🌴💟💚💜🌷🌾🌻🌐🇵🇭</v>
      </c>
      <c r="F194" s="1">
        <f>IFERROR(__xludf.DUMMYFUNCTION("""COMPUTED_VALUE"""),2.0)</f>
        <v>2</v>
      </c>
      <c r="G194" s="1" t="str">
        <f>IFERROR(__xludf.DUMMYFUNCTION("""COMPUTED_VALUE"""),"3 mos")</f>
        <v>3 mos</v>
      </c>
      <c r="H194" s="1" t="str">
        <f>IFERROR(__xludf.DUMMYFUNCTION("""COMPUTED_VALUE"""),"comment")</f>
        <v>comment</v>
      </c>
      <c r="I194" s="2" t="str">
        <f>IFERROR(__xludf.DUMMYFUNCTION("""COMPUTED_VALUE"""),"https://www.facebook.com/rapplerdotcom/photos/a.317154781638645/5598220220198715/")</f>
        <v>https://www.facebook.com/rapplerdotcom/photos/a.317154781638645/5598220220198715/</v>
      </c>
      <c r="J194" s="1" t="str">
        <f>IFERROR(__xludf.DUMMYFUNCTION("""COMPUTED_VALUE"""),"2022-07-04T11:09:50.066Z")</f>
        <v>2022-07-04T11:09:50.066Z</v>
      </c>
      <c r="K194" s="1"/>
    </row>
    <row r="195">
      <c r="A195" s="2" t="str">
        <f>IFERROR(__xludf.DUMMYFUNCTION("""COMPUTED_VALUE"""),"https://www.facebook.com/ejllorente04")</f>
        <v>https://www.facebook.com/ejllorente04</v>
      </c>
      <c r="B195" s="1" t="str">
        <f>IFERROR(__xludf.DUMMYFUNCTION("""COMPUTED_VALUE"""),"Ej Llorente")</f>
        <v>Ej Llorente</v>
      </c>
      <c r="C195" s="1" t="str">
        <f>IFERROR(__xludf.DUMMYFUNCTION("""COMPUTED_VALUE"""),"Ej")</f>
        <v>Ej</v>
      </c>
      <c r="D195" s="1" t="str">
        <f>IFERROR(__xludf.DUMMYFUNCTION("""COMPUTED_VALUE"""),"Llorente")</f>
        <v>Llorente</v>
      </c>
      <c r="E195" s="1" t="str">
        <f>IFERROR(__xludf.DUMMYFUNCTION("""COMPUTED_VALUE"""),"Where to watch the interview po? Thank you 💗")</f>
        <v>Where to watch the interview po? Thank you 💗</v>
      </c>
      <c r="F195" s="1"/>
      <c r="G195" s="1" t="str">
        <f>IFERROR(__xludf.DUMMYFUNCTION("""COMPUTED_VALUE"""),"3 mos")</f>
        <v>3 mos</v>
      </c>
      <c r="H195" s="1" t="str">
        <f>IFERROR(__xludf.DUMMYFUNCTION("""COMPUTED_VALUE"""),"comment")</f>
        <v>comment</v>
      </c>
      <c r="I195" s="2" t="str">
        <f>IFERROR(__xludf.DUMMYFUNCTION("""COMPUTED_VALUE"""),"https://www.facebook.com/rapplerdotcom/photos/a.317154781638645/5598220220198715/")</f>
        <v>https://www.facebook.com/rapplerdotcom/photos/a.317154781638645/5598220220198715/</v>
      </c>
      <c r="J195" s="1" t="str">
        <f>IFERROR(__xludf.DUMMYFUNCTION("""COMPUTED_VALUE"""),"2022-07-04T11:09:50.066Z")</f>
        <v>2022-07-04T11:09:50.066Z</v>
      </c>
      <c r="K195" s="1"/>
    </row>
    <row r="196">
      <c r="A196" s="2" t="str">
        <f>IFERROR(__xludf.DUMMYFUNCTION("""COMPUTED_VALUE"""),"https://www.facebook.com/johnragadi")</f>
        <v>https://www.facebook.com/johnragadi</v>
      </c>
      <c r="B196" s="1" t="str">
        <f>IFERROR(__xludf.DUMMYFUNCTION("""COMPUTED_VALUE"""),"John Ragadi")</f>
        <v>John Ragadi</v>
      </c>
      <c r="C196" s="1" t="str">
        <f>IFERROR(__xludf.DUMMYFUNCTION("""COMPUTED_VALUE"""),"John")</f>
        <v>John</v>
      </c>
      <c r="D196" s="1" t="str">
        <f>IFERROR(__xludf.DUMMYFUNCTION("""COMPUTED_VALUE"""),"Ragadi")</f>
        <v>Ragadi</v>
      </c>
      <c r="E196" s="1" t="str">
        <f>IFERROR(__xludf.DUMMYFUNCTION("""COMPUTED_VALUE"""),"The next President of the Philippines 🥰")</f>
        <v>The next President of the Philippines 🥰</v>
      </c>
      <c r="F196" s="1">
        <f>IFERROR(__xludf.DUMMYFUNCTION("""COMPUTED_VALUE"""),1.0)</f>
        <v>1</v>
      </c>
      <c r="G196" s="1" t="str">
        <f>IFERROR(__xludf.DUMMYFUNCTION("""COMPUTED_VALUE"""),"3 mos")</f>
        <v>3 mos</v>
      </c>
      <c r="H196" s="1" t="str">
        <f>IFERROR(__xludf.DUMMYFUNCTION("""COMPUTED_VALUE"""),"comment")</f>
        <v>comment</v>
      </c>
      <c r="I196" s="2" t="str">
        <f>IFERROR(__xludf.DUMMYFUNCTION("""COMPUTED_VALUE"""),"https://www.facebook.com/rapplerdotcom/photos/a.317154781638645/5598220220198715/")</f>
        <v>https://www.facebook.com/rapplerdotcom/photos/a.317154781638645/5598220220198715/</v>
      </c>
      <c r="J196" s="1" t="str">
        <f>IFERROR(__xludf.DUMMYFUNCTION("""COMPUTED_VALUE"""),"2022-07-04T11:09:50.066Z")</f>
        <v>2022-07-04T11:09:50.066Z</v>
      </c>
      <c r="K196" s="1"/>
    </row>
    <row r="197">
      <c r="A197" s="2" t="str">
        <f>IFERROR(__xludf.DUMMYFUNCTION("""COMPUTED_VALUE"""),"https://www.facebook.com/Jadiz50")</f>
        <v>https://www.facebook.com/Jadiz50</v>
      </c>
      <c r="B197" s="1" t="str">
        <f>IFERROR(__xludf.DUMMYFUNCTION("""COMPUTED_VALUE"""),"Sure Diz")</f>
        <v>Sure Diz</v>
      </c>
      <c r="C197" s="1" t="str">
        <f>IFERROR(__xludf.DUMMYFUNCTION("""COMPUTED_VALUE"""),"Sure")</f>
        <v>Sure</v>
      </c>
      <c r="D197" s="1" t="str">
        <f>IFERROR(__xludf.DUMMYFUNCTION("""COMPUTED_VALUE"""),"Diz")</f>
        <v>Diz</v>
      </c>
      <c r="E197" s="1" t="str">
        <f>IFERROR(__xludf.DUMMYFUNCTION("""COMPUTED_VALUE"""),"Two very strong and admirable women na kaya nating ipagmalaki maging sa labas ng bansa. The best man for the job is a woman  #LeniForPresident2022  #10RobredoPresident  #LetLeniLead  #LeniKiko2022  #7KikoPangilinanVicePresident")</f>
        <v>Two very strong and admirable women na kaya nating ipagmalaki maging sa labas ng bansa. The best man for the job is a woman  #LeniForPresident2022  #10RobredoPresident  #LetLeniLead  #LeniKiko2022  #7KikoPangilinanVicePresident</v>
      </c>
      <c r="F197" s="1">
        <f>IFERROR(__xludf.DUMMYFUNCTION("""COMPUTED_VALUE"""),4.0)</f>
        <v>4</v>
      </c>
      <c r="G197" s="1" t="str">
        <f>IFERROR(__xludf.DUMMYFUNCTION("""COMPUTED_VALUE"""),"3 mos")</f>
        <v>3 mos</v>
      </c>
      <c r="H197" s="1" t="str">
        <f>IFERROR(__xludf.DUMMYFUNCTION("""COMPUTED_VALUE"""),"comment")</f>
        <v>comment</v>
      </c>
      <c r="I197" s="2" t="str">
        <f>IFERROR(__xludf.DUMMYFUNCTION("""COMPUTED_VALUE"""),"https://www.facebook.com/rapplerdotcom/photos/a.317154781638645/5598220220198715/")</f>
        <v>https://www.facebook.com/rapplerdotcom/photos/a.317154781638645/5598220220198715/</v>
      </c>
      <c r="J197" s="1" t="str">
        <f>IFERROR(__xludf.DUMMYFUNCTION("""COMPUTED_VALUE"""),"2022-07-04T11:09:50.066Z")</f>
        <v>2022-07-04T11:09:50.066Z</v>
      </c>
      <c r="K197" s="1"/>
    </row>
    <row r="198">
      <c r="A198" s="2" t="str">
        <f>IFERROR(__xludf.DUMMYFUNCTION("""COMPUTED_VALUE"""),"https://www.facebook.com/Jadiz50")</f>
        <v>https://www.facebook.com/Jadiz50</v>
      </c>
      <c r="B198" s="1" t="str">
        <f>IFERROR(__xludf.DUMMYFUNCTION("""COMPUTED_VALUE"""),"Sure Diz")</f>
        <v>Sure Diz</v>
      </c>
      <c r="C198" s="1" t="str">
        <f>IFERROR(__xludf.DUMMYFUNCTION("""COMPUTED_VALUE"""),"Sure")</f>
        <v>Sure</v>
      </c>
      <c r="D198" s="1" t="str">
        <f>IFERROR(__xludf.DUMMYFUNCTION("""COMPUTED_VALUE"""),"Diz")</f>
        <v>Diz</v>
      </c>
      <c r="E198" s="1" t="str">
        <f>IFERROR(__xludf.DUMMYFUNCTION("""COMPUTED_VALUE"""),"Praying for you both🙏.  Kayo ang aming mga bagong Bayani na dapat tularan. Walang takot kanino man sa ngalan ng kabutihan, katarungan  at kapakanan ng mamamayan. 😘💖")</f>
        <v>Praying for you both🙏.  Kayo ang aming mga bagong Bayani na dapat tularan. Walang takot kanino man sa ngalan ng kabutihan, katarungan  at kapakanan ng mamamayan. 😘💖</v>
      </c>
      <c r="F198" s="1">
        <f>IFERROR(__xludf.DUMMYFUNCTION("""COMPUTED_VALUE"""),2.0)</f>
        <v>2</v>
      </c>
      <c r="G198" s="1" t="str">
        <f>IFERROR(__xludf.DUMMYFUNCTION("""COMPUTED_VALUE"""),"3 mos")</f>
        <v>3 mos</v>
      </c>
      <c r="H198" s="1" t="str">
        <f>IFERROR(__xludf.DUMMYFUNCTION("""COMPUTED_VALUE"""),"comment")</f>
        <v>comment</v>
      </c>
      <c r="I198" s="2" t="str">
        <f>IFERROR(__xludf.DUMMYFUNCTION("""COMPUTED_VALUE"""),"https://www.facebook.com/rapplerdotcom/photos/a.317154781638645/5598220220198715/")</f>
        <v>https://www.facebook.com/rapplerdotcom/photos/a.317154781638645/5598220220198715/</v>
      </c>
      <c r="J198" s="1" t="str">
        <f>IFERROR(__xludf.DUMMYFUNCTION("""COMPUTED_VALUE"""),"2022-07-04T11:09:50.066Z")</f>
        <v>2022-07-04T11:09:50.066Z</v>
      </c>
      <c r="K198" s="1"/>
    </row>
    <row r="199">
      <c r="A199" s="2" t="str">
        <f>IFERROR(__xludf.DUMMYFUNCTION("""COMPUTED_VALUE"""),"https://www.facebook.com/bill.worth.1422")</f>
        <v>https://www.facebook.com/bill.worth.1422</v>
      </c>
      <c r="B199" s="1" t="str">
        <f>IFERROR(__xludf.DUMMYFUNCTION("""COMPUTED_VALUE"""),"Andy Billsworth")</f>
        <v>Andy Billsworth</v>
      </c>
      <c r="C199" s="1" t="str">
        <f>IFERROR(__xludf.DUMMYFUNCTION("""COMPUTED_VALUE"""),"Andy")</f>
        <v>Andy</v>
      </c>
      <c r="D199" s="1" t="str">
        <f>IFERROR(__xludf.DUMMYFUNCTION("""COMPUTED_VALUE"""),"Billsworth")</f>
        <v>Billsworth</v>
      </c>
      <c r="E199" s="1" t="str">
        <f>IFERROR(__xludf.DUMMYFUNCTION("""COMPUTED_VALUE"""),"Do what is best for our country.")</f>
        <v>Do what is best for our country.</v>
      </c>
      <c r="F199" s="1">
        <f>IFERROR(__xludf.DUMMYFUNCTION("""COMPUTED_VALUE"""),2.0)</f>
        <v>2</v>
      </c>
      <c r="G199" s="1" t="str">
        <f>IFERROR(__xludf.DUMMYFUNCTION("""COMPUTED_VALUE"""),"3 mos")</f>
        <v>3 mos</v>
      </c>
      <c r="H199" s="1" t="str">
        <f>IFERROR(__xludf.DUMMYFUNCTION("""COMPUTED_VALUE"""),"comment")</f>
        <v>comment</v>
      </c>
      <c r="I199" s="2" t="str">
        <f>IFERROR(__xludf.DUMMYFUNCTION("""COMPUTED_VALUE"""),"https://www.facebook.com/rapplerdotcom/photos/a.317154781638645/5598220220198715/")</f>
        <v>https://www.facebook.com/rapplerdotcom/photos/a.317154781638645/5598220220198715/</v>
      </c>
      <c r="J199" s="1" t="str">
        <f>IFERROR(__xludf.DUMMYFUNCTION("""COMPUTED_VALUE"""),"2022-07-04T11:09:50.066Z")</f>
        <v>2022-07-04T11:09:50.066Z</v>
      </c>
      <c r="K199" s="1"/>
    </row>
    <row r="200">
      <c r="A200" s="2" t="str">
        <f>IFERROR(__xludf.DUMMYFUNCTION("""COMPUTED_VALUE"""),"https://www.facebook.com/nap.cruz.3")</f>
        <v>https://www.facebook.com/nap.cruz.3</v>
      </c>
      <c r="B200" s="1" t="str">
        <f>IFERROR(__xludf.DUMMYFUNCTION("""COMPUTED_VALUE"""),"Nap-Neth Cruz")</f>
        <v>Nap-Neth Cruz</v>
      </c>
      <c r="C200" s="1" t="str">
        <f>IFERROR(__xludf.DUMMYFUNCTION("""COMPUTED_VALUE"""),"Nap-Neth")</f>
        <v>Nap-Neth</v>
      </c>
      <c r="D200" s="1" t="str">
        <f>IFERROR(__xludf.DUMMYFUNCTION("""COMPUTED_VALUE"""),"Cruz")</f>
        <v>Cruz</v>
      </c>
      <c r="E200" s="1" t="str">
        <f>IFERROR(__xludf.DUMMYFUNCTION("""COMPUTED_VALUE"""),"When is this interview going to get aired? Thanks.")</f>
        <v>When is this interview going to get aired? Thanks.</v>
      </c>
      <c r="F200" s="1"/>
      <c r="G200" s="1" t="str">
        <f>IFERROR(__xludf.DUMMYFUNCTION("""COMPUTED_VALUE"""),"3 mos")</f>
        <v>3 mos</v>
      </c>
      <c r="H200" s="1" t="str">
        <f>IFERROR(__xludf.DUMMYFUNCTION("""COMPUTED_VALUE"""),"comment")</f>
        <v>comment</v>
      </c>
      <c r="I200" s="2" t="str">
        <f>IFERROR(__xludf.DUMMYFUNCTION("""COMPUTED_VALUE"""),"https://www.facebook.com/rapplerdotcom/photos/a.317154781638645/5598220220198715/")</f>
        <v>https://www.facebook.com/rapplerdotcom/photos/a.317154781638645/5598220220198715/</v>
      </c>
      <c r="J200" s="1" t="str">
        <f>IFERROR(__xludf.DUMMYFUNCTION("""COMPUTED_VALUE"""),"2022-07-04T11:09:50.066Z")</f>
        <v>2022-07-04T11:09:50.066Z</v>
      </c>
      <c r="K200" s="1"/>
    </row>
    <row r="201">
      <c r="A201" s="2" t="str">
        <f>IFERROR(__xludf.DUMMYFUNCTION("""COMPUTED_VALUE"""),"https://www.facebook.com/steve.tamayo.18")</f>
        <v>https://www.facebook.com/steve.tamayo.18</v>
      </c>
      <c r="B201" s="1" t="str">
        <f>IFERROR(__xludf.DUMMYFUNCTION("""COMPUTED_VALUE"""),"Steve Tamayo")</f>
        <v>Steve Tamayo</v>
      </c>
      <c r="C201" s="1" t="str">
        <f>IFERROR(__xludf.DUMMYFUNCTION("""COMPUTED_VALUE"""),"Steve")</f>
        <v>Steve</v>
      </c>
      <c r="D201" s="1" t="str">
        <f>IFERROR(__xludf.DUMMYFUNCTION("""COMPUTED_VALUE"""),"Tamayo")</f>
        <v>Tamayo</v>
      </c>
      <c r="E201" s="1" t="str">
        <f>IFERROR(__xludf.DUMMYFUNCTION("""COMPUTED_VALUE"""),"Ang boto ko ay para sa isang #GobyernongTapatAngatBuhayLahat at #MasRadikalAngMagmahal  #IdasalNa10to #LeniKikoAllTheWay  #CaMaNavaForLeniKiko #RockAndRosas #CaMaNaVaIsPink  #LugawIsWowSaDabaw #DabawIsPink #tarLENIqueño #TarlacIsPink #PUSOtarlac  #Masagan"&amp;"angANEhan  #NuevaEcijaIsPink #IpanaloNa10Ito #10RobredoPresident  #KikoISDAKey #KikoAngManokKo  #7PangilinanForVicePresident  #MASSKARApatDapatLeniKiko  #TeamRObredoPAngilinan2022 kasamahan para sa Senado iboto din ng straight, Atty Alex Lacson, Atty Sonn"&amp;"y Matula, Dean Chel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#CaMaNaVaIsPink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201" s="1">
        <f>IFERROR(__xludf.DUMMYFUNCTION("""COMPUTED_VALUE"""),136.0)</f>
        <v>136</v>
      </c>
      <c r="G201" s="1" t="str">
        <f>IFERROR(__xludf.DUMMYFUNCTION("""COMPUTED_VALUE"""),"3 mos")</f>
        <v>3 mos</v>
      </c>
      <c r="H201" s="1" t="str">
        <f>IFERROR(__xludf.DUMMYFUNCTION("""COMPUTED_VALUE"""),"comment")</f>
        <v>comment</v>
      </c>
      <c r="I201" s="2" t="str">
        <f>IFERROR(__xludf.DUMMYFUNCTION("""COMPUTED_VALUE"""),"https://www.facebook.com/rapplerdotcom/photos/a.317154781638645/5598220220198715/")</f>
        <v>https://www.facebook.com/rapplerdotcom/photos/a.317154781638645/5598220220198715/</v>
      </c>
      <c r="J201" s="1" t="str">
        <f>IFERROR(__xludf.DUMMYFUNCTION("""COMPUTED_VALUE"""),"2022-07-04T11:09:50.066Z")</f>
        <v>2022-07-04T11:09:50.066Z</v>
      </c>
      <c r="K201" s="1"/>
    </row>
    <row r="202">
      <c r="A202" s="2" t="str">
        <f>IFERROR(__xludf.DUMMYFUNCTION("""COMPUTED_VALUE"""),"https://www.facebook.com/gonb.tibabs")</f>
        <v>https://www.facebook.com/gonb.tibabs</v>
      </c>
      <c r="B202" s="1" t="str">
        <f>IFERROR(__xludf.DUMMYFUNCTION("""COMPUTED_VALUE"""),"Gonb Tibabs")</f>
        <v>Gonb Tibabs</v>
      </c>
      <c r="C202" s="1" t="str">
        <f>IFERROR(__xludf.DUMMYFUNCTION("""COMPUTED_VALUE"""),"Gonb")</f>
        <v>Gonb</v>
      </c>
      <c r="D202" s="1" t="str">
        <f>IFERROR(__xludf.DUMMYFUNCTION("""COMPUTED_VALUE"""),"Tibabs")</f>
        <v>Tibabs</v>
      </c>
      <c r="E202" s="1" t="str">
        <f>IFERROR(__xludf.DUMMYFUNCTION("""COMPUTED_VALUE"""),"Steve Tamayo pareho po tayo. Proud kakampink.")</f>
        <v>Steve Tamayo pareho po tayo. Proud kakampink.</v>
      </c>
      <c r="F202" s="1">
        <f>IFERROR(__xludf.DUMMYFUNCTION("""COMPUTED_VALUE"""),7.0)</f>
        <v>7</v>
      </c>
      <c r="G202" s="1" t="str">
        <f>IFERROR(__xludf.DUMMYFUNCTION("""COMPUTED_VALUE"""),"3 mos")</f>
        <v>3 mos</v>
      </c>
      <c r="H202" s="1" t="str">
        <f>IFERROR(__xludf.DUMMYFUNCTION("""COMPUTED_VALUE"""),"reply")</f>
        <v>reply</v>
      </c>
      <c r="I202" s="2" t="str">
        <f>IFERROR(__xludf.DUMMYFUNCTION("""COMPUTED_VALUE"""),"https://www.facebook.com/rapplerdotcom/photos/a.317154781638645/5598220220198715/")</f>
        <v>https://www.facebook.com/rapplerdotcom/photos/a.317154781638645/5598220220198715/</v>
      </c>
      <c r="J202" s="1" t="str">
        <f>IFERROR(__xludf.DUMMYFUNCTION("""COMPUTED_VALUE"""),"2022-07-04T11:09:50.066Z")</f>
        <v>2022-07-04T11:09:50.066Z</v>
      </c>
      <c r="K202" s="1"/>
    </row>
    <row r="203">
      <c r="A203" s="2" t="str">
        <f>IFERROR(__xludf.DUMMYFUNCTION("""COMPUTED_VALUE"""),"https://www.facebook.com/gonb.tibabs")</f>
        <v>https://www.facebook.com/gonb.tibabs</v>
      </c>
      <c r="B203" s="1" t="str">
        <f>IFERROR(__xludf.DUMMYFUNCTION("""COMPUTED_VALUE"""),"Gonb Tibabs")</f>
        <v>Gonb Tibabs</v>
      </c>
      <c r="C203" s="1" t="str">
        <f>IFERROR(__xludf.DUMMYFUNCTION("""COMPUTED_VALUE"""),"Gonb")</f>
        <v>Gonb</v>
      </c>
      <c r="D203" s="1" t="str">
        <f>IFERROR(__xludf.DUMMYFUNCTION("""COMPUTED_VALUE"""),"Tibabs")</f>
        <v>Tibabs</v>
      </c>
      <c r="E203" s="1" t="str">
        <f>IFERROR(__xludf.DUMMYFUNCTION("""COMPUTED_VALUE"""),"Proud kakampink.")</f>
        <v>Proud kakampink.</v>
      </c>
      <c r="F203" s="1">
        <f>IFERROR(__xludf.DUMMYFUNCTION("""COMPUTED_VALUE"""),6.0)</f>
        <v>6</v>
      </c>
      <c r="G203" s="1" t="str">
        <f>IFERROR(__xludf.DUMMYFUNCTION("""COMPUTED_VALUE"""),"3 mos")</f>
        <v>3 mos</v>
      </c>
      <c r="H203" s="1" t="str">
        <f>IFERROR(__xludf.DUMMYFUNCTION("""COMPUTED_VALUE"""),"reply")</f>
        <v>reply</v>
      </c>
      <c r="I203" s="2" t="str">
        <f>IFERROR(__xludf.DUMMYFUNCTION("""COMPUTED_VALUE"""),"https://www.facebook.com/rapplerdotcom/photos/a.317154781638645/5598220220198715/")</f>
        <v>https://www.facebook.com/rapplerdotcom/photos/a.317154781638645/5598220220198715/</v>
      </c>
      <c r="J203" s="1" t="str">
        <f>IFERROR(__xludf.DUMMYFUNCTION("""COMPUTED_VALUE"""),"2022-07-04T11:09:50.066Z")</f>
        <v>2022-07-04T11:09:50.066Z</v>
      </c>
      <c r="K203" s="1"/>
    </row>
    <row r="204">
      <c r="A204" s="2" t="str">
        <f>IFERROR(__xludf.DUMMYFUNCTION("""COMPUTED_VALUE"""),"https://www.facebook.com/emele.maca.7")</f>
        <v>https://www.facebook.com/emele.maca.7</v>
      </c>
      <c r="B204" s="1" t="str">
        <f>IFERROR(__xludf.DUMMYFUNCTION("""COMPUTED_VALUE"""),"Mcdagaas Jemelle")</f>
        <v>Mcdagaas Jemelle</v>
      </c>
      <c r="C204" s="1" t="str">
        <f>IFERROR(__xludf.DUMMYFUNCTION("""COMPUTED_VALUE"""),"Mcdagaas")</f>
        <v>Mcdagaas</v>
      </c>
      <c r="D204" s="1" t="str">
        <f>IFERROR(__xludf.DUMMYFUNCTION("""COMPUTED_VALUE"""),"Jemelle")</f>
        <v>Jemelle</v>
      </c>
      <c r="E204" s="1" t="str">
        <f>IFERROR(__xludf.DUMMYFUNCTION("""COMPUTED_VALUE"""),"Steve Tamayo ang boto mo para kay lutang o sege, go nuclear na boto ang ibigay mo kay lutang para sabog")</f>
        <v>Steve Tamayo ang boto mo para kay lutang o sege, go nuclear na boto ang ibigay mo kay lutang para sabog</v>
      </c>
      <c r="F204" s="1"/>
      <c r="G204" s="1" t="str">
        <f>IFERROR(__xludf.DUMMYFUNCTION("""COMPUTED_VALUE"""),"3 mos")</f>
        <v>3 mos</v>
      </c>
      <c r="H204" s="1" t="str">
        <f>IFERROR(__xludf.DUMMYFUNCTION("""COMPUTED_VALUE"""),"reply")</f>
        <v>reply</v>
      </c>
      <c r="I204" s="2" t="str">
        <f>IFERROR(__xludf.DUMMYFUNCTION("""COMPUTED_VALUE"""),"https://www.facebook.com/rapplerdotcom/photos/a.317154781638645/5598220220198715/")</f>
        <v>https://www.facebook.com/rapplerdotcom/photos/a.317154781638645/5598220220198715/</v>
      </c>
      <c r="J204" s="1" t="str">
        <f>IFERROR(__xludf.DUMMYFUNCTION("""COMPUTED_VALUE"""),"2022-07-04T11:09:50.066Z")</f>
        <v>2022-07-04T11:09:50.066Z</v>
      </c>
      <c r="K204" s="1"/>
    </row>
    <row r="205">
      <c r="A205" s="2" t="str">
        <f>IFERROR(__xludf.DUMMYFUNCTION("""COMPUTED_VALUE"""),"https://www.facebook.com/werdna.matugas")</f>
        <v>https://www.facebook.com/werdna.matugas</v>
      </c>
      <c r="B205" s="1" t="str">
        <f>IFERROR(__xludf.DUMMYFUNCTION("""COMPUTED_VALUE"""),"Yu Shen")</f>
        <v>Yu Shen</v>
      </c>
      <c r="C205" s="1" t="str">
        <f>IFERROR(__xludf.DUMMYFUNCTION("""COMPUTED_VALUE"""),"Yu")</f>
        <v>Yu</v>
      </c>
      <c r="D205" s="1" t="str">
        <f>IFERROR(__xludf.DUMMYFUNCTION("""COMPUTED_VALUE"""),"Shen")</f>
        <v>Shen</v>
      </c>
      <c r="E205" s="1" t="str">
        <f>IFERROR(__xludf.DUMMYFUNCTION("""COMPUTED_VALUE"""),"Steve Tamayo #Sagobernongtapatmgabubulahat🤣🤣")</f>
        <v>Steve Tamayo #Sagobernongtapatmgabubulahat🤣🤣</v>
      </c>
      <c r="F205" s="1"/>
      <c r="G205" s="1" t="str">
        <f>IFERROR(__xludf.DUMMYFUNCTION("""COMPUTED_VALUE"""),"3 mos")</f>
        <v>3 mos</v>
      </c>
      <c r="H205" s="1" t="str">
        <f>IFERROR(__xludf.DUMMYFUNCTION("""COMPUTED_VALUE"""),"reply")</f>
        <v>reply</v>
      </c>
      <c r="I205" s="2" t="str">
        <f>IFERROR(__xludf.DUMMYFUNCTION("""COMPUTED_VALUE"""),"https://www.facebook.com/rapplerdotcom/photos/a.317154781638645/5598220220198715/")</f>
        <v>https://www.facebook.com/rapplerdotcom/photos/a.317154781638645/5598220220198715/</v>
      </c>
      <c r="J205" s="1" t="str">
        <f>IFERROR(__xludf.DUMMYFUNCTION("""COMPUTED_VALUE"""),"2022-07-04T11:09:50.066Z")</f>
        <v>2022-07-04T11:09:50.066Z</v>
      </c>
      <c r="K205" s="1"/>
    </row>
    <row r="206">
      <c r="A206" s="2" t="str">
        <f>IFERROR(__xludf.DUMMYFUNCTION("""COMPUTED_VALUE"""),"https://www.facebook.com/PKMmatters")</f>
        <v>https://www.facebook.com/PKMmatters</v>
      </c>
      <c r="B206" s="1" t="str">
        <f>IFERROR(__xludf.DUMMYFUNCTION("""COMPUTED_VALUE"""),"Pikaem InHamburg")</f>
        <v>Pikaem InHamburg</v>
      </c>
      <c r="C206" s="1" t="str">
        <f>IFERROR(__xludf.DUMMYFUNCTION("""COMPUTED_VALUE"""),"Pikaem")</f>
        <v>Pikaem</v>
      </c>
      <c r="D206" s="1" t="str">
        <f>IFERROR(__xludf.DUMMYFUNCTION("""COMPUTED_VALUE"""),"InHamburg")</f>
        <v>InHamburg</v>
      </c>
      <c r="E206" s="1" t="str">
        <f>IFERROR(__xludf.DUMMYFUNCTION("""COMPUTED_VALUE"""),"#LetLeniLead2022  MY PRESIDENT!!! TUNAY NA NARARAPAT,  WALANG BAHID NG KORAPSYON #LeniKikoAllTheWay #GobyernongTapatAngatBuhayLahat #KulayRosasAngBukas 🌷♥😍")</f>
        <v>#LetLeniLead2022  MY PRESIDENT!!! TUNAY NA NARARAPAT,  WALANG BAHID NG KORAPSYON #LeniKikoAllTheWay #GobyernongTapatAngatBuhayLahat #KulayRosasAngBukas 🌷♥😍</v>
      </c>
      <c r="F206" s="1">
        <f>IFERROR(__xludf.DUMMYFUNCTION("""COMPUTED_VALUE"""),2.0)</f>
        <v>2</v>
      </c>
      <c r="G206" s="1" t="str">
        <f>IFERROR(__xludf.DUMMYFUNCTION("""COMPUTED_VALUE"""),"3 mos")</f>
        <v>3 mos</v>
      </c>
      <c r="H206" s="1" t="str">
        <f>IFERROR(__xludf.DUMMYFUNCTION("""COMPUTED_VALUE"""),"comment")</f>
        <v>comment</v>
      </c>
      <c r="I206" s="2" t="str">
        <f>IFERROR(__xludf.DUMMYFUNCTION("""COMPUTED_VALUE"""),"https://www.facebook.com/rapplerdotcom/photos/a.317154781638645/5598220220198715/")</f>
        <v>https://www.facebook.com/rapplerdotcom/photos/a.317154781638645/5598220220198715/</v>
      </c>
      <c r="J206" s="1" t="str">
        <f>IFERROR(__xludf.DUMMYFUNCTION("""COMPUTED_VALUE"""),"2022-07-04T11:09:50.066Z")</f>
        <v>2022-07-04T11:09:50.066Z</v>
      </c>
      <c r="K206" s="1"/>
    </row>
    <row r="207">
      <c r="A207" s="2" t="str">
        <f>IFERROR(__xludf.DUMMYFUNCTION("""COMPUTED_VALUE"""),"https://www.facebook.com/sweetverni")</f>
        <v>https://www.facebook.com/sweetverni</v>
      </c>
      <c r="B207" s="1" t="str">
        <f>IFERROR(__xludf.DUMMYFUNCTION("""COMPUTED_VALUE"""),"Sweetverni Aces")</f>
        <v>Sweetverni Aces</v>
      </c>
      <c r="C207" s="1" t="str">
        <f>IFERROR(__xludf.DUMMYFUNCTION("""COMPUTED_VALUE"""),"Sweetverni")</f>
        <v>Sweetverni</v>
      </c>
      <c r="D207" s="1" t="str">
        <f>IFERROR(__xludf.DUMMYFUNCTION("""COMPUTED_VALUE"""),"Aces")</f>
        <v>Aces</v>
      </c>
      <c r="E207" s="1" t="str">
        <f>IFERROR(__xludf.DUMMYFUNCTION("""COMPUTED_VALUE"""),"🌸🌸🍀🍀 Mga TALA NG PAG-ASA, not just for economic but also for MORAL RECOVERY... 🍀🍀🌸🌸  #GobyernongTapat! #LeniKiko2022 #AngatBuhayLahat #LeniKikoAllTheWay  #10RobredoPresident #7KikoPangilinanVicePresident #4TeddyBaguilat #18LeilaDeLima #21ChelDiokn"&amp;"o #34RisaHontiveros #38AlexLacson #45SonnyMatula #58SonnyTrillanes #16NeriColmenares lenirobredo.com")</f>
        <v>🌸🌸🍀🍀 Mga TALA NG PAG-ASA, not just for economic but also for MORAL RECOVERY... 🍀🍀🌸🌸  #GobyernongTapat! #LeniKiko2022 #AngatBuhayLahat #LeniKikoAllTheWay  #10RobredoPresident #7KikoPangilinanVicePresident #4TeddyBaguilat #18LeilaDeLima #21ChelDiokno #34RisaHontiveros #38AlexLacson #45SonnyMatula #58SonnyTrillanes #16NeriColmenares lenirobredo.com</v>
      </c>
      <c r="F207" s="1">
        <f>IFERROR(__xludf.DUMMYFUNCTION("""COMPUTED_VALUE"""),1.0)</f>
        <v>1</v>
      </c>
      <c r="G207" s="1" t="str">
        <f>IFERROR(__xludf.DUMMYFUNCTION("""COMPUTED_VALUE"""),"3 mos")</f>
        <v>3 mos</v>
      </c>
      <c r="H207" s="1" t="str">
        <f>IFERROR(__xludf.DUMMYFUNCTION("""COMPUTED_VALUE"""),"comment")</f>
        <v>comment</v>
      </c>
      <c r="I207" s="2" t="str">
        <f>IFERROR(__xludf.DUMMYFUNCTION("""COMPUTED_VALUE"""),"https://www.facebook.com/rapplerdotcom/photos/a.317154781638645/5598220220198715/")</f>
        <v>https://www.facebook.com/rapplerdotcom/photos/a.317154781638645/5598220220198715/</v>
      </c>
      <c r="J207" s="1" t="str">
        <f>IFERROR(__xludf.DUMMYFUNCTION("""COMPUTED_VALUE"""),"2022-07-04T11:09:50.066Z")</f>
        <v>2022-07-04T11:09:50.066Z</v>
      </c>
      <c r="K207" s="1"/>
    </row>
    <row r="208">
      <c r="A208" s="2" t="str">
        <f>IFERROR(__xludf.DUMMYFUNCTION("""COMPUTED_VALUE"""),"https://www.facebook.com/eduardo.arboleda.1257")</f>
        <v>https://www.facebook.com/eduardo.arboleda.1257</v>
      </c>
      <c r="B208" s="1" t="str">
        <f>IFERROR(__xludf.DUMMYFUNCTION("""COMPUTED_VALUE"""),"Ed Smith")</f>
        <v>Ed Smith</v>
      </c>
      <c r="C208" s="1" t="str">
        <f>IFERROR(__xludf.DUMMYFUNCTION("""COMPUTED_VALUE"""),"Ed")</f>
        <v>Ed</v>
      </c>
      <c r="D208" s="1" t="str">
        <f>IFERROR(__xludf.DUMMYFUNCTION("""COMPUTED_VALUE"""),"Smith")</f>
        <v>Smith</v>
      </c>
      <c r="E208" s="1" t="str">
        <f>IFERROR(__xludf.DUMMYFUNCTION("""COMPUTED_VALUE"""),"Salamat sa pakikilaban para sa masang Pilipino at para sa kinabukan ng ating bansa.")</f>
        <v>Salamat sa pakikilaban para sa masang Pilipino at para sa kinabukan ng ating bansa.</v>
      </c>
      <c r="F208" s="1">
        <f>IFERROR(__xludf.DUMMYFUNCTION("""COMPUTED_VALUE"""),7.0)</f>
        <v>7</v>
      </c>
      <c r="G208" s="1" t="str">
        <f>IFERROR(__xludf.DUMMYFUNCTION("""COMPUTED_VALUE"""),"3 mos")</f>
        <v>3 mos</v>
      </c>
      <c r="H208" s="1" t="str">
        <f>IFERROR(__xludf.DUMMYFUNCTION("""COMPUTED_VALUE"""),"comment")</f>
        <v>comment</v>
      </c>
      <c r="I208" s="2" t="str">
        <f>IFERROR(__xludf.DUMMYFUNCTION("""COMPUTED_VALUE"""),"https://www.facebook.com/rapplerdotcom/photos/a.317154781638645/5598220220198715/")</f>
        <v>https://www.facebook.com/rapplerdotcom/photos/a.317154781638645/5598220220198715/</v>
      </c>
      <c r="J208" s="1" t="str">
        <f>IFERROR(__xludf.DUMMYFUNCTION("""COMPUTED_VALUE"""),"2022-07-04T11:09:50.066Z")</f>
        <v>2022-07-04T11:09:50.066Z</v>
      </c>
      <c r="K208" s="1"/>
    </row>
    <row r="209">
      <c r="A209" s="2" t="str">
        <f>IFERROR(__xludf.DUMMYFUNCTION("""COMPUTED_VALUE"""),"https://www.facebook.com/catalino.onquit")</f>
        <v>https://www.facebook.com/catalino.onquit</v>
      </c>
      <c r="B209" s="1" t="str">
        <f>IFERROR(__xludf.DUMMYFUNCTION("""COMPUTED_VALUE"""),"Catalino Onquit")</f>
        <v>Catalino Onquit</v>
      </c>
      <c r="C209" s="1" t="str">
        <f>IFERROR(__xludf.DUMMYFUNCTION("""COMPUTED_VALUE"""),"Catalino")</f>
        <v>Catalino</v>
      </c>
      <c r="D209" s="1" t="str">
        <f>IFERROR(__xludf.DUMMYFUNCTION("""COMPUTED_VALUE"""),"Onquit")</f>
        <v>Onquit</v>
      </c>
      <c r="E209" s="1" t="str">
        <f>IFERROR(__xludf.DUMMYFUNCTION("""COMPUTED_VALUE"""),"Ilabas n interview")</f>
        <v>Ilabas n interview</v>
      </c>
      <c r="F209" s="1"/>
      <c r="G209" s="1" t="str">
        <f>IFERROR(__xludf.DUMMYFUNCTION("""COMPUTED_VALUE"""),"3 mos")</f>
        <v>3 mos</v>
      </c>
      <c r="H209" s="1" t="str">
        <f>IFERROR(__xludf.DUMMYFUNCTION("""COMPUTED_VALUE"""),"comment")</f>
        <v>comment</v>
      </c>
      <c r="I209" s="2" t="str">
        <f>IFERROR(__xludf.DUMMYFUNCTION("""COMPUTED_VALUE"""),"https://www.facebook.com/rapplerdotcom/photos/a.317154781638645/5598220220198715/")</f>
        <v>https://www.facebook.com/rapplerdotcom/photos/a.317154781638645/5598220220198715/</v>
      </c>
      <c r="J209" s="1" t="str">
        <f>IFERROR(__xludf.DUMMYFUNCTION("""COMPUTED_VALUE"""),"2022-07-04T11:09:50.066Z")</f>
        <v>2022-07-04T11:09:50.066Z</v>
      </c>
      <c r="K209" s="1"/>
    </row>
    <row r="210">
      <c r="A210" s="2" t="str">
        <f>IFERROR(__xludf.DUMMYFUNCTION("""COMPUTED_VALUE"""),"https://www.facebook.com/profile.php?id=100069055685563")</f>
        <v>https://www.facebook.com/profile.php?id=100069055685563</v>
      </c>
      <c r="B210" s="1" t="str">
        <f>IFERROR(__xludf.DUMMYFUNCTION("""COMPUTED_VALUE"""),"Clark Daniel Gutlay")</f>
        <v>Clark Daniel Gutlay</v>
      </c>
      <c r="C210" s="1" t="str">
        <f>IFERROR(__xludf.DUMMYFUNCTION("""COMPUTED_VALUE"""),"Clark")</f>
        <v>Clark</v>
      </c>
      <c r="D210" s="1" t="str">
        <f>IFERROR(__xludf.DUMMYFUNCTION("""COMPUTED_VALUE"""),"Daniel Gutlay")</f>
        <v>Daniel Gutlay</v>
      </c>
      <c r="E210" s="1" t="str">
        <f>IFERROR(__xludf.DUMMYFUNCTION("""COMPUTED_VALUE"""),"Sabwatan ng mga hayok sa kapangyarihan")</f>
        <v>Sabwatan ng mga hayok sa kapangyarihan</v>
      </c>
      <c r="F210" s="1">
        <f>IFERROR(__xludf.DUMMYFUNCTION("""COMPUTED_VALUE"""),1.0)</f>
        <v>1</v>
      </c>
      <c r="G210" s="1" t="str">
        <f>IFERROR(__xludf.DUMMYFUNCTION("""COMPUTED_VALUE"""),"3 mos")</f>
        <v>3 mos</v>
      </c>
      <c r="H210" s="1" t="str">
        <f>IFERROR(__xludf.DUMMYFUNCTION("""COMPUTED_VALUE"""),"comment")</f>
        <v>comment</v>
      </c>
      <c r="I210" s="2" t="str">
        <f>IFERROR(__xludf.DUMMYFUNCTION("""COMPUTED_VALUE"""),"https://www.facebook.com/rapplerdotcom/photos/a.317154781638645/5598220220198715/")</f>
        <v>https://www.facebook.com/rapplerdotcom/photos/a.317154781638645/5598220220198715/</v>
      </c>
      <c r="J210" s="1" t="str">
        <f>IFERROR(__xludf.DUMMYFUNCTION("""COMPUTED_VALUE"""),"2022-07-04T11:09:50.066Z")</f>
        <v>2022-07-04T11:09:50.066Z</v>
      </c>
      <c r="K210" s="1"/>
    </row>
    <row r="211">
      <c r="A211" s="2" t="str">
        <f>IFERROR(__xludf.DUMMYFUNCTION("""COMPUTED_VALUE"""),"https://www.facebook.com/gilbert.cabacoy")</f>
        <v>https://www.facebook.com/gilbert.cabacoy</v>
      </c>
      <c r="B211" s="1" t="str">
        <f>IFERROR(__xludf.DUMMYFUNCTION("""COMPUTED_VALUE"""),"Gilbert Pahinag Cabacoy")</f>
        <v>Gilbert Pahinag Cabacoy</v>
      </c>
      <c r="C211" s="1" t="str">
        <f>IFERROR(__xludf.DUMMYFUNCTION("""COMPUTED_VALUE"""),"Gilbert")</f>
        <v>Gilbert</v>
      </c>
      <c r="D211" s="1" t="str">
        <f>IFERROR(__xludf.DUMMYFUNCTION("""COMPUTED_VALUE"""),"Pahinag Cabacoy")</f>
        <v>Pahinag Cabacoy</v>
      </c>
      <c r="E211" s="1" t="str">
        <f>IFERROR(__xludf.DUMMYFUNCTION("""COMPUTED_VALUE"""),"Yan Ang Kagalang Galang na Susunod na Presidente Ng Republika Ng Pilipinas!")</f>
        <v>Yan Ang Kagalang Galang na Susunod na Presidente Ng Republika Ng Pilipinas!</v>
      </c>
      <c r="F211" s="1">
        <f>IFERROR(__xludf.DUMMYFUNCTION("""COMPUTED_VALUE"""),30.0)</f>
        <v>30</v>
      </c>
      <c r="G211" s="1" t="str">
        <f>IFERROR(__xludf.DUMMYFUNCTION("""COMPUTED_VALUE"""),"3 mos")</f>
        <v>3 mos</v>
      </c>
      <c r="H211" s="1" t="str">
        <f>IFERROR(__xludf.DUMMYFUNCTION("""COMPUTED_VALUE"""),"comment")</f>
        <v>comment</v>
      </c>
      <c r="I211" s="2" t="str">
        <f>IFERROR(__xludf.DUMMYFUNCTION("""COMPUTED_VALUE"""),"https://www.facebook.com/rapplerdotcom/photos/a.317154781638645/5598220220198715/")</f>
        <v>https://www.facebook.com/rapplerdotcom/photos/a.317154781638645/5598220220198715/</v>
      </c>
      <c r="J211" s="1" t="str">
        <f>IFERROR(__xludf.DUMMYFUNCTION("""COMPUTED_VALUE"""),"2022-07-04T11:09:50.066Z")</f>
        <v>2022-07-04T11:09:50.066Z</v>
      </c>
      <c r="K211" s="1"/>
    </row>
    <row r="212">
      <c r="A212" s="2" t="str">
        <f>IFERROR(__xludf.DUMMYFUNCTION("""COMPUTED_VALUE"""),"https://www.facebook.com/versusversi")</f>
        <v>https://www.facebook.com/versusversi</v>
      </c>
      <c r="B212" s="1" t="str">
        <f>IFERROR(__xludf.DUMMYFUNCTION("""COMPUTED_VALUE"""),"Rem Russel Delarmente")</f>
        <v>Rem Russel Delarmente</v>
      </c>
      <c r="C212" s="1" t="str">
        <f>IFERROR(__xludf.DUMMYFUNCTION("""COMPUTED_VALUE"""),"Rem")</f>
        <v>Rem</v>
      </c>
      <c r="D212" s="1" t="str">
        <f>IFERROR(__xludf.DUMMYFUNCTION("""COMPUTED_VALUE"""),"Russel Delarmente")</f>
        <v>Russel Delarmente</v>
      </c>
      <c r="E212" s="1" t="str">
        <f>IFERROR(__xludf.DUMMYFUNCTION("""COMPUTED_VALUE"""),"Marvz Yu Polines wag na sana mag anak kung kabobohan lng din naman ang ipapamana")</f>
        <v>Marvz Yu Polines wag na sana mag anak kung kabobohan lng din naman ang ipapamana</v>
      </c>
      <c r="F212" s="1"/>
      <c r="G212" s="1" t="str">
        <f>IFERROR(__xludf.DUMMYFUNCTION("""COMPUTED_VALUE"""),"3 mos")</f>
        <v>3 mos</v>
      </c>
      <c r="H212" s="1" t="str">
        <f>IFERROR(__xludf.DUMMYFUNCTION("""COMPUTED_VALUE"""),"reply")</f>
        <v>reply</v>
      </c>
      <c r="I212" s="2" t="str">
        <f>IFERROR(__xludf.DUMMYFUNCTION("""COMPUTED_VALUE"""),"https://www.facebook.com/rapplerdotcom/photos/a.317154781638645/5598220220198715/")</f>
        <v>https://www.facebook.com/rapplerdotcom/photos/a.317154781638645/5598220220198715/</v>
      </c>
      <c r="J212" s="1" t="str">
        <f>IFERROR(__xludf.DUMMYFUNCTION("""COMPUTED_VALUE"""),"2022-07-04T11:09:50.066Z")</f>
        <v>2022-07-04T11:09:50.066Z</v>
      </c>
      <c r="K212" s="1"/>
    </row>
    <row r="213">
      <c r="A213" s="2" t="str">
        <f>IFERROR(__xludf.DUMMYFUNCTION("""COMPUTED_VALUE"""),"https://www.facebook.com/asean.briones")</f>
        <v>https://www.facebook.com/asean.briones</v>
      </c>
      <c r="B213" s="1" t="str">
        <f>IFERROR(__xludf.DUMMYFUNCTION("""COMPUTED_VALUE"""),"Asean Briones")</f>
        <v>Asean Briones</v>
      </c>
      <c r="C213" s="1" t="str">
        <f>IFERROR(__xludf.DUMMYFUNCTION("""COMPUTED_VALUE"""),"Asean")</f>
        <v>Asean</v>
      </c>
      <c r="D213" s="1" t="str">
        <f>IFERROR(__xludf.DUMMYFUNCTION("""COMPUTED_VALUE"""),"Briones")</f>
        <v>Briones</v>
      </c>
      <c r="E213" s="1" t="str">
        <f>IFERROR(__xludf.DUMMYFUNCTION("""COMPUTED_VALUE"""),"Salute to these inspiring brave women in the forefront! Yung ipaglalaban ang katotohanan gamit ang kanilang talino at sipag at pagmamahal sa bayan bilang sandata tungo sa isang maunlad at malayang Pilipinas 🇵🇭 #womensupportingwomen #womenempoweringwomen"&amp;" #TheLastManStandingIsAWoman")</f>
        <v>Salute to these inspiring brave women in the forefront! Yung ipaglalaban ang katotohanan gamit ang kanilang talino at sipag at pagmamahal sa bayan bilang sandata tungo sa isang maunlad at malayang Pilipinas 🇵🇭 #womensupportingwomen #womenempoweringwomen #TheLastManStandingIsAWoman</v>
      </c>
      <c r="F213" s="1">
        <f>IFERROR(__xludf.DUMMYFUNCTION("""COMPUTED_VALUE"""),4.0)</f>
        <v>4</v>
      </c>
      <c r="G213" s="1" t="str">
        <f>IFERROR(__xludf.DUMMYFUNCTION("""COMPUTED_VALUE"""),"3 mos")</f>
        <v>3 mos</v>
      </c>
      <c r="H213" s="1" t="str">
        <f>IFERROR(__xludf.DUMMYFUNCTION("""COMPUTED_VALUE"""),"comment")</f>
        <v>comment</v>
      </c>
      <c r="I213" s="2" t="str">
        <f>IFERROR(__xludf.DUMMYFUNCTION("""COMPUTED_VALUE"""),"https://www.facebook.com/rapplerdotcom/photos/a.317154781638645/5598220220198715/")</f>
        <v>https://www.facebook.com/rapplerdotcom/photos/a.317154781638645/5598220220198715/</v>
      </c>
      <c r="J213" s="1" t="str">
        <f>IFERROR(__xludf.DUMMYFUNCTION("""COMPUTED_VALUE"""),"2022-07-04T11:09:50.066Z")</f>
        <v>2022-07-04T11:09:50.066Z</v>
      </c>
      <c r="K213" s="1"/>
    </row>
    <row r="214">
      <c r="A214" s="2" t="str">
        <f>IFERROR(__xludf.DUMMYFUNCTION("""COMPUTED_VALUE"""),"https://www.facebook.com/elmer.gabini")</f>
        <v>https://www.facebook.com/elmer.gabini</v>
      </c>
      <c r="B214" s="1" t="str">
        <f>IFERROR(__xludf.DUMMYFUNCTION("""COMPUTED_VALUE"""),"Elmer Gabini")</f>
        <v>Elmer Gabini</v>
      </c>
      <c r="C214" s="1" t="str">
        <f>IFERROR(__xludf.DUMMYFUNCTION("""COMPUTED_VALUE"""),"Elmer")</f>
        <v>Elmer</v>
      </c>
      <c r="D214" s="1" t="str">
        <f>IFERROR(__xludf.DUMMYFUNCTION("""COMPUTED_VALUE"""),"Gabini")</f>
        <v>Gabini</v>
      </c>
      <c r="E214" s="1" t="str">
        <f>IFERROR(__xludf.DUMMYFUNCTION("""COMPUTED_VALUE"""),"#GobyernongTapat #AngatBuhayLahat   #KulayRosasAngBukas para sa mga #KakamPINK at #HindiKaPINK  #TapatMalinisMaasahan #PilipinasNatingMahal")</f>
        <v>#GobyernongTapat #AngatBuhayLahat   #KulayRosasAngBukas para sa mga #KakamPINK at #HindiKaPINK  #TapatMalinisMaasahan #PilipinasNatingMahal</v>
      </c>
      <c r="F214" s="1">
        <f>IFERROR(__xludf.DUMMYFUNCTION("""COMPUTED_VALUE"""),1.0)</f>
        <v>1</v>
      </c>
      <c r="G214" s="1" t="str">
        <f>IFERROR(__xludf.DUMMYFUNCTION("""COMPUTED_VALUE"""),"3 mos")</f>
        <v>3 mos</v>
      </c>
      <c r="H214" s="1" t="str">
        <f>IFERROR(__xludf.DUMMYFUNCTION("""COMPUTED_VALUE"""),"comment")</f>
        <v>comment</v>
      </c>
      <c r="I214" s="2" t="str">
        <f>IFERROR(__xludf.DUMMYFUNCTION("""COMPUTED_VALUE"""),"https://www.facebook.com/rapplerdotcom/photos/a.317154781638645/5598220220198715/")</f>
        <v>https://www.facebook.com/rapplerdotcom/photos/a.317154781638645/5598220220198715/</v>
      </c>
      <c r="J214" s="1" t="str">
        <f>IFERROR(__xludf.DUMMYFUNCTION("""COMPUTED_VALUE"""),"2022-07-04T11:09:50.066Z")</f>
        <v>2022-07-04T11:09:50.066Z</v>
      </c>
      <c r="K214" s="1"/>
    </row>
    <row r="215">
      <c r="A215" s="2" t="str">
        <f>IFERROR(__xludf.DUMMYFUNCTION("""COMPUTED_VALUE"""),"https://www.facebook.com/myinspireducation.587606")</f>
        <v>https://www.facebook.com/myinspireducation.587606</v>
      </c>
      <c r="B215" s="1" t="str">
        <f>IFERROR(__xludf.DUMMYFUNCTION("""COMPUTED_VALUE"""),"Vicky Perez")</f>
        <v>Vicky Perez</v>
      </c>
      <c r="C215" s="1" t="str">
        <f>IFERROR(__xludf.DUMMYFUNCTION("""COMPUTED_VALUE"""),"Vicky")</f>
        <v>Vicky</v>
      </c>
      <c r="D215" s="1" t="str">
        <f>IFERROR(__xludf.DUMMYFUNCTION("""COMPUTED_VALUE"""),"Perez")</f>
        <v>Perez</v>
      </c>
      <c r="E215" s="1" t="str">
        <f>IFERROR(__xludf.DUMMYFUNCTION("""COMPUTED_VALUE"""),"Mabuhay kayong 2! Kulay rosas and bukas.")</f>
        <v>Mabuhay kayong 2! Kulay rosas and bukas.</v>
      </c>
      <c r="F215" s="1">
        <f>IFERROR(__xludf.DUMMYFUNCTION("""COMPUTED_VALUE"""),1.0)</f>
        <v>1</v>
      </c>
      <c r="G215" s="1" t="str">
        <f>IFERROR(__xludf.DUMMYFUNCTION("""COMPUTED_VALUE"""),"3 mos")</f>
        <v>3 mos</v>
      </c>
      <c r="H215" s="1" t="str">
        <f>IFERROR(__xludf.DUMMYFUNCTION("""COMPUTED_VALUE"""),"comment")</f>
        <v>comment</v>
      </c>
      <c r="I215" s="2" t="str">
        <f>IFERROR(__xludf.DUMMYFUNCTION("""COMPUTED_VALUE"""),"https://www.facebook.com/rapplerdotcom/photos/a.317154781638645/5598220220198715/")</f>
        <v>https://www.facebook.com/rapplerdotcom/photos/a.317154781638645/5598220220198715/</v>
      </c>
      <c r="J215" s="1" t="str">
        <f>IFERROR(__xludf.DUMMYFUNCTION("""COMPUTED_VALUE"""),"2022-07-04T11:09:50.066Z")</f>
        <v>2022-07-04T11:09:50.066Z</v>
      </c>
      <c r="K215" s="1"/>
    </row>
    <row r="216">
      <c r="A216" s="2" t="str">
        <f>IFERROR(__xludf.DUMMYFUNCTION("""COMPUTED_VALUE"""),"https://www.facebook.com/judyann.aruta")</f>
        <v>https://www.facebook.com/judyann.aruta</v>
      </c>
      <c r="B216" s="1" t="str">
        <f>IFERROR(__xludf.DUMMYFUNCTION("""COMPUTED_VALUE"""),"Aruta JV")</f>
        <v>Aruta JV</v>
      </c>
      <c r="C216" s="1" t="str">
        <f>IFERROR(__xludf.DUMMYFUNCTION("""COMPUTED_VALUE"""),"Aruta")</f>
        <v>Aruta</v>
      </c>
      <c r="D216" s="1" t="str">
        <f>IFERROR(__xludf.DUMMYFUNCTION("""COMPUTED_VALUE"""),"JV")</f>
        <v>JV</v>
      </c>
      <c r="E216" s="1" t="str">
        <f>IFERROR(__xludf.DUMMYFUNCTION("""COMPUTED_VALUE"""),"Yan ang leader, Presidente.  Walang atraso kahit kanino, walang excess baggage. Kaya, Kahit saan, Kahit kelan, Kahit sino.. Kayang Humarap, Kasi Maalam, Malinis at malinaw Intensyon. may plataporma 🙏🌸🌷💗🇵🇭")</f>
        <v>Yan ang leader, Presidente.  Walang atraso kahit kanino, walang excess baggage. Kaya, Kahit saan, Kahit kelan, Kahit sino.. Kayang Humarap, Kasi Maalam, Malinis at malinaw Intensyon. may plataporma 🙏🌸🌷💗🇵🇭</v>
      </c>
      <c r="F216" s="1">
        <f>IFERROR(__xludf.DUMMYFUNCTION("""COMPUTED_VALUE"""),128.0)</f>
        <v>128</v>
      </c>
      <c r="G216" s="1" t="str">
        <f>IFERROR(__xludf.DUMMYFUNCTION("""COMPUTED_VALUE"""),"3 mos")</f>
        <v>3 mos</v>
      </c>
      <c r="H216" s="1" t="str">
        <f>IFERROR(__xludf.DUMMYFUNCTION("""COMPUTED_VALUE"""),"comment")</f>
        <v>comment</v>
      </c>
      <c r="I216" s="2" t="str">
        <f>IFERROR(__xludf.DUMMYFUNCTION("""COMPUTED_VALUE"""),"https://www.facebook.com/rapplerdotcom/photos/a.317154781638645/5598220220198715/")</f>
        <v>https://www.facebook.com/rapplerdotcom/photos/a.317154781638645/5598220220198715/</v>
      </c>
      <c r="J216" s="1" t="str">
        <f>IFERROR(__xludf.DUMMYFUNCTION("""COMPUTED_VALUE"""),"2022-07-04T11:09:50.066Z")</f>
        <v>2022-07-04T11:09:50.066Z</v>
      </c>
      <c r="K216" s="1"/>
    </row>
    <row r="217">
      <c r="A217" s="2" t="str">
        <f>IFERROR(__xludf.DUMMYFUNCTION("""COMPUTED_VALUE"""),"https://www.facebook.com/narciso.corvera.549")</f>
        <v>https://www.facebook.com/narciso.corvera.549</v>
      </c>
      <c r="B217" s="1" t="str">
        <f>IFERROR(__xludf.DUMMYFUNCTION("""COMPUTED_VALUE"""),"Narciso Corvera")</f>
        <v>Narciso Corvera</v>
      </c>
      <c r="C217" s="1" t="str">
        <f>IFERROR(__xludf.DUMMYFUNCTION("""COMPUTED_VALUE"""),"Narciso")</f>
        <v>Narciso</v>
      </c>
      <c r="D217" s="1" t="str">
        <f>IFERROR(__xludf.DUMMYFUNCTION("""COMPUTED_VALUE"""),"Corvera")</f>
        <v>Corvera</v>
      </c>
      <c r="E217" s="1" t="str">
        <f>IFERROR(__xludf.DUMMYFUNCTION("""COMPUTED_VALUE"""),"Jasmine Mariya Veñas tama ka Sis alang alam yan line  na  yan ang nagpapatakbo naman jan oligarko at ang mayayaman   bansa  kaya sunod sunoran  alam mo ba un kalabaw na kung saan hilahin sunod ng sunod ,ganyan c, Ate Lne kuno")</f>
        <v>Jasmine Mariya Veñas tama ka Sis alang alam yan line  na  yan ang nagpapatakbo naman jan oligarko at ang mayayaman   bansa  kaya sunod sunoran  alam mo ba un kalabaw na kung saan hilahin sunod ng sunod ,ganyan c, Ate Lne kuno</v>
      </c>
      <c r="F217" s="1">
        <f>IFERROR(__xludf.DUMMYFUNCTION("""COMPUTED_VALUE"""),4.0)</f>
        <v>4</v>
      </c>
      <c r="G217" s="1" t="str">
        <f>IFERROR(__xludf.DUMMYFUNCTION("""COMPUTED_VALUE"""),"3 mos")</f>
        <v>3 mos</v>
      </c>
      <c r="H217" s="1" t="str">
        <f>IFERROR(__xludf.DUMMYFUNCTION("""COMPUTED_VALUE"""),"reply")</f>
        <v>reply</v>
      </c>
      <c r="I217" s="2" t="str">
        <f>IFERROR(__xludf.DUMMYFUNCTION("""COMPUTED_VALUE"""),"https://www.facebook.com/rapplerdotcom/photos/a.317154781638645/5598220220198715/")</f>
        <v>https://www.facebook.com/rapplerdotcom/photos/a.317154781638645/5598220220198715/</v>
      </c>
      <c r="J217" s="1" t="str">
        <f>IFERROR(__xludf.DUMMYFUNCTION("""COMPUTED_VALUE"""),"2022-07-04T11:09:50.066Z")</f>
        <v>2022-07-04T11:09:50.066Z</v>
      </c>
      <c r="K217" s="1"/>
    </row>
    <row r="218">
      <c r="A218" s="2" t="str">
        <f>IFERROR(__xludf.DUMMYFUNCTION("""COMPUTED_VALUE"""),"https://www.facebook.com/joey.ibe.7")</f>
        <v>https://www.facebook.com/joey.ibe.7</v>
      </c>
      <c r="B218" s="1" t="str">
        <f>IFERROR(__xludf.DUMMYFUNCTION("""COMPUTED_VALUE"""),"Joey Ibe")</f>
        <v>Joey Ibe</v>
      </c>
      <c r="C218" s="1" t="str">
        <f>IFERROR(__xludf.DUMMYFUNCTION("""COMPUTED_VALUE"""),"Joey")</f>
        <v>Joey</v>
      </c>
      <c r="D218" s="1" t="str">
        <f>IFERROR(__xludf.DUMMYFUNCTION("""COMPUTED_VALUE"""),"Ibe")</f>
        <v>Ibe</v>
      </c>
      <c r="E218" s="1" t="str">
        <f>IFERROR(__xludf.DUMMYFUNCTION("""COMPUTED_VALUE"""),"Parehong lutang.")</f>
        <v>Parehong lutang.</v>
      </c>
      <c r="F218" s="1">
        <f>IFERROR(__xludf.DUMMYFUNCTION("""COMPUTED_VALUE"""),3.0)</f>
        <v>3</v>
      </c>
      <c r="G218" s="1" t="str">
        <f>IFERROR(__xludf.DUMMYFUNCTION("""COMPUTED_VALUE"""),"3 mos")</f>
        <v>3 mos</v>
      </c>
      <c r="H218" s="1" t="str">
        <f>IFERROR(__xludf.DUMMYFUNCTION("""COMPUTED_VALUE"""),"reply")</f>
        <v>reply</v>
      </c>
      <c r="I218" s="2" t="str">
        <f>IFERROR(__xludf.DUMMYFUNCTION("""COMPUTED_VALUE"""),"https://www.facebook.com/rapplerdotcom/photos/a.317154781638645/5598220220198715/")</f>
        <v>https://www.facebook.com/rapplerdotcom/photos/a.317154781638645/5598220220198715/</v>
      </c>
      <c r="J218" s="1" t="str">
        <f>IFERROR(__xludf.DUMMYFUNCTION("""COMPUTED_VALUE"""),"2022-07-04T11:09:50.066Z")</f>
        <v>2022-07-04T11:09:50.066Z</v>
      </c>
      <c r="K218" s="1"/>
    </row>
    <row r="219">
      <c r="A219" s="2" t="str">
        <f>IFERROR(__xludf.DUMMYFUNCTION("""COMPUTED_VALUE"""),"https://www.facebook.com/tony.deguzman.104")</f>
        <v>https://www.facebook.com/tony.deguzman.104</v>
      </c>
      <c r="B219" s="1" t="str">
        <f>IFERROR(__xludf.DUMMYFUNCTION("""COMPUTED_VALUE"""),"Tony de Guzman")</f>
        <v>Tony de Guzman</v>
      </c>
      <c r="C219" s="1" t="str">
        <f>IFERROR(__xludf.DUMMYFUNCTION("""COMPUTED_VALUE"""),"Tony")</f>
        <v>Tony</v>
      </c>
      <c r="D219" s="1" t="str">
        <f>IFERROR(__xludf.DUMMYFUNCTION("""COMPUTED_VALUE"""),"de Guzman")</f>
        <v>de Guzman</v>
      </c>
      <c r="E219" s="1" t="str">
        <f>IFERROR(__xludf.DUMMYFUNCTION("""COMPUTED_VALUE"""),"Aruta JV bakit di sya humarap kay prof. Carlos kagabi?😂😂")</f>
        <v>Aruta JV bakit di sya humarap kay prof. Carlos kagabi?😂😂</v>
      </c>
      <c r="F219" s="1">
        <f>IFERROR(__xludf.DUMMYFUNCTION("""COMPUTED_VALUE"""),1.0)</f>
        <v>1</v>
      </c>
      <c r="G219" s="1" t="str">
        <f>IFERROR(__xludf.DUMMYFUNCTION("""COMPUTED_VALUE"""),"3 mos")</f>
        <v>3 mos</v>
      </c>
      <c r="H219" s="1" t="str">
        <f>IFERROR(__xludf.DUMMYFUNCTION("""COMPUTED_VALUE"""),"reply")</f>
        <v>reply</v>
      </c>
      <c r="I219" s="2" t="str">
        <f>IFERROR(__xludf.DUMMYFUNCTION("""COMPUTED_VALUE"""),"https://www.facebook.com/rapplerdotcom/photos/a.317154781638645/5598220220198715/")</f>
        <v>https://www.facebook.com/rapplerdotcom/photos/a.317154781638645/5598220220198715/</v>
      </c>
      <c r="J219" s="1" t="str">
        <f>IFERROR(__xludf.DUMMYFUNCTION("""COMPUTED_VALUE"""),"2022-07-04T11:09:50.066Z")</f>
        <v>2022-07-04T11:09:50.066Z</v>
      </c>
      <c r="K219" s="1"/>
    </row>
    <row r="220">
      <c r="A220" s="2" t="str">
        <f>IFERROR(__xludf.DUMMYFUNCTION("""COMPUTED_VALUE"""),"https://www.facebook.com/palos.reblando")</f>
        <v>https://www.facebook.com/palos.reblando</v>
      </c>
      <c r="B220" s="1" t="str">
        <f>IFERROR(__xludf.DUMMYFUNCTION("""COMPUTED_VALUE"""),"Palos Reblando")</f>
        <v>Palos Reblando</v>
      </c>
      <c r="C220" s="1" t="str">
        <f>IFERROR(__xludf.DUMMYFUNCTION("""COMPUTED_VALUE"""),"Palos")</f>
        <v>Palos</v>
      </c>
      <c r="D220" s="1" t="str">
        <f>IFERROR(__xludf.DUMMYFUNCTION("""COMPUTED_VALUE"""),"Reblando")</f>
        <v>Reblando</v>
      </c>
      <c r="E220" s="1" t="str">
        <f>IFERROR(__xludf.DUMMYFUNCTION("""COMPUTED_VALUE"""),"Aruta JV lutang na kutang napakabobo")</f>
        <v>Aruta JV lutang na kutang napakabobo</v>
      </c>
      <c r="F220" s="1">
        <f>IFERROR(__xludf.DUMMYFUNCTION("""COMPUTED_VALUE"""),1.0)</f>
        <v>1</v>
      </c>
      <c r="G220" s="1" t="str">
        <f>IFERROR(__xludf.DUMMYFUNCTION("""COMPUTED_VALUE"""),"3 mos")</f>
        <v>3 mos</v>
      </c>
      <c r="H220" s="1" t="str">
        <f>IFERROR(__xludf.DUMMYFUNCTION("""COMPUTED_VALUE"""),"reply")</f>
        <v>reply</v>
      </c>
      <c r="I220" s="2" t="str">
        <f>IFERROR(__xludf.DUMMYFUNCTION("""COMPUTED_VALUE"""),"https://www.facebook.com/rapplerdotcom/photos/a.317154781638645/5598220220198715/")</f>
        <v>https://www.facebook.com/rapplerdotcom/photos/a.317154781638645/5598220220198715/</v>
      </c>
      <c r="J220" s="1" t="str">
        <f>IFERROR(__xludf.DUMMYFUNCTION("""COMPUTED_VALUE"""),"2022-07-04T11:09:50.066Z")</f>
        <v>2022-07-04T11:09:50.066Z</v>
      </c>
      <c r="K220" s="1"/>
    </row>
    <row r="221">
      <c r="A221" s="2" t="str">
        <f>IFERROR(__xludf.DUMMYFUNCTION("""COMPUTED_VALUE"""),"https://www.facebook.com/palos.reblando")</f>
        <v>https://www.facebook.com/palos.reblando</v>
      </c>
      <c r="B221" s="1" t="str">
        <f>IFERROR(__xludf.DUMMYFUNCTION("""COMPUTED_VALUE"""),"Palos Reblando")</f>
        <v>Palos Reblando</v>
      </c>
      <c r="C221" s="1" t="str">
        <f>IFERROR(__xludf.DUMMYFUNCTION("""COMPUTED_VALUE"""),"Palos")</f>
        <v>Palos</v>
      </c>
      <c r="D221" s="1" t="str">
        <f>IFERROR(__xludf.DUMMYFUNCTION("""COMPUTED_VALUE"""),"Reblando")</f>
        <v>Reblando</v>
      </c>
      <c r="E221" s="1" t="str">
        <f>IFERROR(__xludf.DUMMYFUNCTION("""COMPUTED_VALUE"""),"Mendoza Graze walang advance question bka mabulol")</f>
        <v>Mendoza Graze walang advance question bka mabulol</v>
      </c>
      <c r="F221" s="1"/>
      <c r="G221" s="1" t="str">
        <f>IFERROR(__xludf.DUMMYFUNCTION("""COMPUTED_VALUE"""),"3 mos")</f>
        <v>3 mos</v>
      </c>
      <c r="H221" s="1" t="str">
        <f>IFERROR(__xludf.DUMMYFUNCTION("""COMPUTED_VALUE"""),"reply")</f>
        <v>reply</v>
      </c>
      <c r="I221" s="2" t="str">
        <f>IFERROR(__xludf.DUMMYFUNCTION("""COMPUTED_VALUE"""),"https://www.facebook.com/rapplerdotcom/photos/a.317154781638645/5598220220198715/")</f>
        <v>https://www.facebook.com/rapplerdotcom/photos/a.317154781638645/5598220220198715/</v>
      </c>
      <c r="J221" s="1" t="str">
        <f>IFERROR(__xludf.DUMMYFUNCTION("""COMPUTED_VALUE"""),"2022-07-04T11:09:50.066Z")</f>
        <v>2022-07-04T11:09:50.066Z</v>
      </c>
      <c r="K221" s="1"/>
    </row>
    <row r="222">
      <c r="A222" s="2" t="str">
        <f>IFERROR(__xludf.DUMMYFUNCTION("""COMPUTED_VALUE"""),"https://www.facebook.com/jameson.beljica")</f>
        <v>https://www.facebook.com/jameson.beljica</v>
      </c>
      <c r="B222" s="1" t="str">
        <f>IFERROR(__xludf.DUMMYFUNCTION("""COMPUTED_VALUE"""),"Jameson Beljica")</f>
        <v>Jameson Beljica</v>
      </c>
      <c r="C222" s="1" t="str">
        <f>IFERROR(__xludf.DUMMYFUNCTION("""COMPUTED_VALUE"""),"Jameson")</f>
        <v>Jameson</v>
      </c>
      <c r="D222" s="1" t="str">
        <f>IFERROR(__xludf.DUMMYFUNCTION("""COMPUTED_VALUE"""),"Beljica")</f>
        <v>Beljica</v>
      </c>
      <c r="E222" s="1" t="str">
        <f>IFERROR(__xludf.DUMMYFUNCTION("""COMPUTED_VALUE"""),"Aruta JV asan ang pinsan niya na pinangalanan na drug pusher ni PRRD?")</f>
        <v>Aruta JV asan ang pinsan niya na pinangalanan na drug pusher ni PRRD?</v>
      </c>
      <c r="F222" s="1"/>
      <c r="G222" s="1" t="str">
        <f>IFERROR(__xludf.DUMMYFUNCTION("""COMPUTED_VALUE"""),"3 mos")</f>
        <v>3 mos</v>
      </c>
      <c r="H222" s="1" t="str">
        <f>IFERROR(__xludf.DUMMYFUNCTION("""COMPUTED_VALUE"""),"reply")</f>
        <v>reply</v>
      </c>
      <c r="I222" s="2" t="str">
        <f>IFERROR(__xludf.DUMMYFUNCTION("""COMPUTED_VALUE"""),"https://www.facebook.com/rapplerdotcom/photos/a.317154781638645/5598220220198715/")</f>
        <v>https://www.facebook.com/rapplerdotcom/photos/a.317154781638645/5598220220198715/</v>
      </c>
      <c r="J222" s="1" t="str">
        <f>IFERROR(__xludf.DUMMYFUNCTION("""COMPUTED_VALUE"""),"2022-07-04T11:09:50.066Z")</f>
        <v>2022-07-04T11:09:50.066Z</v>
      </c>
      <c r="K222" s="1"/>
    </row>
    <row r="223">
      <c r="A223" s="2" t="str">
        <f>IFERROR(__xludf.DUMMYFUNCTION("""COMPUTED_VALUE"""),"https://www.facebook.com/jameson.beljica")</f>
        <v>https://www.facebook.com/jameson.beljica</v>
      </c>
      <c r="B223" s="1" t="str">
        <f>IFERROR(__xludf.DUMMYFUNCTION("""COMPUTED_VALUE"""),"Jameson Beljica")</f>
        <v>Jameson Beljica</v>
      </c>
      <c r="C223" s="1" t="str">
        <f>IFERROR(__xludf.DUMMYFUNCTION("""COMPUTED_VALUE"""),"Jameson")</f>
        <v>Jameson</v>
      </c>
      <c r="D223" s="1" t="str">
        <f>IFERROR(__xludf.DUMMYFUNCTION("""COMPUTED_VALUE"""),"Beljica")</f>
        <v>Beljica</v>
      </c>
      <c r="E223" s="1" t="str">
        <f>IFERROR(__xludf.DUMMYFUNCTION("""COMPUTED_VALUE"""),"ۦۦ ۦۦ ۦۦ ۦۦ gusto niya nga kasi ng advance questions")</f>
        <v>ۦۦ ۦۦ ۦۦ ۦۦ gusto niya nga kasi ng advance questions</v>
      </c>
      <c r="F223" s="1">
        <f>IFERROR(__xludf.DUMMYFUNCTION("""COMPUTED_VALUE"""),1.0)</f>
        <v>1</v>
      </c>
      <c r="G223" s="1" t="str">
        <f>IFERROR(__xludf.DUMMYFUNCTION("""COMPUTED_VALUE"""),"3 mos")</f>
        <v>3 mos</v>
      </c>
      <c r="H223" s="1" t="str">
        <f>IFERROR(__xludf.DUMMYFUNCTION("""COMPUTED_VALUE"""),"reply")</f>
        <v>reply</v>
      </c>
      <c r="I223" s="2" t="str">
        <f>IFERROR(__xludf.DUMMYFUNCTION("""COMPUTED_VALUE"""),"https://www.facebook.com/rapplerdotcom/photos/a.317154781638645/5598220220198715/")</f>
        <v>https://www.facebook.com/rapplerdotcom/photos/a.317154781638645/5598220220198715/</v>
      </c>
      <c r="J223" s="1" t="str">
        <f>IFERROR(__xludf.DUMMYFUNCTION("""COMPUTED_VALUE"""),"2022-07-04T11:09:50.066Z")</f>
        <v>2022-07-04T11:09:50.066Z</v>
      </c>
      <c r="K223" s="1"/>
    </row>
    <row r="224">
      <c r="A224" s="2" t="str">
        <f>IFERROR(__xludf.DUMMYFUNCTION("""COMPUTED_VALUE"""),"https://www.facebook.com/thomas.french.52")</f>
        <v>https://www.facebook.com/thomas.french.52</v>
      </c>
      <c r="B224" s="1" t="str">
        <f>IFERROR(__xludf.DUMMYFUNCTION("""COMPUTED_VALUE"""),"Toto Sandigan")</f>
        <v>Toto Sandigan</v>
      </c>
      <c r="C224" s="1" t="str">
        <f>IFERROR(__xludf.DUMMYFUNCTION("""COMPUTED_VALUE"""),"Toto")</f>
        <v>Toto</v>
      </c>
      <c r="D224" s="1" t="str">
        <f>IFERROR(__xludf.DUMMYFUNCTION("""COMPUTED_VALUE"""),"Sandigan")</f>
        <v>Sandigan</v>
      </c>
      <c r="E224" s="1" t="str">
        <f>IFERROR(__xludf.DUMMYFUNCTION("""COMPUTED_VALUE"""),"Aruta JV")</f>
        <v>Aruta JV</v>
      </c>
      <c r="F224" s="1"/>
      <c r="G224" s="1" t="str">
        <f>IFERROR(__xludf.DUMMYFUNCTION("""COMPUTED_VALUE"""),"3 mos")</f>
        <v>3 mos</v>
      </c>
      <c r="H224" s="1" t="str">
        <f>IFERROR(__xludf.DUMMYFUNCTION("""COMPUTED_VALUE"""),"reply")</f>
        <v>reply</v>
      </c>
      <c r="I224" s="2" t="str">
        <f>IFERROR(__xludf.DUMMYFUNCTION("""COMPUTED_VALUE"""),"https://www.facebook.com/rapplerdotcom/photos/a.317154781638645/5598220220198715/")</f>
        <v>https://www.facebook.com/rapplerdotcom/photos/a.317154781638645/5598220220198715/</v>
      </c>
      <c r="J224" s="1" t="str">
        <f>IFERROR(__xludf.DUMMYFUNCTION("""COMPUTED_VALUE"""),"2022-07-04T11:09:50.066Z")</f>
        <v>2022-07-04T11:09:50.066Z</v>
      </c>
      <c r="K224" s="1"/>
    </row>
    <row r="225">
      <c r="A225" s="2" t="str">
        <f>IFERROR(__xludf.DUMMYFUNCTION("""COMPUTED_VALUE"""),"https://www.facebook.com/venass.mercado.1")</f>
        <v>https://www.facebook.com/venass.mercado.1</v>
      </c>
      <c r="B225" s="1" t="str">
        <f>IFERROR(__xludf.DUMMYFUNCTION("""COMPUTED_VALUE"""),"Venass Mercado")</f>
        <v>Venass Mercado</v>
      </c>
      <c r="C225" s="1" t="str">
        <f>IFERROR(__xludf.DUMMYFUNCTION("""COMPUTED_VALUE"""),"Venass")</f>
        <v>Venass</v>
      </c>
      <c r="D225" s="1" t="str">
        <f>IFERROR(__xludf.DUMMYFUNCTION("""COMPUTED_VALUE"""),"Mercado")</f>
        <v>Mercado</v>
      </c>
      <c r="E225" s="1" t="str">
        <f>IFERROR(__xludf.DUMMYFUNCTION("""COMPUTED_VALUE"""),"Aruta JV walang kaso? Oo na lang.")</f>
        <v>Aruta JV walang kaso? Oo na lang.</v>
      </c>
      <c r="F225" s="1"/>
      <c r="G225" s="1" t="str">
        <f>IFERROR(__xludf.DUMMYFUNCTION("""COMPUTED_VALUE"""),"3 mos")</f>
        <v>3 mos</v>
      </c>
      <c r="H225" s="1" t="str">
        <f>IFERROR(__xludf.DUMMYFUNCTION("""COMPUTED_VALUE"""),"reply")</f>
        <v>reply</v>
      </c>
      <c r="I225" s="2" t="str">
        <f>IFERROR(__xludf.DUMMYFUNCTION("""COMPUTED_VALUE"""),"https://www.facebook.com/rapplerdotcom/photos/a.317154781638645/5598220220198715/")</f>
        <v>https://www.facebook.com/rapplerdotcom/photos/a.317154781638645/5598220220198715/</v>
      </c>
      <c r="J225" s="1" t="str">
        <f>IFERROR(__xludf.DUMMYFUNCTION("""COMPUTED_VALUE"""),"2022-07-04T11:09:50.066Z")</f>
        <v>2022-07-04T11:09:50.066Z</v>
      </c>
      <c r="K225" s="1"/>
    </row>
    <row r="226">
      <c r="A226" s="2" t="str">
        <f>IFERROR(__xludf.DUMMYFUNCTION("""COMPUTED_VALUE"""),"https://www.facebook.com/profile.php?id=100022498132149")</f>
        <v>https://www.facebook.com/profile.php?id=100022498132149</v>
      </c>
      <c r="B226" s="1" t="str">
        <f>IFERROR(__xludf.DUMMYFUNCTION("""COMPUTED_VALUE"""),"Cj Sy")</f>
        <v>Cj Sy</v>
      </c>
      <c r="C226" s="1" t="str">
        <f>IFERROR(__xludf.DUMMYFUNCTION("""COMPUTED_VALUE"""),"Cj")</f>
        <v>Cj</v>
      </c>
      <c r="D226" s="1" t="str">
        <f>IFERROR(__xludf.DUMMYFUNCTION("""COMPUTED_VALUE"""),"Sy")</f>
        <v>Sy</v>
      </c>
      <c r="E226" s="1" t="str">
        <f>IFERROR(__xludf.DUMMYFUNCTION("""COMPUTED_VALUE"""),"Cynthia Javier Navales best tandem sila sa pagpapabagsak ng pilipinas")</f>
        <v>Cynthia Javier Navales best tandem sila sa pagpapabagsak ng pilipinas</v>
      </c>
      <c r="F226" s="1"/>
      <c r="G226" s="1" t="str">
        <f>IFERROR(__xludf.DUMMYFUNCTION("""COMPUTED_VALUE"""),"3 mos")</f>
        <v>3 mos</v>
      </c>
      <c r="H226" s="1" t="str">
        <f>IFERROR(__xludf.DUMMYFUNCTION("""COMPUTED_VALUE"""),"reply")</f>
        <v>reply</v>
      </c>
      <c r="I226" s="2" t="str">
        <f>IFERROR(__xludf.DUMMYFUNCTION("""COMPUTED_VALUE"""),"https://www.facebook.com/rapplerdotcom/photos/a.317154781638645/5598220220198715/")</f>
        <v>https://www.facebook.com/rapplerdotcom/photos/a.317154781638645/5598220220198715/</v>
      </c>
      <c r="J226" s="1" t="str">
        <f>IFERROR(__xludf.DUMMYFUNCTION("""COMPUTED_VALUE"""),"2022-07-04T11:09:50.066Z")</f>
        <v>2022-07-04T11:09:50.066Z</v>
      </c>
      <c r="K226" s="1"/>
    </row>
    <row r="227">
      <c r="A227" s="2" t="str">
        <f>IFERROR(__xludf.DUMMYFUNCTION("""COMPUTED_VALUE"""),"https://www.facebook.com/profile.php?id=100007771848864")</f>
        <v>https://www.facebook.com/profile.php?id=100007771848864</v>
      </c>
      <c r="B227" s="1" t="str">
        <f>IFERROR(__xludf.DUMMYFUNCTION("""COMPUTED_VALUE"""),"Olive Dela Vega")</f>
        <v>Olive Dela Vega</v>
      </c>
      <c r="C227" s="1" t="str">
        <f>IFERROR(__xludf.DUMMYFUNCTION("""COMPUTED_VALUE"""),"Olive")</f>
        <v>Olive</v>
      </c>
      <c r="D227" s="1" t="str">
        <f>IFERROR(__xludf.DUMMYFUNCTION("""COMPUTED_VALUE"""),"Dela Vega")</f>
        <v>Dela Vega</v>
      </c>
      <c r="E227" s="1" t="str">
        <f>IFERROR(__xludf.DUMMYFUNCTION("""COMPUTED_VALUE"""),"Aruta JV , I like you statement ""walang atraso kahit kanino"" ,  na di mo makikita kahit kaninong kandidato")</f>
        <v>Aruta JV , I like you statement "walang atraso kahit kanino" ,  na di mo makikita kahit kaninong kandidato</v>
      </c>
      <c r="F227" s="1"/>
      <c r="G227" s="1" t="str">
        <f>IFERROR(__xludf.DUMMYFUNCTION("""COMPUTED_VALUE"""),"3 mos")</f>
        <v>3 mos</v>
      </c>
      <c r="H227" s="1" t="str">
        <f>IFERROR(__xludf.DUMMYFUNCTION("""COMPUTED_VALUE"""),"reply")</f>
        <v>reply</v>
      </c>
      <c r="I227" s="2" t="str">
        <f>IFERROR(__xludf.DUMMYFUNCTION("""COMPUTED_VALUE"""),"https://www.facebook.com/rapplerdotcom/photos/a.317154781638645/5598220220198715/")</f>
        <v>https://www.facebook.com/rapplerdotcom/photos/a.317154781638645/5598220220198715/</v>
      </c>
      <c r="J227" s="1" t="str">
        <f>IFERROR(__xludf.DUMMYFUNCTION("""COMPUTED_VALUE"""),"2022-07-04T11:09:50.066Z")</f>
        <v>2022-07-04T11:09:50.066Z</v>
      </c>
      <c r="K227" s="1"/>
    </row>
    <row r="228">
      <c r="A228" s="2" t="str">
        <f>IFERROR(__xludf.DUMMYFUNCTION("""COMPUTED_VALUE"""),"https://www.facebook.com/geneilyn.amanduron")</f>
        <v>https://www.facebook.com/geneilyn.amanduron</v>
      </c>
      <c r="B228" s="1" t="str">
        <f>IFERROR(__xludf.DUMMYFUNCTION("""COMPUTED_VALUE"""),"Dimps P Tiger")</f>
        <v>Dimps P Tiger</v>
      </c>
      <c r="C228" s="1" t="str">
        <f>IFERROR(__xludf.DUMMYFUNCTION("""COMPUTED_VALUE"""),"Dimps")</f>
        <v>Dimps</v>
      </c>
      <c r="D228" s="1" t="str">
        <f>IFERROR(__xludf.DUMMYFUNCTION("""COMPUTED_VALUE"""),"P Tiger")</f>
        <v>P Tiger</v>
      </c>
      <c r="E228" s="1" t="str">
        <f>IFERROR(__xludf.DUMMYFUNCTION("""COMPUTED_VALUE"""),"paano niya masagot lutang eh")</f>
        <v>paano niya masagot lutang eh</v>
      </c>
      <c r="F228" s="1">
        <f>IFERROR(__xludf.DUMMYFUNCTION("""COMPUTED_VALUE"""),1.0)</f>
        <v>1</v>
      </c>
      <c r="G228" s="1" t="str">
        <f>IFERROR(__xludf.DUMMYFUNCTION("""COMPUTED_VALUE"""),"3 mos")</f>
        <v>3 mos</v>
      </c>
      <c r="H228" s="1" t="str">
        <f>IFERROR(__xludf.DUMMYFUNCTION("""COMPUTED_VALUE"""),"reply")</f>
        <v>reply</v>
      </c>
      <c r="I228" s="2" t="str">
        <f>IFERROR(__xludf.DUMMYFUNCTION("""COMPUTED_VALUE"""),"https://www.facebook.com/rapplerdotcom/photos/a.317154781638645/5598220220198715/")</f>
        <v>https://www.facebook.com/rapplerdotcom/photos/a.317154781638645/5598220220198715/</v>
      </c>
      <c r="J228" s="1" t="str">
        <f>IFERROR(__xludf.DUMMYFUNCTION("""COMPUTED_VALUE"""),"2022-07-04T11:09:50.066Z")</f>
        <v>2022-07-04T11:09:50.066Z</v>
      </c>
      <c r="K228" s="1"/>
    </row>
    <row r="229">
      <c r="A229" s="2" t="str">
        <f>IFERROR(__xludf.DUMMYFUNCTION("""COMPUTED_VALUE"""),"https://www.facebook.com/scott.dejitomccall")</f>
        <v>https://www.facebook.com/scott.dejitomccall</v>
      </c>
      <c r="B229" s="1" t="str">
        <f>IFERROR(__xludf.DUMMYFUNCTION("""COMPUTED_VALUE"""),"ۦۦ ۦۦ ۦۦ ۦۦ")</f>
        <v>ۦۦ ۦۦ ۦۦ ۦۦ</v>
      </c>
      <c r="C229" s="1" t="str">
        <f>IFERROR(__xludf.DUMMYFUNCTION("""COMPUTED_VALUE"""),"ۦۦ")</f>
        <v>ۦۦ</v>
      </c>
      <c r="D229" s="1" t="str">
        <f>IFERROR(__xludf.DUMMYFUNCTION("""COMPUTED_VALUE"""),"ۦۦ ۦۦ ۦۦ")</f>
        <v>ۦۦ ۦۦ ۦۦ</v>
      </c>
      <c r="E229" s="1" t="str">
        <f>IFERROR(__xludf.DUMMYFUNCTION("""COMPUTED_VALUE"""),"Dimps P Tiger pati nga supporter nya d ako masagot eh 🤣")</f>
        <v>Dimps P Tiger pati nga supporter nya d ako masagot eh 🤣</v>
      </c>
      <c r="F229" s="1">
        <f>IFERROR(__xludf.DUMMYFUNCTION("""COMPUTED_VALUE"""),1.0)</f>
        <v>1</v>
      </c>
      <c r="G229" s="1" t="str">
        <f>IFERROR(__xludf.DUMMYFUNCTION("""COMPUTED_VALUE"""),"3 mos")</f>
        <v>3 mos</v>
      </c>
      <c r="H229" s="1" t="str">
        <f>IFERROR(__xludf.DUMMYFUNCTION("""COMPUTED_VALUE"""),"reply")</f>
        <v>reply</v>
      </c>
      <c r="I229" s="2" t="str">
        <f>IFERROR(__xludf.DUMMYFUNCTION("""COMPUTED_VALUE"""),"https://www.facebook.com/rapplerdotcom/photos/a.317154781638645/5598220220198715/")</f>
        <v>https://www.facebook.com/rapplerdotcom/photos/a.317154781638645/5598220220198715/</v>
      </c>
      <c r="J229" s="1" t="str">
        <f>IFERROR(__xludf.DUMMYFUNCTION("""COMPUTED_VALUE"""),"2022-07-04T11:09:50.066Z")</f>
        <v>2022-07-04T11:09:50.066Z</v>
      </c>
      <c r="K229" s="1"/>
    </row>
    <row r="230">
      <c r="A230" s="2" t="str">
        <f>IFERROR(__xludf.DUMMYFUNCTION("""COMPUTED_VALUE"""),"https://www.facebook.com/gail.llait.9")</f>
        <v>https://www.facebook.com/gail.llait.9</v>
      </c>
      <c r="B230" s="1" t="str">
        <f>IFERROR(__xludf.DUMMYFUNCTION("""COMPUTED_VALUE"""),"MG Llait")</f>
        <v>MG Llait</v>
      </c>
      <c r="C230" s="1" t="str">
        <f>IFERROR(__xludf.DUMMYFUNCTION("""COMPUTED_VALUE"""),"MG")</f>
        <v>MG</v>
      </c>
      <c r="D230" s="1" t="str">
        <f>IFERROR(__xludf.DUMMYFUNCTION("""COMPUTED_VALUE"""),"Llait")</f>
        <v>Llait</v>
      </c>
      <c r="E230" s="1" t="str">
        <f>IFERROR(__xludf.DUMMYFUNCTION("""COMPUTED_VALUE"""),"Dimps P Tiger wag nang sumingit... pag inggit. ngiwi.. trolling lng? no nonsense...")</f>
        <v>Dimps P Tiger wag nang sumingit... pag inggit. ngiwi.. trolling lng? no nonsense...</v>
      </c>
      <c r="F230" s="1">
        <f>IFERROR(__xludf.DUMMYFUNCTION("""COMPUTED_VALUE"""),1.0)</f>
        <v>1</v>
      </c>
      <c r="G230" s="1" t="str">
        <f>IFERROR(__xludf.DUMMYFUNCTION("""COMPUTED_VALUE"""),"3 mos")</f>
        <v>3 mos</v>
      </c>
      <c r="H230" s="1" t="str">
        <f>IFERROR(__xludf.DUMMYFUNCTION("""COMPUTED_VALUE"""),"reply")</f>
        <v>reply</v>
      </c>
      <c r="I230" s="2" t="str">
        <f>IFERROR(__xludf.DUMMYFUNCTION("""COMPUTED_VALUE"""),"https://www.facebook.com/rapplerdotcom/photos/a.317154781638645/5598220220198715/")</f>
        <v>https://www.facebook.com/rapplerdotcom/photos/a.317154781638645/5598220220198715/</v>
      </c>
      <c r="J230" s="1" t="str">
        <f>IFERROR(__xludf.DUMMYFUNCTION("""COMPUTED_VALUE"""),"2022-07-04T11:09:50.066Z")</f>
        <v>2022-07-04T11:09:50.066Z</v>
      </c>
      <c r="K230" s="1"/>
    </row>
    <row r="231">
      <c r="A231" s="2" t="str">
        <f>IFERROR(__xludf.DUMMYFUNCTION("""COMPUTED_VALUE"""),"https://www.facebook.com/profile.php?id=100069959550032")</f>
        <v>https://www.facebook.com/profile.php?id=100069959550032</v>
      </c>
      <c r="B231" s="1" t="str">
        <f>IFERROR(__xludf.DUMMYFUNCTION("""COMPUTED_VALUE"""),"Bryan Pacres")</f>
        <v>Bryan Pacres</v>
      </c>
      <c r="C231" s="1" t="str">
        <f>IFERROR(__xludf.DUMMYFUNCTION("""COMPUTED_VALUE"""),"Bryan")</f>
        <v>Bryan</v>
      </c>
      <c r="D231" s="1" t="str">
        <f>IFERROR(__xludf.DUMMYFUNCTION("""COMPUTED_VALUE"""),"Pacres")</f>
        <v>Pacres</v>
      </c>
      <c r="E231" s="1" t="str">
        <f>IFERROR(__xludf.DUMMYFUNCTION("""COMPUTED_VALUE"""),"Na ngangamoy pagiging epokrita hahahahahahahahahaha")</f>
        <v>Na ngangamoy pagiging epokrita hahahahahahahahahaha</v>
      </c>
      <c r="F231" s="1">
        <f>IFERROR(__xludf.DUMMYFUNCTION("""COMPUTED_VALUE"""),4.0)</f>
        <v>4</v>
      </c>
      <c r="G231" s="1" t="str">
        <f>IFERROR(__xludf.DUMMYFUNCTION("""COMPUTED_VALUE"""),"3 mos")</f>
        <v>3 mos</v>
      </c>
      <c r="H231" s="1" t="str">
        <f>IFERROR(__xludf.DUMMYFUNCTION("""COMPUTED_VALUE"""),"comment")</f>
        <v>comment</v>
      </c>
      <c r="I231" s="2" t="str">
        <f>IFERROR(__xludf.DUMMYFUNCTION("""COMPUTED_VALUE"""),"https://www.facebook.com/rapplerdotcom/photos/a.317154781638645/5598220220198715/")</f>
        <v>https://www.facebook.com/rapplerdotcom/photos/a.317154781638645/5598220220198715/</v>
      </c>
      <c r="J231" s="1" t="str">
        <f>IFERROR(__xludf.DUMMYFUNCTION("""COMPUTED_VALUE"""),"2022-07-04T11:09:50.067Z")</f>
        <v>2022-07-04T11:09:50.067Z</v>
      </c>
      <c r="K231" s="1"/>
    </row>
    <row r="232">
      <c r="A232" s="2" t="str">
        <f>IFERROR(__xludf.DUMMYFUNCTION("""COMPUTED_VALUE"""),"https://www.facebook.com/edclino")</f>
        <v>https://www.facebook.com/edclino</v>
      </c>
      <c r="B232" s="1" t="str">
        <f>IFERROR(__xludf.DUMMYFUNCTION("""COMPUTED_VALUE"""),"Edwin Lino")</f>
        <v>Edwin Lino</v>
      </c>
      <c r="C232" s="1" t="str">
        <f>IFERROR(__xludf.DUMMYFUNCTION("""COMPUTED_VALUE"""),"Edwin")</f>
        <v>Edwin</v>
      </c>
      <c r="D232" s="1" t="str">
        <f>IFERROR(__xludf.DUMMYFUNCTION("""COMPUTED_VALUE"""),"Lino")</f>
        <v>Lino</v>
      </c>
      <c r="E232" s="1" t="str">
        <f>IFERROR(__xludf.DUMMYFUNCTION("""COMPUTED_VALUE"""),"Yan ang presidente kahit sino mag interview go lang ng go. Kahit hamunin mo ng debate aattend yan di katuld ni junior walang sinabi.")</f>
        <v>Yan ang presidente kahit sino mag interview go lang ng go. Kahit hamunin mo ng debate aattend yan di katuld ni junior walang sinabi.</v>
      </c>
      <c r="F232" s="1">
        <f>IFERROR(__xludf.DUMMYFUNCTION("""COMPUTED_VALUE"""),1.0)</f>
        <v>1</v>
      </c>
      <c r="G232" s="1" t="str">
        <f>IFERROR(__xludf.DUMMYFUNCTION("""COMPUTED_VALUE"""),"3 mos")</f>
        <v>3 mos</v>
      </c>
      <c r="H232" s="1" t="str">
        <f>IFERROR(__xludf.DUMMYFUNCTION("""COMPUTED_VALUE"""),"comment")</f>
        <v>comment</v>
      </c>
      <c r="I232" s="2" t="str">
        <f>IFERROR(__xludf.DUMMYFUNCTION("""COMPUTED_VALUE"""),"https://www.facebook.com/rapplerdotcom/photos/a.317154781638645/5598220220198715/")</f>
        <v>https://www.facebook.com/rapplerdotcom/photos/a.317154781638645/5598220220198715/</v>
      </c>
      <c r="J232" s="1" t="str">
        <f>IFERROR(__xludf.DUMMYFUNCTION("""COMPUTED_VALUE"""),"2022-07-04T11:09:50.067Z")</f>
        <v>2022-07-04T11:09:50.067Z</v>
      </c>
      <c r="K232" s="1"/>
    </row>
    <row r="233">
      <c r="A233" s="2" t="str">
        <f>IFERROR(__xludf.DUMMYFUNCTION("""COMPUTED_VALUE"""),"https://www.facebook.com/jhing.lagrimas")</f>
        <v>https://www.facebook.com/jhing.lagrimas</v>
      </c>
      <c r="B233" s="1" t="str">
        <f>IFERROR(__xludf.DUMMYFUNCTION("""COMPUTED_VALUE"""),"Jhing Lagrimas")</f>
        <v>Jhing Lagrimas</v>
      </c>
      <c r="C233" s="1" t="str">
        <f>IFERROR(__xludf.DUMMYFUNCTION("""COMPUTED_VALUE"""),"Jhing")</f>
        <v>Jhing</v>
      </c>
      <c r="D233" s="1" t="str">
        <f>IFERROR(__xludf.DUMMYFUNCTION("""COMPUTED_VALUE"""),"Lagrimas")</f>
        <v>Lagrimas</v>
      </c>
      <c r="E233" s="1" t="str">
        <f>IFERROR(__xludf.DUMMYFUNCTION("""COMPUTED_VALUE"""),"Buti nalang nabuking nang maaga ang gagawin pandaraya hahhha")</f>
        <v>Buti nalang nabuking nang maaga ang gagawin pandaraya hahhha</v>
      </c>
      <c r="F233" s="1">
        <f>IFERROR(__xludf.DUMMYFUNCTION("""COMPUTED_VALUE"""),1.0)</f>
        <v>1</v>
      </c>
      <c r="G233" s="1" t="str">
        <f>IFERROR(__xludf.DUMMYFUNCTION("""COMPUTED_VALUE"""),"3 mos")</f>
        <v>3 mos</v>
      </c>
      <c r="H233" s="1" t="str">
        <f>IFERROR(__xludf.DUMMYFUNCTION("""COMPUTED_VALUE"""),"comment")</f>
        <v>comment</v>
      </c>
      <c r="I233" s="2" t="str">
        <f>IFERROR(__xludf.DUMMYFUNCTION("""COMPUTED_VALUE"""),"https://www.facebook.com/rapplerdotcom/photos/a.317154781638645/5598220220198715/")</f>
        <v>https://www.facebook.com/rapplerdotcom/photos/a.317154781638645/5598220220198715/</v>
      </c>
      <c r="J233" s="1" t="str">
        <f>IFERROR(__xludf.DUMMYFUNCTION("""COMPUTED_VALUE"""),"2022-07-04T11:09:50.067Z")</f>
        <v>2022-07-04T11:09:50.067Z</v>
      </c>
      <c r="K233" s="1"/>
    </row>
    <row r="234">
      <c r="A234" s="2" t="str">
        <f>IFERROR(__xludf.DUMMYFUNCTION("""COMPUTED_VALUE"""),"https://www.facebook.com/rogerick.rovillos.ph")</f>
        <v>https://www.facebook.com/rogerick.rovillos.ph</v>
      </c>
      <c r="B234" s="1" t="str">
        <f>IFERROR(__xludf.DUMMYFUNCTION("""COMPUTED_VALUE"""),"Ro G Rick")</f>
        <v>Ro G Rick</v>
      </c>
      <c r="C234" s="1" t="str">
        <f>IFERROR(__xludf.DUMMYFUNCTION("""COMPUTED_VALUE"""),"Ro")</f>
        <v>Ro</v>
      </c>
      <c r="D234" s="1" t="str">
        <f>IFERROR(__xludf.DUMMYFUNCTION("""COMPUTED_VALUE"""),"G Rick")</f>
        <v>G Rick</v>
      </c>
      <c r="E234" s="1" t="str">
        <f>IFERROR(__xludf.DUMMYFUNCTION("""COMPUTED_VALUE"""),"Disgrasya to  pag Ito nanalo")</f>
        <v>Disgrasya to  pag Ito nanalo</v>
      </c>
      <c r="F234" s="1">
        <f>IFERROR(__xludf.DUMMYFUNCTION("""COMPUTED_VALUE"""),19.0)</f>
        <v>19</v>
      </c>
      <c r="G234" s="1" t="str">
        <f>IFERROR(__xludf.DUMMYFUNCTION("""COMPUTED_VALUE"""),"3 mos")</f>
        <v>3 mos</v>
      </c>
      <c r="H234" s="1" t="str">
        <f>IFERROR(__xludf.DUMMYFUNCTION("""COMPUTED_VALUE"""),"comment")</f>
        <v>comment</v>
      </c>
      <c r="I234" s="2" t="str">
        <f>IFERROR(__xludf.DUMMYFUNCTION("""COMPUTED_VALUE"""),"https://www.facebook.com/rapplerdotcom/photos/a.317154781638645/5598220220198715/")</f>
        <v>https://www.facebook.com/rapplerdotcom/photos/a.317154781638645/5598220220198715/</v>
      </c>
      <c r="J234" s="1" t="str">
        <f>IFERROR(__xludf.DUMMYFUNCTION("""COMPUTED_VALUE"""),"2022-07-04T11:09:50.067Z")</f>
        <v>2022-07-04T11:09:50.067Z</v>
      </c>
      <c r="K234" s="1"/>
    </row>
    <row r="235">
      <c r="A235" s="2" t="str">
        <f>IFERROR(__xludf.DUMMYFUNCTION("""COMPUTED_VALUE"""),"https://www.facebook.com/jeroh.amis")</f>
        <v>https://www.facebook.com/jeroh.amis</v>
      </c>
      <c r="B235" s="1" t="str">
        <f>IFERROR(__xludf.DUMMYFUNCTION("""COMPUTED_VALUE"""),"Jeroh Amis")</f>
        <v>Jeroh Amis</v>
      </c>
      <c r="C235" s="1" t="str">
        <f>IFERROR(__xludf.DUMMYFUNCTION("""COMPUTED_VALUE"""),"Jeroh")</f>
        <v>Jeroh</v>
      </c>
      <c r="D235" s="1" t="str">
        <f>IFERROR(__xludf.DUMMYFUNCTION("""COMPUTED_VALUE"""),"Amis")</f>
        <v>Amis</v>
      </c>
      <c r="E235" s="1" t="str">
        <f>IFERROR(__xludf.DUMMYFUNCTION("""COMPUTED_VALUE"""),"Ro G Rick disgrasya ng mukha mo..")</f>
        <v>Ro G Rick disgrasya ng mukha mo..</v>
      </c>
      <c r="F235" s="1">
        <f>IFERROR(__xludf.DUMMYFUNCTION("""COMPUTED_VALUE"""),4.0)</f>
        <v>4</v>
      </c>
      <c r="G235" s="1" t="str">
        <f>IFERROR(__xludf.DUMMYFUNCTION("""COMPUTED_VALUE"""),"3 mos")</f>
        <v>3 mos</v>
      </c>
      <c r="H235" s="1" t="str">
        <f>IFERROR(__xludf.DUMMYFUNCTION("""COMPUTED_VALUE"""),"reply")</f>
        <v>reply</v>
      </c>
      <c r="I235" s="2" t="str">
        <f>IFERROR(__xludf.DUMMYFUNCTION("""COMPUTED_VALUE"""),"https://www.facebook.com/rapplerdotcom/photos/a.317154781638645/5598220220198715/")</f>
        <v>https://www.facebook.com/rapplerdotcom/photos/a.317154781638645/5598220220198715/</v>
      </c>
      <c r="J235" s="1" t="str">
        <f>IFERROR(__xludf.DUMMYFUNCTION("""COMPUTED_VALUE"""),"2022-07-04T11:09:50.067Z")</f>
        <v>2022-07-04T11:09:50.067Z</v>
      </c>
      <c r="K235" s="1"/>
    </row>
    <row r="236">
      <c r="A236" s="2" t="str">
        <f>IFERROR(__xludf.DUMMYFUNCTION("""COMPUTED_VALUE"""),"https://www.facebook.com/chona.piansay")</f>
        <v>https://www.facebook.com/chona.piansay</v>
      </c>
      <c r="B236" s="1" t="str">
        <f>IFERROR(__xludf.DUMMYFUNCTION("""COMPUTED_VALUE"""),"Chona Piansay")</f>
        <v>Chona Piansay</v>
      </c>
      <c r="C236" s="1" t="str">
        <f>IFERROR(__xludf.DUMMYFUNCTION("""COMPUTED_VALUE"""),"Chona")</f>
        <v>Chona</v>
      </c>
      <c r="D236" s="1" t="str">
        <f>IFERROR(__xludf.DUMMYFUNCTION("""COMPUTED_VALUE"""),"Piansay")</f>
        <v>Piansay</v>
      </c>
      <c r="E236" s="1" t="str">
        <f>IFERROR(__xludf.DUMMYFUNCTION("""COMPUTED_VALUE"""),"Ro G Rick malamang pero wag naman sana😁😁😁✌✌✌✌✌✌")</f>
        <v>Ro G Rick malamang pero wag naman sana😁😁😁✌✌✌✌✌✌</v>
      </c>
      <c r="F236" s="1"/>
      <c r="G236" s="1" t="str">
        <f>IFERROR(__xludf.DUMMYFUNCTION("""COMPUTED_VALUE"""),"3 mos")</f>
        <v>3 mos</v>
      </c>
      <c r="H236" s="1" t="str">
        <f>IFERROR(__xludf.DUMMYFUNCTION("""COMPUTED_VALUE"""),"reply")</f>
        <v>reply</v>
      </c>
      <c r="I236" s="2" t="str">
        <f>IFERROR(__xludf.DUMMYFUNCTION("""COMPUTED_VALUE"""),"https://www.facebook.com/rapplerdotcom/photos/a.317154781638645/5598220220198715/")</f>
        <v>https://www.facebook.com/rapplerdotcom/photos/a.317154781638645/5598220220198715/</v>
      </c>
      <c r="J236" s="1" t="str">
        <f>IFERROR(__xludf.DUMMYFUNCTION("""COMPUTED_VALUE"""),"2022-07-04T11:09:50.067Z")</f>
        <v>2022-07-04T11:09:50.067Z</v>
      </c>
      <c r="K236" s="1"/>
    </row>
    <row r="237">
      <c r="A237" s="2" t="str">
        <f>IFERROR(__xludf.DUMMYFUNCTION("""COMPUTED_VALUE"""),"https://www.facebook.com/janna.bahinteng")</f>
        <v>https://www.facebook.com/janna.bahinteng</v>
      </c>
      <c r="B237" s="1" t="str">
        <f>IFERROR(__xludf.DUMMYFUNCTION("""COMPUTED_VALUE"""),"Janna Bahinteng")</f>
        <v>Janna Bahinteng</v>
      </c>
      <c r="C237" s="1" t="str">
        <f>IFERROR(__xludf.DUMMYFUNCTION("""COMPUTED_VALUE"""),"Janna")</f>
        <v>Janna</v>
      </c>
      <c r="D237" s="1" t="str">
        <f>IFERROR(__xludf.DUMMYFUNCTION("""COMPUTED_VALUE"""),"Bahinteng")</f>
        <v>Bahinteng</v>
      </c>
      <c r="E237" s="1" t="str">
        <f>IFERROR(__xludf.DUMMYFUNCTION("""COMPUTED_VALUE"""),"Dalawang Babae na magaling at good leader.#Saludo👏👏🌷")</f>
        <v>Dalawang Babae na magaling at good leader.#Saludo👏👏🌷</v>
      </c>
      <c r="F237" s="1">
        <f>IFERROR(__xludf.DUMMYFUNCTION("""COMPUTED_VALUE"""),11.0)</f>
        <v>11</v>
      </c>
      <c r="G237" s="1" t="str">
        <f>IFERROR(__xludf.DUMMYFUNCTION("""COMPUTED_VALUE"""),"3 mos")</f>
        <v>3 mos</v>
      </c>
      <c r="H237" s="1" t="str">
        <f>IFERROR(__xludf.DUMMYFUNCTION("""COMPUTED_VALUE"""),"comment")</f>
        <v>comment</v>
      </c>
      <c r="I237" s="2" t="str">
        <f>IFERROR(__xludf.DUMMYFUNCTION("""COMPUTED_VALUE"""),"https://www.facebook.com/rapplerdotcom/photos/a.317154781638645/5598220220198715/")</f>
        <v>https://www.facebook.com/rapplerdotcom/photos/a.317154781638645/5598220220198715/</v>
      </c>
      <c r="J237" s="1" t="str">
        <f>IFERROR(__xludf.DUMMYFUNCTION("""COMPUTED_VALUE"""),"2022-07-04T11:09:50.067Z")</f>
        <v>2022-07-04T11:09:50.067Z</v>
      </c>
      <c r="K237" s="1"/>
    </row>
    <row r="238">
      <c r="A238" s="2" t="str">
        <f>IFERROR(__xludf.DUMMYFUNCTION("""COMPUTED_VALUE"""),"https://www.facebook.com/topeabarca98")</f>
        <v>https://www.facebook.com/topeabarca98</v>
      </c>
      <c r="B238" s="1" t="str">
        <f>IFERROR(__xludf.DUMMYFUNCTION("""COMPUTED_VALUE"""),"Christopher Abarca")</f>
        <v>Christopher Abarca</v>
      </c>
      <c r="C238" s="1" t="str">
        <f>IFERROR(__xludf.DUMMYFUNCTION("""COMPUTED_VALUE"""),"Christopher")</f>
        <v>Christopher</v>
      </c>
      <c r="D238" s="1" t="str">
        <f>IFERROR(__xludf.DUMMYFUNCTION("""COMPUTED_VALUE"""),"Abarca")</f>
        <v>Abarca</v>
      </c>
      <c r="E238" s="1" t="str">
        <f>IFERROR(__xludf.DUMMYFUNCTION("""COMPUTED_VALUE"""),"alam na")</f>
        <v>alam na</v>
      </c>
      <c r="F238" s="1"/>
      <c r="G238" s="1" t="str">
        <f>IFERROR(__xludf.DUMMYFUNCTION("""COMPUTED_VALUE"""),"3 mos")</f>
        <v>3 mos</v>
      </c>
      <c r="H238" s="1" t="str">
        <f>IFERROR(__xludf.DUMMYFUNCTION("""COMPUTED_VALUE"""),"comment")</f>
        <v>comment</v>
      </c>
      <c r="I238" s="2" t="str">
        <f>IFERROR(__xludf.DUMMYFUNCTION("""COMPUTED_VALUE"""),"https://www.facebook.com/rapplerdotcom/photos/a.317154781638645/5598220220198715/")</f>
        <v>https://www.facebook.com/rapplerdotcom/photos/a.317154781638645/5598220220198715/</v>
      </c>
      <c r="J238" s="1" t="str">
        <f>IFERROR(__xludf.DUMMYFUNCTION("""COMPUTED_VALUE"""),"2022-07-04T11:09:50.067Z")</f>
        <v>2022-07-04T11:09:50.067Z</v>
      </c>
      <c r="K238" s="1"/>
    </row>
    <row r="239">
      <c r="A239" s="2" t="str">
        <f>IFERROR(__xludf.DUMMYFUNCTION("""COMPUTED_VALUE"""),"https://www.facebook.com/profile.php?id=100009725222253")</f>
        <v>https://www.facebook.com/profile.php?id=100009725222253</v>
      </c>
      <c r="B239" s="1" t="str">
        <f>IFERROR(__xludf.DUMMYFUNCTION("""COMPUTED_VALUE"""),"Lita Mendoza")</f>
        <v>Lita Mendoza</v>
      </c>
      <c r="C239" s="1" t="str">
        <f>IFERROR(__xludf.DUMMYFUNCTION("""COMPUTED_VALUE"""),"Lita")</f>
        <v>Lita</v>
      </c>
      <c r="D239" s="1" t="str">
        <f>IFERROR(__xludf.DUMMYFUNCTION("""COMPUTED_VALUE"""),"Mendoza")</f>
        <v>Mendoza</v>
      </c>
      <c r="E239" s="1" t="str">
        <f>IFERROR(__xludf.DUMMYFUNCTION("""COMPUTED_VALUE"""),"ang mag bestfriend forever!")</f>
        <v>ang mag bestfriend forever!</v>
      </c>
      <c r="F239" s="1">
        <f>IFERROR(__xludf.DUMMYFUNCTION("""COMPUTED_VALUE"""),1.0)</f>
        <v>1</v>
      </c>
      <c r="G239" s="1" t="str">
        <f>IFERROR(__xludf.DUMMYFUNCTION("""COMPUTED_VALUE"""),"3 mos")</f>
        <v>3 mos</v>
      </c>
      <c r="H239" s="1" t="str">
        <f>IFERROR(__xludf.DUMMYFUNCTION("""COMPUTED_VALUE"""),"comment")</f>
        <v>comment</v>
      </c>
      <c r="I239" s="2" t="str">
        <f>IFERROR(__xludf.DUMMYFUNCTION("""COMPUTED_VALUE"""),"https://www.facebook.com/rapplerdotcom/photos/a.317154781638645/5598220220198715/")</f>
        <v>https://www.facebook.com/rapplerdotcom/photos/a.317154781638645/5598220220198715/</v>
      </c>
      <c r="J239" s="1" t="str">
        <f>IFERROR(__xludf.DUMMYFUNCTION("""COMPUTED_VALUE"""),"2022-07-04T11:09:50.067Z")</f>
        <v>2022-07-04T11:09:50.067Z</v>
      </c>
      <c r="K239" s="1"/>
    </row>
    <row r="240">
      <c r="A240" s="2" t="str">
        <f>IFERROR(__xludf.DUMMYFUNCTION("""COMPUTED_VALUE"""),"https://www.facebook.com/profile.php?id=100069842802277")</f>
        <v>https://www.facebook.com/profile.php?id=100069842802277</v>
      </c>
      <c r="B240" s="1" t="str">
        <f>IFERROR(__xludf.DUMMYFUNCTION("""COMPUTED_VALUE"""),"Gilbert Abastar")</f>
        <v>Gilbert Abastar</v>
      </c>
      <c r="C240" s="1" t="str">
        <f>IFERROR(__xludf.DUMMYFUNCTION("""COMPUTED_VALUE"""),"Gilbert")</f>
        <v>Gilbert</v>
      </c>
      <c r="D240" s="1" t="str">
        <f>IFERROR(__xludf.DUMMYFUNCTION("""COMPUTED_VALUE"""),"Abastar")</f>
        <v>Abastar</v>
      </c>
      <c r="E240" s="1" t="str">
        <f>IFERROR(__xludf.DUMMYFUNCTION("""COMPUTED_VALUE"""),"Dalawang babaeng walang sawa tayong ipinaglalaban.. mabuhay po kayo!")</f>
        <v>Dalawang babaeng walang sawa tayong ipinaglalaban.. mabuhay po kayo!</v>
      </c>
      <c r="F240" s="1">
        <f>IFERROR(__xludf.DUMMYFUNCTION("""COMPUTED_VALUE"""),2.0)</f>
        <v>2</v>
      </c>
      <c r="G240" s="1" t="str">
        <f>IFERROR(__xludf.DUMMYFUNCTION("""COMPUTED_VALUE"""),"3 mos")</f>
        <v>3 mos</v>
      </c>
      <c r="H240" s="1" t="str">
        <f>IFERROR(__xludf.DUMMYFUNCTION("""COMPUTED_VALUE"""),"comment")</f>
        <v>comment</v>
      </c>
      <c r="I240" s="2" t="str">
        <f>IFERROR(__xludf.DUMMYFUNCTION("""COMPUTED_VALUE"""),"https://www.facebook.com/rapplerdotcom/photos/a.317154781638645/5598220220198715/")</f>
        <v>https://www.facebook.com/rapplerdotcom/photos/a.317154781638645/5598220220198715/</v>
      </c>
      <c r="J240" s="1" t="str">
        <f>IFERROR(__xludf.DUMMYFUNCTION("""COMPUTED_VALUE"""),"2022-07-04T11:09:50.067Z")</f>
        <v>2022-07-04T11:09:50.067Z</v>
      </c>
      <c r="K240" s="1"/>
    </row>
    <row r="241">
      <c r="A241" s="2" t="str">
        <f>IFERROR(__xludf.DUMMYFUNCTION("""COMPUTED_VALUE"""),"https://www.facebook.com/mal.esquivel")</f>
        <v>https://www.facebook.com/mal.esquivel</v>
      </c>
      <c r="B241" s="1" t="str">
        <f>IFERROR(__xludf.DUMMYFUNCTION("""COMPUTED_VALUE"""),"Mal Esquivel")</f>
        <v>Mal Esquivel</v>
      </c>
      <c r="C241" s="1" t="str">
        <f>IFERROR(__xludf.DUMMYFUNCTION("""COMPUTED_VALUE"""),"Mal")</f>
        <v>Mal</v>
      </c>
      <c r="D241" s="1" t="str">
        <f>IFERROR(__xludf.DUMMYFUNCTION("""COMPUTED_VALUE"""),"Esquivel")</f>
        <v>Esquivel</v>
      </c>
      <c r="E241" s="1" t="str">
        <f>IFERROR(__xludf.DUMMYFUNCTION("""COMPUTED_VALUE"""),"ABANTE BABAE 💗🌸")</f>
        <v>ABANTE BABAE 💗🌸</v>
      </c>
      <c r="F241" s="1">
        <f>IFERROR(__xludf.DUMMYFUNCTION("""COMPUTED_VALUE"""),1.0)</f>
        <v>1</v>
      </c>
      <c r="G241" s="1" t="str">
        <f>IFERROR(__xludf.DUMMYFUNCTION("""COMPUTED_VALUE"""),"3 mos")</f>
        <v>3 mos</v>
      </c>
      <c r="H241" s="1" t="str">
        <f>IFERROR(__xludf.DUMMYFUNCTION("""COMPUTED_VALUE"""),"comment")</f>
        <v>comment</v>
      </c>
      <c r="I241" s="2" t="str">
        <f>IFERROR(__xludf.DUMMYFUNCTION("""COMPUTED_VALUE"""),"https://www.facebook.com/rapplerdotcom/photos/a.317154781638645/5598220220198715/")</f>
        <v>https://www.facebook.com/rapplerdotcom/photos/a.317154781638645/5598220220198715/</v>
      </c>
      <c r="J241" s="1" t="str">
        <f>IFERROR(__xludf.DUMMYFUNCTION("""COMPUTED_VALUE"""),"2022-07-04T11:09:50.067Z")</f>
        <v>2022-07-04T11:09:50.067Z</v>
      </c>
      <c r="K241" s="1"/>
    </row>
    <row r="242">
      <c r="A242" s="2" t="str">
        <f>IFERROR(__xludf.DUMMYFUNCTION("""COMPUTED_VALUE"""),"https://www.facebook.com/ayan.delan")</f>
        <v>https://www.facebook.com/ayan.delan</v>
      </c>
      <c r="B242" s="1" t="str">
        <f>IFERROR(__xludf.DUMMYFUNCTION("""COMPUTED_VALUE"""),"Onairda Dln")</f>
        <v>Onairda Dln</v>
      </c>
      <c r="C242" s="1" t="str">
        <f>IFERROR(__xludf.DUMMYFUNCTION("""COMPUTED_VALUE"""),"Onairda")</f>
        <v>Onairda</v>
      </c>
      <c r="D242" s="1" t="str">
        <f>IFERROR(__xludf.DUMMYFUNCTION("""COMPUTED_VALUE"""),"Dln")</f>
        <v>Dln</v>
      </c>
      <c r="E242" s="1" t="str">
        <f>IFERROR(__xludf.DUMMYFUNCTION("""COMPUTED_VALUE"""),"Sila Sila na lng naglolokohan pa")</f>
        <v>Sila Sila na lng naglolokohan pa</v>
      </c>
      <c r="F242" s="1">
        <f>IFERROR(__xludf.DUMMYFUNCTION("""COMPUTED_VALUE"""),8.0)</f>
        <v>8</v>
      </c>
      <c r="G242" s="1" t="str">
        <f>IFERROR(__xludf.DUMMYFUNCTION("""COMPUTED_VALUE"""),"3 mos")</f>
        <v>3 mos</v>
      </c>
      <c r="H242" s="1" t="str">
        <f>IFERROR(__xludf.DUMMYFUNCTION("""COMPUTED_VALUE"""),"comment")</f>
        <v>comment</v>
      </c>
      <c r="I242" s="2" t="str">
        <f>IFERROR(__xludf.DUMMYFUNCTION("""COMPUTED_VALUE"""),"https://www.facebook.com/rapplerdotcom/photos/a.317154781638645/5598220220198715/")</f>
        <v>https://www.facebook.com/rapplerdotcom/photos/a.317154781638645/5598220220198715/</v>
      </c>
      <c r="J242" s="1" t="str">
        <f>IFERROR(__xludf.DUMMYFUNCTION("""COMPUTED_VALUE"""),"2022-07-04T11:09:50.067Z")</f>
        <v>2022-07-04T11:09:50.067Z</v>
      </c>
      <c r="K242" s="1"/>
    </row>
    <row r="243">
      <c r="A243" s="2" t="str">
        <f>IFERROR(__xludf.DUMMYFUNCTION("""COMPUTED_VALUE"""),"https://www.facebook.com/grace.lucila.33")</f>
        <v>https://www.facebook.com/grace.lucila.33</v>
      </c>
      <c r="B243" s="1" t="str">
        <f>IFERROR(__xludf.DUMMYFUNCTION("""COMPUTED_VALUE"""),"Grace Lucila")</f>
        <v>Grace Lucila</v>
      </c>
      <c r="C243" s="1" t="str">
        <f>IFERROR(__xludf.DUMMYFUNCTION("""COMPUTED_VALUE"""),"Grace")</f>
        <v>Grace</v>
      </c>
      <c r="D243" s="1" t="str">
        <f>IFERROR(__xludf.DUMMYFUNCTION("""COMPUTED_VALUE"""),"Lucila")</f>
        <v>Lucila</v>
      </c>
      <c r="E243" s="1" t="str">
        <f>IFERROR(__xludf.DUMMYFUNCTION("""COMPUTED_VALUE"""),"Onairda Naler baket, inano ka ba?")</f>
        <v>Onairda Naler baket, inano ka ba?</v>
      </c>
      <c r="F243" s="1">
        <f>IFERROR(__xludf.DUMMYFUNCTION("""COMPUTED_VALUE"""),1.0)</f>
        <v>1</v>
      </c>
      <c r="G243" s="1" t="str">
        <f>IFERROR(__xludf.DUMMYFUNCTION("""COMPUTED_VALUE"""),"3 mos")</f>
        <v>3 mos</v>
      </c>
      <c r="H243" s="1" t="str">
        <f>IFERROR(__xludf.DUMMYFUNCTION("""COMPUTED_VALUE"""),"reply")</f>
        <v>reply</v>
      </c>
      <c r="I243" s="2" t="str">
        <f>IFERROR(__xludf.DUMMYFUNCTION("""COMPUTED_VALUE"""),"https://www.facebook.com/rapplerdotcom/photos/a.317154781638645/5598220220198715/")</f>
        <v>https://www.facebook.com/rapplerdotcom/photos/a.317154781638645/5598220220198715/</v>
      </c>
      <c r="J243" s="1" t="str">
        <f>IFERROR(__xludf.DUMMYFUNCTION("""COMPUTED_VALUE"""),"2022-07-04T11:09:50.067Z")</f>
        <v>2022-07-04T11:09:50.067Z</v>
      </c>
      <c r="K243" s="1"/>
    </row>
    <row r="244">
      <c r="A244" s="2" t="str">
        <f>IFERROR(__xludf.DUMMYFUNCTION("""COMPUTED_VALUE"""),"https://www.facebook.com/jeff.hubero")</f>
        <v>https://www.facebook.com/jeff.hubero</v>
      </c>
      <c r="B244" s="1" t="str">
        <f>IFERROR(__xludf.DUMMYFUNCTION("""COMPUTED_VALUE"""),"Jeff Hubero")</f>
        <v>Jeff Hubero</v>
      </c>
      <c r="C244" s="1" t="str">
        <f>IFERROR(__xludf.DUMMYFUNCTION("""COMPUTED_VALUE"""),"Jeff")</f>
        <v>Jeff</v>
      </c>
      <c r="D244" s="1" t="str">
        <f>IFERROR(__xludf.DUMMYFUNCTION("""COMPUTED_VALUE"""),"Hubero")</f>
        <v>Hubero</v>
      </c>
      <c r="E244" s="1" t="str">
        <f>IFERROR(__xludf.DUMMYFUNCTION("""COMPUTED_VALUE"""),"Alam na dis 😂 😆")</f>
        <v>Alam na dis 😂 😆</v>
      </c>
      <c r="F244" s="1">
        <f>IFERROR(__xludf.DUMMYFUNCTION("""COMPUTED_VALUE"""),2.0)</f>
        <v>2</v>
      </c>
      <c r="G244" s="1" t="str">
        <f>IFERROR(__xludf.DUMMYFUNCTION("""COMPUTED_VALUE"""),"3 mos")</f>
        <v>3 mos</v>
      </c>
      <c r="H244" s="1" t="str">
        <f>IFERROR(__xludf.DUMMYFUNCTION("""COMPUTED_VALUE"""),"comment")</f>
        <v>comment</v>
      </c>
      <c r="I244" s="2" t="str">
        <f>IFERROR(__xludf.DUMMYFUNCTION("""COMPUTED_VALUE"""),"https://www.facebook.com/rapplerdotcom/photos/a.317154781638645/5598220220198715/")</f>
        <v>https://www.facebook.com/rapplerdotcom/photos/a.317154781638645/5598220220198715/</v>
      </c>
      <c r="J244" s="1" t="str">
        <f>IFERROR(__xludf.DUMMYFUNCTION("""COMPUTED_VALUE"""),"2022-07-04T11:09:50.067Z")</f>
        <v>2022-07-04T11:09:50.067Z</v>
      </c>
      <c r="K244" s="1"/>
    </row>
    <row r="245">
      <c r="A245" s="2" t="str">
        <f>IFERROR(__xludf.DUMMYFUNCTION("""COMPUTED_VALUE"""),"https://www.facebook.com/maria.carl.77")</f>
        <v>https://www.facebook.com/maria.carl.77</v>
      </c>
      <c r="B245" s="1" t="str">
        <f>IFERROR(__xludf.DUMMYFUNCTION("""COMPUTED_VALUE"""),"Maria Carl")</f>
        <v>Maria Carl</v>
      </c>
      <c r="C245" s="1" t="str">
        <f>IFERROR(__xludf.DUMMYFUNCTION("""COMPUTED_VALUE"""),"Maria")</f>
        <v>Maria</v>
      </c>
      <c r="D245" s="1" t="str">
        <f>IFERROR(__xludf.DUMMYFUNCTION("""COMPUTED_VALUE"""),"Carl")</f>
        <v>Carl</v>
      </c>
      <c r="E245" s="1" t="str">
        <f>IFERROR(__xludf.DUMMYFUNCTION("""COMPUTED_VALUE"""),"💗💗💗KakamPink forever 💗")</f>
        <v>💗💗💗KakamPink forever 💗</v>
      </c>
      <c r="F245" s="1">
        <f>IFERROR(__xludf.DUMMYFUNCTION("""COMPUTED_VALUE"""),1.0)</f>
        <v>1</v>
      </c>
      <c r="G245" s="1" t="str">
        <f>IFERROR(__xludf.DUMMYFUNCTION("""COMPUTED_VALUE"""),"3 mos")</f>
        <v>3 mos</v>
      </c>
      <c r="H245" s="1" t="str">
        <f>IFERROR(__xludf.DUMMYFUNCTION("""COMPUTED_VALUE"""),"comment")</f>
        <v>comment</v>
      </c>
      <c r="I245" s="2" t="str">
        <f>IFERROR(__xludf.DUMMYFUNCTION("""COMPUTED_VALUE"""),"https://www.facebook.com/rapplerdotcom/photos/a.317154781638645/5598220220198715/")</f>
        <v>https://www.facebook.com/rapplerdotcom/photos/a.317154781638645/5598220220198715/</v>
      </c>
      <c r="J245" s="1" t="str">
        <f>IFERROR(__xludf.DUMMYFUNCTION("""COMPUTED_VALUE"""),"2022-07-04T11:09:50.067Z")</f>
        <v>2022-07-04T11:09:50.067Z</v>
      </c>
      <c r="K245" s="1"/>
    </row>
    <row r="246">
      <c r="A246" s="2" t="str">
        <f>IFERROR(__xludf.DUMMYFUNCTION("""COMPUTED_VALUE"""),"https://www.facebook.com/rodelio.cohay.3")</f>
        <v>https://www.facebook.com/rodelio.cohay.3</v>
      </c>
      <c r="B246" s="1" t="str">
        <f>IFERROR(__xludf.DUMMYFUNCTION("""COMPUTED_VALUE"""),"Tatskie Gambuta Cohay")</f>
        <v>Tatskie Gambuta Cohay</v>
      </c>
      <c r="C246" s="1" t="str">
        <f>IFERROR(__xludf.DUMMYFUNCTION("""COMPUTED_VALUE"""),"Tatskie")</f>
        <v>Tatskie</v>
      </c>
      <c r="D246" s="1" t="str">
        <f>IFERROR(__xludf.DUMMYFUNCTION("""COMPUTED_VALUE"""),"Gambuta Cohay")</f>
        <v>Gambuta Cohay</v>
      </c>
      <c r="E246" s="1" t="str">
        <f>IFERROR(__xludf.DUMMYFUNCTION("""COMPUTED_VALUE"""),"huli piro d kulong")</f>
        <v>huli piro d kulong</v>
      </c>
      <c r="F246" s="1"/>
      <c r="G246" s="1" t="str">
        <f>IFERROR(__xludf.DUMMYFUNCTION("""COMPUTED_VALUE"""),"3 mos")</f>
        <v>3 mos</v>
      </c>
      <c r="H246" s="1" t="str">
        <f>IFERROR(__xludf.DUMMYFUNCTION("""COMPUTED_VALUE"""),"comment")</f>
        <v>comment</v>
      </c>
      <c r="I246" s="2" t="str">
        <f>IFERROR(__xludf.DUMMYFUNCTION("""COMPUTED_VALUE"""),"https://www.facebook.com/rapplerdotcom/photos/a.317154781638645/5598220220198715/")</f>
        <v>https://www.facebook.com/rapplerdotcom/photos/a.317154781638645/5598220220198715/</v>
      </c>
      <c r="J246" s="1" t="str">
        <f>IFERROR(__xludf.DUMMYFUNCTION("""COMPUTED_VALUE"""),"2022-07-04T11:09:50.067Z")</f>
        <v>2022-07-04T11:09:50.067Z</v>
      </c>
      <c r="K246" s="1"/>
    </row>
    <row r="247">
      <c r="A247" s="2" t="str">
        <f>IFERROR(__xludf.DUMMYFUNCTION("""COMPUTED_VALUE"""),"https://www.facebook.com/philip.casapao")</f>
        <v>https://www.facebook.com/philip.casapao</v>
      </c>
      <c r="B247" s="1" t="str">
        <f>IFERROR(__xludf.DUMMYFUNCTION("""COMPUTED_VALUE"""),"필립캇")</f>
        <v>필립캇</v>
      </c>
      <c r="C247" s="1" t="str">
        <f>IFERROR(__xludf.DUMMYFUNCTION("""COMPUTED_VALUE"""),"필립캇")</f>
        <v>필립캇</v>
      </c>
      <c r="D247" s="1"/>
      <c r="E247" s="1" t="str">
        <f>IFERROR(__xludf.DUMMYFUNCTION("""COMPUTED_VALUE"""),"MGA TRAPO😅🤣😂")</f>
        <v>MGA TRAPO😅🤣😂</v>
      </c>
      <c r="F247" s="1">
        <f>IFERROR(__xludf.DUMMYFUNCTION("""COMPUTED_VALUE"""),6.0)</f>
        <v>6</v>
      </c>
      <c r="G247" s="1" t="str">
        <f>IFERROR(__xludf.DUMMYFUNCTION("""COMPUTED_VALUE"""),"3 mos")</f>
        <v>3 mos</v>
      </c>
      <c r="H247" s="1" t="str">
        <f>IFERROR(__xludf.DUMMYFUNCTION("""COMPUTED_VALUE"""),"comment")</f>
        <v>comment</v>
      </c>
      <c r="I247" s="2" t="str">
        <f>IFERROR(__xludf.DUMMYFUNCTION("""COMPUTED_VALUE"""),"https://www.facebook.com/rapplerdotcom/photos/a.317154781638645/5598220220198715/")</f>
        <v>https://www.facebook.com/rapplerdotcom/photos/a.317154781638645/5598220220198715/</v>
      </c>
      <c r="J247" s="1" t="str">
        <f>IFERROR(__xludf.DUMMYFUNCTION("""COMPUTED_VALUE"""),"2022-07-04T11:09:50.067Z")</f>
        <v>2022-07-04T11:09:50.067Z</v>
      </c>
      <c r="K247" s="1"/>
    </row>
    <row r="248">
      <c r="A248" s="2" t="str">
        <f>IFERROR(__xludf.DUMMYFUNCTION("""COMPUTED_VALUE"""),"https://www.facebook.com/veronica.o.hadi")</f>
        <v>https://www.facebook.com/veronica.o.hadi</v>
      </c>
      <c r="B248" s="1" t="str">
        <f>IFERROR(__xludf.DUMMYFUNCTION("""COMPUTED_VALUE"""),"Veronica Olivarez Hadi")</f>
        <v>Veronica Olivarez Hadi</v>
      </c>
      <c r="C248" s="1" t="str">
        <f>IFERROR(__xludf.DUMMYFUNCTION("""COMPUTED_VALUE"""),"Veronica")</f>
        <v>Veronica</v>
      </c>
      <c r="D248" s="1" t="str">
        <f>IFERROR(__xludf.DUMMYFUNCTION("""COMPUTED_VALUE"""),"Olivarez Hadi")</f>
        <v>Olivarez Hadi</v>
      </c>
      <c r="E248" s="1" t="str">
        <f>IFERROR(__xludf.DUMMYFUNCTION("""COMPUTED_VALUE"""),"Dalawa sa mga babaeng hinahangaan ko .Matapang naninindigan para sa katotohanan.")</f>
        <v>Dalawa sa mga babaeng hinahangaan ko .Matapang naninindigan para sa katotohanan.</v>
      </c>
      <c r="F248" s="1">
        <f>IFERROR(__xludf.DUMMYFUNCTION("""COMPUTED_VALUE"""),1.0)</f>
        <v>1</v>
      </c>
      <c r="G248" s="1" t="str">
        <f>IFERROR(__xludf.DUMMYFUNCTION("""COMPUTED_VALUE"""),"3 mos")</f>
        <v>3 mos</v>
      </c>
      <c r="H248" s="1" t="str">
        <f>IFERROR(__xludf.DUMMYFUNCTION("""COMPUTED_VALUE"""),"comment")</f>
        <v>comment</v>
      </c>
      <c r="I248" s="2" t="str">
        <f>IFERROR(__xludf.DUMMYFUNCTION("""COMPUTED_VALUE"""),"https://www.facebook.com/rapplerdotcom/photos/a.317154781638645/5598220220198715/")</f>
        <v>https://www.facebook.com/rapplerdotcom/photos/a.317154781638645/5598220220198715/</v>
      </c>
      <c r="J248" s="1" t="str">
        <f>IFERROR(__xludf.DUMMYFUNCTION("""COMPUTED_VALUE"""),"2022-07-04T11:09:50.067Z")</f>
        <v>2022-07-04T11:09:50.067Z</v>
      </c>
      <c r="K248" s="1"/>
    </row>
    <row r="249">
      <c r="A249" s="2" t="str">
        <f>IFERROR(__xludf.DUMMYFUNCTION("""COMPUTED_VALUE"""),"https://www.facebook.com/federico.condesa")</f>
        <v>https://www.facebook.com/federico.condesa</v>
      </c>
      <c r="B249" s="1" t="str">
        <f>IFERROR(__xludf.DUMMYFUNCTION("""COMPUTED_VALUE"""),"Federico Condesa")</f>
        <v>Federico Condesa</v>
      </c>
      <c r="C249" s="1" t="str">
        <f>IFERROR(__xludf.DUMMYFUNCTION("""COMPUTED_VALUE"""),"Federico")</f>
        <v>Federico</v>
      </c>
      <c r="D249" s="1" t="str">
        <f>IFERROR(__xludf.DUMMYFUNCTION("""COMPUTED_VALUE"""),"Condesa")</f>
        <v>Condesa</v>
      </c>
      <c r="E249" s="1" t="str">
        <f>IFERROR(__xludf.DUMMYFUNCTION("""COMPUTED_VALUE"""),"Veronica Olivarez Hadi naniningdigan para paikotin n nmn ang mamamayan s kanilang binabalak n pansarli pakinabang.")</f>
        <v>Veronica Olivarez Hadi naniningdigan para paikotin n nmn ang mamamayan s kanilang binabalak n pansarli pakinabang.</v>
      </c>
      <c r="F249" s="1"/>
      <c r="G249" s="1" t="str">
        <f>IFERROR(__xludf.DUMMYFUNCTION("""COMPUTED_VALUE"""),"3 mos")</f>
        <v>3 mos</v>
      </c>
      <c r="H249" s="1" t="str">
        <f>IFERROR(__xludf.DUMMYFUNCTION("""COMPUTED_VALUE"""),"reply")</f>
        <v>reply</v>
      </c>
      <c r="I249" s="2" t="str">
        <f>IFERROR(__xludf.DUMMYFUNCTION("""COMPUTED_VALUE"""),"https://www.facebook.com/rapplerdotcom/photos/a.317154781638645/5598220220198715/")</f>
        <v>https://www.facebook.com/rapplerdotcom/photos/a.317154781638645/5598220220198715/</v>
      </c>
      <c r="J249" s="1" t="str">
        <f>IFERROR(__xludf.DUMMYFUNCTION("""COMPUTED_VALUE"""),"2022-07-04T11:09:50.067Z")</f>
        <v>2022-07-04T11:09:50.067Z</v>
      </c>
      <c r="K249" s="1"/>
    </row>
    <row r="250">
      <c r="A250" s="2" t="str">
        <f>IFERROR(__xludf.DUMMYFUNCTION("""COMPUTED_VALUE"""),"https://www.facebook.com/eugarnlise.garcia27")</f>
        <v>https://www.facebook.com/eugarnlise.garcia27</v>
      </c>
      <c r="B250" s="1" t="str">
        <f>IFERROR(__xludf.DUMMYFUNCTION("""COMPUTED_VALUE"""),"Eugarn Lise Garcia")</f>
        <v>Eugarn Lise Garcia</v>
      </c>
      <c r="C250" s="1" t="str">
        <f>IFERROR(__xludf.DUMMYFUNCTION("""COMPUTED_VALUE"""),"Eugarn")</f>
        <v>Eugarn</v>
      </c>
      <c r="D250" s="1" t="str">
        <f>IFERROR(__xludf.DUMMYFUNCTION("""COMPUTED_VALUE"""),"Lise Garcia")</f>
        <v>Lise Garcia</v>
      </c>
      <c r="E250" s="1" t="str">
        <f>IFERROR(__xludf.DUMMYFUNCTION("""COMPUTED_VALUE"""),"Abante Babae 2022 🌸🌸🌸")</f>
        <v>Abante Babae 2022 🌸🌸🌸</v>
      </c>
      <c r="F250" s="1">
        <f>IFERROR(__xludf.DUMMYFUNCTION("""COMPUTED_VALUE"""),2.0)</f>
        <v>2</v>
      </c>
      <c r="G250" s="1" t="str">
        <f>IFERROR(__xludf.DUMMYFUNCTION("""COMPUTED_VALUE"""),"3 mos")</f>
        <v>3 mos</v>
      </c>
      <c r="H250" s="1" t="str">
        <f>IFERROR(__xludf.DUMMYFUNCTION("""COMPUTED_VALUE"""),"comment")</f>
        <v>comment</v>
      </c>
      <c r="I250" s="2" t="str">
        <f>IFERROR(__xludf.DUMMYFUNCTION("""COMPUTED_VALUE"""),"https://www.facebook.com/rapplerdotcom/photos/a.317154781638645/5598220220198715/")</f>
        <v>https://www.facebook.com/rapplerdotcom/photos/a.317154781638645/5598220220198715/</v>
      </c>
      <c r="J250" s="1" t="str">
        <f>IFERROR(__xludf.DUMMYFUNCTION("""COMPUTED_VALUE"""),"2022-07-04T11:09:50.067Z")</f>
        <v>2022-07-04T11:09:50.067Z</v>
      </c>
      <c r="K250" s="1"/>
    </row>
    <row r="251">
      <c r="A251" s="2" t="str">
        <f>IFERROR(__xludf.DUMMYFUNCTION("""COMPUTED_VALUE"""),"https://www.facebook.com/hotaru.izanami")</f>
        <v>https://www.facebook.com/hotaru.izanami</v>
      </c>
      <c r="B251" s="1" t="str">
        <f>IFERROR(__xludf.DUMMYFUNCTION("""COMPUTED_VALUE"""),"Hotaru Izanami")</f>
        <v>Hotaru Izanami</v>
      </c>
      <c r="C251" s="1" t="str">
        <f>IFERROR(__xludf.DUMMYFUNCTION("""COMPUTED_VALUE"""),"Hotaru")</f>
        <v>Hotaru</v>
      </c>
      <c r="D251" s="1" t="str">
        <f>IFERROR(__xludf.DUMMYFUNCTION("""COMPUTED_VALUE"""),"Izanami")</f>
        <v>Izanami</v>
      </c>
      <c r="E251" s="1" t="str">
        <f>IFERROR(__xludf.DUMMYFUNCTION("""COMPUTED_VALUE"""),"Pag inggit kaog igit 😂😂")</f>
        <v>Pag inggit kaog igit 😂😂</v>
      </c>
      <c r="F251" s="1">
        <f>IFERROR(__xludf.DUMMYFUNCTION("""COMPUTED_VALUE"""),6.0)</f>
        <v>6</v>
      </c>
      <c r="G251" s="1" t="str">
        <f>IFERROR(__xludf.DUMMYFUNCTION("""COMPUTED_VALUE"""),"3 mos")</f>
        <v>3 mos</v>
      </c>
      <c r="H251" s="1" t="str">
        <f>IFERROR(__xludf.DUMMYFUNCTION("""COMPUTED_VALUE"""),"comment")</f>
        <v>comment</v>
      </c>
      <c r="I251" s="2" t="str">
        <f>IFERROR(__xludf.DUMMYFUNCTION("""COMPUTED_VALUE"""),"https://www.facebook.com/rapplerdotcom/photos/a.317154781638645/5598220220198715/")</f>
        <v>https://www.facebook.com/rapplerdotcom/photos/a.317154781638645/5598220220198715/</v>
      </c>
      <c r="J251" s="1" t="str">
        <f>IFERROR(__xludf.DUMMYFUNCTION("""COMPUTED_VALUE"""),"2022-07-04T11:09:50.067Z")</f>
        <v>2022-07-04T11:09:50.067Z</v>
      </c>
      <c r="K251" s="1"/>
    </row>
    <row r="252">
      <c r="A252" s="2" t="str">
        <f>IFERROR(__xludf.DUMMYFUNCTION("""COMPUTED_VALUE"""),"https://www.facebook.com/neil.torreon.7")</f>
        <v>https://www.facebook.com/neil.torreon.7</v>
      </c>
      <c r="B252" s="1" t="str">
        <f>IFERROR(__xludf.DUMMYFUNCTION("""COMPUTED_VALUE"""),"Neil Torreon")</f>
        <v>Neil Torreon</v>
      </c>
      <c r="C252" s="1" t="str">
        <f>IFERROR(__xludf.DUMMYFUNCTION("""COMPUTED_VALUE"""),"Neil")</f>
        <v>Neil</v>
      </c>
      <c r="D252" s="1" t="str">
        <f>IFERROR(__xludf.DUMMYFUNCTION("""COMPUTED_VALUE"""),"Torreon")</f>
        <v>Torreon</v>
      </c>
      <c r="E252" s="1" t="str">
        <f>IFERROR(__xludf.DUMMYFUNCTION("""COMPUTED_VALUE"""),"Alam na this ....hahaha...2 women without dignity....sariling Bansa sisiraan....pag uusapan paano mandaya sa election.....")</f>
        <v>Alam na this ....hahaha...2 women without dignity....sariling Bansa sisiraan....pag uusapan paano mandaya sa election.....</v>
      </c>
      <c r="F252" s="1">
        <f>IFERROR(__xludf.DUMMYFUNCTION("""COMPUTED_VALUE"""),3.0)</f>
        <v>3</v>
      </c>
      <c r="G252" s="1" t="str">
        <f>IFERROR(__xludf.DUMMYFUNCTION("""COMPUTED_VALUE"""),"3 mos")</f>
        <v>3 mos</v>
      </c>
      <c r="H252" s="1" t="str">
        <f>IFERROR(__xludf.DUMMYFUNCTION("""COMPUTED_VALUE"""),"comment")</f>
        <v>comment</v>
      </c>
      <c r="I252" s="2" t="str">
        <f>IFERROR(__xludf.DUMMYFUNCTION("""COMPUTED_VALUE"""),"https://www.facebook.com/rapplerdotcom/photos/a.317154781638645/5598220220198715/")</f>
        <v>https://www.facebook.com/rapplerdotcom/photos/a.317154781638645/5598220220198715/</v>
      </c>
      <c r="J252" s="1" t="str">
        <f>IFERROR(__xludf.DUMMYFUNCTION("""COMPUTED_VALUE"""),"2022-07-04T11:09:50.067Z")</f>
        <v>2022-07-04T11:09:50.067Z</v>
      </c>
      <c r="K252" s="1"/>
    </row>
    <row r="253">
      <c r="A253" s="2" t="str">
        <f>IFERROR(__xludf.DUMMYFUNCTION("""COMPUTED_VALUE"""),"https://www.facebook.com/grace.lucila.33")</f>
        <v>https://www.facebook.com/grace.lucila.33</v>
      </c>
      <c r="B253" s="1" t="str">
        <f>IFERROR(__xludf.DUMMYFUNCTION("""COMPUTED_VALUE"""),"Grace Lucila")</f>
        <v>Grace Lucila</v>
      </c>
      <c r="C253" s="1" t="str">
        <f>IFERROR(__xludf.DUMMYFUNCTION("""COMPUTED_VALUE"""),"Grace")</f>
        <v>Grace</v>
      </c>
      <c r="D253" s="1" t="str">
        <f>IFERROR(__xludf.DUMMYFUNCTION("""COMPUTED_VALUE"""),"Lucila")</f>
        <v>Lucila</v>
      </c>
      <c r="E253" s="1" t="str">
        <f>IFERROR(__xludf.DUMMYFUNCTION("""COMPUTED_VALUE"""),"Neil Torreon Pinagsasasabi mo?")</f>
        <v>Neil Torreon Pinagsasasabi mo?</v>
      </c>
      <c r="F253" s="1">
        <f>IFERROR(__xludf.DUMMYFUNCTION("""COMPUTED_VALUE"""),1.0)</f>
        <v>1</v>
      </c>
      <c r="G253" s="1" t="str">
        <f>IFERROR(__xludf.DUMMYFUNCTION("""COMPUTED_VALUE"""),"3 mos")</f>
        <v>3 mos</v>
      </c>
      <c r="H253" s="1" t="str">
        <f>IFERROR(__xludf.DUMMYFUNCTION("""COMPUTED_VALUE"""),"reply")</f>
        <v>reply</v>
      </c>
      <c r="I253" s="2" t="str">
        <f>IFERROR(__xludf.DUMMYFUNCTION("""COMPUTED_VALUE"""),"https://www.facebook.com/rapplerdotcom/photos/a.317154781638645/5598220220198715/")</f>
        <v>https://www.facebook.com/rapplerdotcom/photos/a.317154781638645/5598220220198715/</v>
      </c>
      <c r="J253" s="1" t="str">
        <f>IFERROR(__xludf.DUMMYFUNCTION("""COMPUTED_VALUE"""),"2022-07-04T11:09:50.067Z")</f>
        <v>2022-07-04T11:09:50.067Z</v>
      </c>
      <c r="K253" s="1"/>
    </row>
    <row r="254">
      <c r="A254" s="2" t="str">
        <f>IFERROR(__xludf.DUMMYFUNCTION("""COMPUTED_VALUE"""),"https://www.facebook.com/marcoantonio.bursky")</f>
        <v>https://www.facebook.com/marcoantonio.bursky</v>
      </c>
      <c r="B254" s="1" t="str">
        <f>IFERROR(__xludf.DUMMYFUNCTION("""COMPUTED_VALUE"""),"Marco Antonio Bursky")</f>
        <v>Marco Antonio Bursky</v>
      </c>
      <c r="C254" s="1" t="str">
        <f>IFERROR(__xludf.DUMMYFUNCTION("""COMPUTED_VALUE"""),"Marco")</f>
        <v>Marco</v>
      </c>
      <c r="D254" s="1" t="str">
        <f>IFERROR(__xludf.DUMMYFUNCTION("""COMPUTED_VALUE"""),"Antonio Bursky")</f>
        <v>Antonio Bursky</v>
      </c>
      <c r="E254" s="1" t="str">
        <f>IFERROR(__xludf.DUMMYFUNCTION("""COMPUTED_VALUE"""),"Dyn k p interview  langaw aabutin nyu")</f>
        <v>Dyn k p interview  langaw aabutin nyu</v>
      </c>
      <c r="F254" s="1"/>
      <c r="G254" s="1" t="str">
        <f>IFERROR(__xludf.DUMMYFUNCTION("""COMPUTED_VALUE"""),"3 mos")</f>
        <v>3 mos</v>
      </c>
      <c r="H254" s="1" t="str">
        <f>IFERROR(__xludf.DUMMYFUNCTION("""COMPUTED_VALUE"""),"comment")</f>
        <v>comment</v>
      </c>
      <c r="I254" s="2" t="str">
        <f>IFERROR(__xludf.DUMMYFUNCTION("""COMPUTED_VALUE"""),"https://www.facebook.com/rapplerdotcom/photos/a.317154781638645/5598220220198715/")</f>
        <v>https://www.facebook.com/rapplerdotcom/photos/a.317154781638645/5598220220198715/</v>
      </c>
      <c r="J254" s="1" t="str">
        <f>IFERROR(__xludf.DUMMYFUNCTION("""COMPUTED_VALUE"""),"2022-07-04T11:09:50.067Z")</f>
        <v>2022-07-04T11:09:50.067Z</v>
      </c>
      <c r="K254" s="1"/>
    </row>
    <row r="255">
      <c r="A255" s="2" t="str">
        <f>IFERROR(__xludf.DUMMYFUNCTION("""COMPUTED_VALUE"""),"https://www.facebook.com/ferrerantonia")</f>
        <v>https://www.facebook.com/ferrerantonia</v>
      </c>
      <c r="B255" s="1" t="str">
        <f>IFERROR(__xludf.DUMMYFUNCTION("""COMPUTED_VALUE"""),"Antonia Ferrer")</f>
        <v>Antonia Ferrer</v>
      </c>
      <c r="C255" s="1" t="str">
        <f>IFERROR(__xludf.DUMMYFUNCTION("""COMPUTED_VALUE"""),"Antonia")</f>
        <v>Antonia</v>
      </c>
      <c r="D255" s="1" t="str">
        <f>IFERROR(__xludf.DUMMYFUNCTION("""COMPUTED_VALUE"""),"Ferrer")</f>
        <v>Ferrer</v>
      </c>
      <c r="E255" s="1" t="str">
        <f>IFERROR(__xludf.DUMMYFUNCTION("""COMPUTED_VALUE"""),"bumoto ng tama, bumoto ng mabuti #LeniKiko2022 🌷🌷🌷")</f>
        <v>bumoto ng tama, bumoto ng mabuti #LeniKiko2022 🌷🌷🌷</v>
      </c>
      <c r="F255" s="1"/>
      <c r="G255" s="1" t="str">
        <f>IFERROR(__xludf.DUMMYFUNCTION("""COMPUTED_VALUE"""),"3 mos")</f>
        <v>3 mos</v>
      </c>
      <c r="H255" s="1" t="str">
        <f>IFERROR(__xludf.DUMMYFUNCTION("""COMPUTED_VALUE"""),"comment")</f>
        <v>comment</v>
      </c>
      <c r="I255" s="2" t="str">
        <f>IFERROR(__xludf.DUMMYFUNCTION("""COMPUTED_VALUE"""),"https://www.facebook.com/rapplerdotcom/photos/a.317154781638645/5598220220198715/")</f>
        <v>https://www.facebook.com/rapplerdotcom/photos/a.317154781638645/5598220220198715/</v>
      </c>
      <c r="J255" s="1" t="str">
        <f>IFERROR(__xludf.DUMMYFUNCTION("""COMPUTED_VALUE"""),"2022-07-04T11:09:50.067Z")</f>
        <v>2022-07-04T11:09:50.067Z</v>
      </c>
      <c r="K255" s="1"/>
    </row>
    <row r="256">
      <c r="A256" s="2" t="str">
        <f>IFERROR(__xludf.DUMMYFUNCTION("""COMPUTED_VALUE"""),"https://www.facebook.com/florita.manzano.5")</f>
        <v>https://www.facebook.com/florita.manzano.5</v>
      </c>
      <c r="B256" s="1" t="str">
        <f>IFERROR(__xludf.DUMMYFUNCTION("""COMPUTED_VALUE"""),"Florita Manzano")</f>
        <v>Florita Manzano</v>
      </c>
      <c r="C256" s="1" t="str">
        <f>IFERROR(__xludf.DUMMYFUNCTION("""COMPUTED_VALUE"""),"Florita")</f>
        <v>Florita</v>
      </c>
      <c r="D256" s="1" t="str">
        <f>IFERROR(__xludf.DUMMYFUNCTION("""COMPUTED_VALUE"""),"Manzano")</f>
        <v>Manzano</v>
      </c>
      <c r="E256" s="1" t="str">
        <f>IFERROR(__xludf.DUMMYFUNCTION("""COMPUTED_VALUE"""),"magulo pang yan manalo dadami ang mga maritess")</f>
        <v>magulo pang yan manalo dadami ang mga maritess</v>
      </c>
      <c r="F256" s="1">
        <f>IFERROR(__xludf.DUMMYFUNCTION("""COMPUTED_VALUE"""),8.0)</f>
        <v>8</v>
      </c>
      <c r="G256" s="1" t="str">
        <f>IFERROR(__xludf.DUMMYFUNCTION("""COMPUTED_VALUE"""),"3 mos")</f>
        <v>3 mos</v>
      </c>
      <c r="H256" s="1" t="str">
        <f>IFERROR(__xludf.DUMMYFUNCTION("""COMPUTED_VALUE"""),"comment")</f>
        <v>comment</v>
      </c>
      <c r="I256" s="2" t="str">
        <f>IFERROR(__xludf.DUMMYFUNCTION("""COMPUTED_VALUE"""),"https://www.facebook.com/rapplerdotcom/photos/a.317154781638645/5598220220198715/")</f>
        <v>https://www.facebook.com/rapplerdotcom/photos/a.317154781638645/5598220220198715/</v>
      </c>
      <c r="J256" s="1" t="str">
        <f>IFERROR(__xludf.DUMMYFUNCTION("""COMPUTED_VALUE"""),"2022-07-04T11:09:50.067Z")</f>
        <v>2022-07-04T11:09:50.067Z</v>
      </c>
      <c r="K256" s="1"/>
    </row>
    <row r="257">
      <c r="A257" s="2" t="str">
        <f>IFERROR(__xludf.DUMMYFUNCTION("""COMPUTED_VALUE"""),"https://www.facebook.com/jenifer.ponayo.3")</f>
        <v>https://www.facebook.com/jenifer.ponayo.3</v>
      </c>
      <c r="B257" s="1" t="str">
        <f>IFERROR(__xludf.DUMMYFUNCTION("""COMPUTED_VALUE"""),"Jenifer Ponayo")</f>
        <v>Jenifer Ponayo</v>
      </c>
      <c r="C257" s="1" t="str">
        <f>IFERROR(__xludf.DUMMYFUNCTION("""COMPUTED_VALUE"""),"Jenifer")</f>
        <v>Jenifer</v>
      </c>
      <c r="D257" s="1" t="str">
        <f>IFERROR(__xludf.DUMMYFUNCTION("""COMPUTED_VALUE"""),"Ponayo")</f>
        <v>Ponayo</v>
      </c>
      <c r="E257" s="1" t="str">
        <f>IFERROR(__xludf.DUMMYFUNCTION("""COMPUTED_VALUE"""),"Florita Manzano 😂😂😂ikaw si marisol")</f>
        <v>Florita Manzano 😂😂😂ikaw si marisol</v>
      </c>
      <c r="F257" s="1">
        <f>IFERROR(__xludf.DUMMYFUNCTION("""COMPUTED_VALUE"""),2.0)</f>
        <v>2</v>
      </c>
      <c r="G257" s="1" t="str">
        <f>IFERROR(__xludf.DUMMYFUNCTION("""COMPUTED_VALUE"""),"3 mos")</f>
        <v>3 mos</v>
      </c>
      <c r="H257" s="1" t="str">
        <f>IFERROR(__xludf.DUMMYFUNCTION("""COMPUTED_VALUE"""),"reply")</f>
        <v>reply</v>
      </c>
      <c r="I257" s="2" t="str">
        <f>IFERROR(__xludf.DUMMYFUNCTION("""COMPUTED_VALUE"""),"https://www.facebook.com/rapplerdotcom/photos/a.317154781638645/5598220220198715/")</f>
        <v>https://www.facebook.com/rapplerdotcom/photos/a.317154781638645/5598220220198715/</v>
      </c>
      <c r="J257" s="1" t="str">
        <f>IFERROR(__xludf.DUMMYFUNCTION("""COMPUTED_VALUE"""),"2022-07-04T11:09:50.067Z")</f>
        <v>2022-07-04T11:09:50.067Z</v>
      </c>
      <c r="K257" s="1"/>
    </row>
    <row r="258">
      <c r="A258" s="2" t="str">
        <f>IFERROR(__xludf.DUMMYFUNCTION("""COMPUTED_VALUE"""),"https://www.facebook.com/aivin.retazo.7")</f>
        <v>https://www.facebook.com/aivin.retazo.7</v>
      </c>
      <c r="B258" s="1" t="str">
        <f>IFERROR(__xludf.DUMMYFUNCTION("""COMPUTED_VALUE"""),"Aivin Retazo")</f>
        <v>Aivin Retazo</v>
      </c>
      <c r="C258" s="1" t="str">
        <f>IFERROR(__xludf.DUMMYFUNCTION("""COMPUTED_VALUE"""),"Aivin")</f>
        <v>Aivin</v>
      </c>
      <c r="D258" s="1" t="str">
        <f>IFERROR(__xludf.DUMMYFUNCTION("""COMPUTED_VALUE"""),"Retazo")</f>
        <v>Retazo</v>
      </c>
      <c r="E258" s="1" t="str">
        <f>IFERROR(__xludf.DUMMYFUNCTION("""COMPUTED_VALUE"""),"Salamat s inyung paninindigan at Patuloy na walang humpay na serbisyo! Talunin natin ang kurapsyon at pangaabuso ng mga sakim at maka sariling politiko! Mabuhay ang pilipino! #AngatBuhay")</f>
        <v>Salamat s inyung paninindigan at Patuloy na walang humpay na serbisyo! Talunin natin ang kurapsyon at pangaabuso ng mga sakim at maka sariling politiko! Mabuhay ang pilipino! #AngatBuhay</v>
      </c>
      <c r="F258" s="1">
        <f>IFERROR(__xludf.DUMMYFUNCTION("""COMPUTED_VALUE"""),1.0)</f>
        <v>1</v>
      </c>
      <c r="G258" s="1" t="str">
        <f>IFERROR(__xludf.DUMMYFUNCTION("""COMPUTED_VALUE"""),"3 mos")</f>
        <v>3 mos</v>
      </c>
      <c r="H258" s="1" t="str">
        <f>IFERROR(__xludf.DUMMYFUNCTION("""COMPUTED_VALUE"""),"comment")</f>
        <v>comment</v>
      </c>
      <c r="I258" s="2" t="str">
        <f>IFERROR(__xludf.DUMMYFUNCTION("""COMPUTED_VALUE"""),"https://www.facebook.com/rapplerdotcom/photos/a.317154781638645/5598220220198715/")</f>
        <v>https://www.facebook.com/rapplerdotcom/photos/a.317154781638645/5598220220198715/</v>
      </c>
      <c r="J258" s="1" t="str">
        <f>IFERROR(__xludf.DUMMYFUNCTION("""COMPUTED_VALUE"""),"2022-07-04T11:09:50.067Z")</f>
        <v>2022-07-04T11:09:50.067Z</v>
      </c>
      <c r="K258" s="1"/>
    </row>
    <row r="259">
      <c r="A259" s="2" t="str">
        <f>IFERROR(__xludf.DUMMYFUNCTION("""COMPUTED_VALUE"""),"https://www.facebook.com/jacquilyn.okujo.7")</f>
        <v>https://www.facebook.com/jacquilyn.okujo.7</v>
      </c>
      <c r="B259" s="1" t="str">
        <f>IFERROR(__xludf.DUMMYFUNCTION("""COMPUTED_VALUE"""),"Jacquilyn Okujo")</f>
        <v>Jacquilyn Okujo</v>
      </c>
      <c r="C259" s="1" t="str">
        <f>IFERROR(__xludf.DUMMYFUNCTION("""COMPUTED_VALUE"""),"Jacquilyn")</f>
        <v>Jacquilyn</v>
      </c>
      <c r="D259" s="1" t="str">
        <f>IFERROR(__xludf.DUMMYFUNCTION("""COMPUTED_VALUE"""),"Okujo")</f>
        <v>Okujo</v>
      </c>
      <c r="E259" s="1" t="str">
        <f>IFERROR(__xludf.DUMMYFUNCTION("""COMPUTED_VALUE"""),"walang kwenta")</f>
        <v>walang kwenta</v>
      </c>
      <c r="F259" s="1"/>
      <c r="G259" s="1" t="str">
        <f>IFERROR(__xludf.DUMMYFUNCTION("""COMPUTED_VALUE"""),"3 mos")</f>
        <v>3 mos</v>
      </c>
      <c r="H259" s="1" t="str">
        <f>IFERROR(__xludf.DUMMYFUNCTION("""COMPUTED_VALUE"""),"comment")</f>
        <v>comment</v>
      </c>
      <c r="I259" s="2" t="str">
        <f>IFERROR(__xludf.DUMMYFUNCTION("""COMPUTED_VALUE"""),"https://www.facebook.com/rapplerdotcom/photos/a.317154781638645/5598220220198715/")</f>
        <v>https://www.facebook.com/rapplerdotcom/photos/a.317154781638645/5598220220198715/</v>
      </c>
      <c r="J259" s="1" t="str">
        <f>IFERROR(__xludf.DUMMYFUNCTION("""COMPUTED_VALUE"""),"2022-07-04T11:09:50.067Z")</f>
        <v>2022-07-04T11:09:50.067Z</v>
      </c>
      <c r="K259" s="1"/>
    </row>
    <row r="260">
      <c r="A260" s="2" t="str">
        <f>IFERROR(__xludf.DUMMYFUNCTION("""COMPUTED_VALUE"""),"https://www.facebook.com/ryan.beltran.73")</f>
        <v>https://www.facebook.com/ryan.beltran.73</v>
      </c>
      <c r="B260" s="1" t="str">
        <f>IFERROR(__xludf.DUMMYFUNCTION("""COMPUTED_VALUE"""),"Ryan Quizon Beltran")</f>
        <v>Ryan Quizon Beltran</v>
      </c>
      <c r="C260" s="1" t="str">
        <f>IFERROR(__xludf.DUMMYFUNCTION("""COMPUTED_VALUE"""),"Ryan")</f>
        <v>Ryan</v>
      </c>
      <c r="D260" s="1" t="str">
        <f>IFERROR(__xludf.DUMMYFUNCTION("""COMPUTED_VALUE"""),"Quizon Beltran")</f>
        <v>Quizon Beltran</v>
      </c>
      <c r="E260" s="1" t="str">
        <f>IFERROR(__xludf.DUMMYFUNCTION("""COMPUTED_VALUE"""),"Pareho mga lutang")</f>
        <v>Pareho mga lutang</v>
      </c>
      <c r="F260" s="1">
        <f>IFERROR(__xludf.DUMMYFUNCTION("""COMPUTED_VALUE"""),10.0)</f>
        <v>10</v>
      </c>
      <c r="G260" s="1" t="str">
        <f>IFERROR(__xludf.DUMMYFUNCTION("""COMPUTED_VALUE"""),"3 mos")</f>
        <v>3 mos</v>
      </c>
      <c r="H260" s="1" t="str">
        <f>IFERROR(__xludf.DUMMYFUNCTION("""COMPUTED_VALUE"""),"comment")</f>
        <v>comment</v>
      </c>
      <c r="I260" s="2" t="str">
        <f>IFERROR(__xludf.DUMMYFUNCTION("""COMPUTED_VALUE"""),"https://www.facebook.com/rapplerdotcom/photos/a.317154781638645/5598220220198715/")</f>
        <v>https://www.facebook.com/rapplerdotcom/photos/a.317154781638645/5598220220198715/</v>
      </c>
      <c r="J260" s="1" t="str">
        <f>IFERROR(__xludf.DUMMYFUNCTION("""COMPUTED_VALUE"""),"2022-07-04T11:09:50.067Z")</f>
        <v>2022-07-04T11:09:50.067Z</v>
      </c>
      <c r="K260" s="1"/>
    </row>
    <row r="261">
      <c r="A261" s="2" t="str">
        <f>IFERROR(__xludf.DUMMYFUNCTION("""COMPUTED_VALUE"""),"https://www.facebook.com/abegail.bisabis")</f>
        <v>https://www.facebook.com/abegail.bisabis</v>
      </c>
      <c r="B261" s="1" t="str">
        <f>IFERROR(__xludf.DUMMYFUNCTION("""COMPUTED_VALUE"""),"Abegail Bisabis")</f>
        <v>Abegail Bisabis</v>
      </c>
      <c r="C261" s="1" t="str">
        <f>IFERROR(__xludf.DUMMYFUNCTION("""COMPUTED_VALUE"""),"Abegail")</f>
        <v>Abegail</v>
      </c>
      <c r="D261" s="1" t="str">
        <f>IFERROR(__xludf.DUMMYFUNCTION("""COMPUTED_VALUE"""),"Bisabis")</f>
        <v>Bisabis</v>
      </c>
      <c r="E261" s="1" t="str">
        <f>IFERROR(__xludf.DUMMYFUNCTION("""COMPUTED_VALUE"""),"Ryan Quizon Beltran Hiyang-hiya 'yong achievements nila sa beke mo.")</f>
        <v>Ryan Quizon Beltran Hiyang-hiya 'yong achievements nila sa beke mo.</v>
      </c>
      <c r="F261" s="1">
        <f>IFERROR(__xludf.DUMMYFUNCTION("""COMPUTED_VALUE"""),1.0)</f>
        <v>1</v>
      </c>
      <c r="G261" s="1" t="str">
        <f>IFERROR(__xludf.DUMMYFUNCTION("""COMPUTED_VALUE"""),"3 mos")</f>
        <v>3 mos</v>
      </c>
      <c r="H261" s="1" t="str">
        <f>IFERROR(__xludf.DUMMYFUNCTION("""COMPUTED_VALUE"""),"reply")</f>
        <v>reply</v>
      </c>
      <c r="I261" s="2" t="str">
        <f>IFERROR(__xludf.DUMMYFUNCTION("""COMPUTED_VALUE"""),"https://www.facebook.com/rapplerdotcom/photos/a.317154781638645/5598220220198715/")</f>
        <v>https://www.facebook.com/rapplerdotcom/photos/a.317154781638645/5598220220198715/</v>
      </c>
      <c r="J261" s="1" t="str">
        <f>IFERROR(__xludf.DUMMYFUNCTION("""COMPUTED_VALUE"""),"2022-07-04T11:09:50.067Z")</f>
        <v>2022-07-04T11:09:50.067Z</v>
      </c>
      <c r="K261" s="1"/>
    </row>
    <row r="262">
      <c r="A262" s="2" t="str">
        <f>IFERROR(__xludf.DUMMYFUNCTION("""COMPUTED_VALUE"""),"https://www.facebook.com/profile.php?id=100078117845423")</f>
        <v>https://www.facebook.com/profile.php?id=100078117845423</v>
      </c>
      <c r="B262" s="1" t="str">
        <f>IFERROR(__xludf.DUMMYFUNCTION("""COMPUTED_VALUE"""),"Xifle Felix")</f>
        <v>Xifle Felix</v>
      </c>
      <c r="C262" s="1" t="str">
        <f>IFERROR(__xludf.DUMMYFUNCTION("""COMPUTED_VALUE"""),"Xifle")</f>
        <v>Xifle</v>
      </c>
      <c r="D262" s="1" t="str">
        <f>IFERROR(__xludf.DUMMYFUNCTION("""COMPUTED_VALUE"""),"Felix")</f>
        <v>Felix</v>
      </c>
      <c r="E262" s="1" t="str">
        <f>IFERROR(__xludf.DUMMYFUNCTION("""COMPUTED_VALUE"""),"Ryan Quizon Beltran ikaw nman parang di ka tao eh.. kulang ka lang kc sa matinong pag iisip kaya kung makapagsalita ka daig mo pa yung sira ulo")</f>
        <v>Ryan Quizon Beltran ikaw nman parang di ka tao eh.. kulang ka lang kc sa matinong pag iisip kaya kung makapagsalita ka daig mo pa yung sira ulo</v>
      </c>
      <c r="F262" s="1"/>
      <c r="G262" s="1" t="str">
        <f>IFERROR(__xludf.DUMMYFUNCTION("""COMPUTED_VALUE"""),"3 mos")</f>
        <v>3 mos</v>
      </c>
      <c r="H262" s="1" t="str">
        <f>IFERROR(__xludf.DUMMYFUNCTION("""COMPUTED_VALUE"""),"reply")</f>
        <v>reply</v>
      </c>
      <c r="I262" s="2" t="str">
        <f>IFERROR(__xludf.DUMMYFUNCTION("""COMPUTED_VALUE"""),"https://www.facebook.com/rapplerdotcom/photos/a.317154781638645/5598220220198715/")</f>
        <v>https://www.facebook.com/rapplerdotcom/photos/a.317154781638645/5598220220198715/</v>
      </c>
      <c r="J262" s="1" t="str">
        <f>IFERROR(__xludf.DUMMYFUNCTION("""COMPUTED_VALUE"""),"2022-07-04T11:09:50.067Z")</f>
        <v>2022-07-04T11:09:50.067Z</v>
      </c>
      <c r="K262" s="1"/>
    </row>
    <row r="263">
      <c r="A263" s="2" t="str">
        <f>IFERROR(__xludf.DUMMYFUNCTION("""COMPUTED_VALUE"""),"https://www.facebook.com/ryan.beltran.73")</f>
        <v>https://www.facebook.com/ryan.beltran.73</v>
      </c>
      <c r="B263" s="1" t="str">
        <f>IFERROR(__xludf.DUMMYFUNCTION("""COMPUTED_VALUE"""),"Ryan Quizon Beltran")</f>
        <v>Ryan Quizon Beltran</v>
      </c>
      <c r="C263" s="1" t="str">
        <f>IFERROR(__xludf.DUMMYFUNCTION("""COMPUTED_VALUE"""),"Ryan")</f>
        <v>Ryan</v>
      </c>
      <c r="D263" s="1" t="str">
        <f>IFERROR(__xludf.DUMMYFUNCTION("""COMPUTED_VALUE"""),"Quizon Beltran")</f>
        <v>Quizon Beltran</v>
      </c>
      <c r="E263" s="1" t="str">
        <f>IFERROR(__xludf.DUMMYFUNCTION("""COMPUTED_VALUE"""),"Abegail Bisabis achievements sa ka bobohan.")</f>
        <v>Abegail Bisabis achievements sa ka bobohan.</v>
      </c>
      <c r="F263" s="1"/>
      <c r="G263" s="1" t="str">
        <f>IFERROR(__xludf.DUMMYFUNCTION("""COMPUTED_VALUE"""),"3 mos")</f>
        <v>3 mos</v>
      </c>
      <c r="H263" s="1" t="str">
        <f>IFERROR(__xludf.DUMMYFUNCTION("""COMPUTED_VALUE"""),"reply")</f>
        <v>reply</v>
      </c>
      <c r="I263" s="2" t="str">
        <f>IFERROR(__xludf.DUMMYFUNCTION("""COMPUTED_VALUE"""),"https://www.facebook.com/rapplerdotcom/photos/a.317154781638645/5598220220198715/")</f>
        <v>https://www.facebook.com/rapplerdotcom/photos/a.317154781638645/5598220220198715/</v>
      </c>
      <c r="J263" s="1" t="str">
        <f>IFERROR(__xludf.DUMMYFUNCTION("""COMPUTED_VALUE"""),"2022-07-04T11:09:50.067Z")</f>
        <v>2022-07-04T11:09:50.067Z</v>
      </c>
      <c r="K263" s="1"/>
    </row>
    <row r="264">
      <c r="A264" s="2" t="str">
        <f>IFERROR(__xludf.DUMMYFUNCTION("""COMPUTED_VALUE"""),"https://www.facebook.com/thomas.french.52")</f>
        <v>https://www.facebook.com/thomas.french.52</v>
      </c>
      <c r="B264" s="1" t="str">
        <f>IFERROR(__xludf.DUMMYFUNCTION("""COMPUTED_VALUE"""),"Toto Sandigan")</f>
        <v>Toto Sandigan</v>
      </c>
      <c r="C264" s="1" t="str">
        <f>IFERROR(__xludf.DUMMYFUNCTION("""COMPUTED_VALUE"""),"Toto")</f>
        <v>Toto</v>
      </c>
      <c r="D264" s="1" t="str">
        <f>IFERROR(__xludf.DUMMYFUNCTION("""COMPUTED_VALUE"""),"Sandigan")</f>
        <v>Sandigan</v>
      </c>
      <c r="E264" s="1" t="str">
        <f>IFERROR(__xludf.DUMMYFUNCTION("""COMPUTED_VALUE"""),"Ryan Quizon Beltran gling pre,, genius ka ba,,, bka NCEE di mo maipasa 😂😂😂magdiet ka muna kaya,,, mahirap ang utak sisig")</f>
        <v>Ryan Quizon Beltran gling pre,, genius ka ba,,, bka NCEE di mo maipasa 😂😂😂magdiet ka muna kaya,,, mahirap ang utak sisig</v>
      </c>
      <c r="F264" s="1"/>
      <c r="G264" s="1" t="str">
        <f>IFERROR(__xludf.DUMMYFUNCTION("""COMPUTED_VALUE"""),"3 mos")</f>
        <v>3 mos</v>
      </c>
      <c r="H264" s="1" t="str">
        <f>IFERROR(__xludf.DUMMYFUNCTION("""COMPUTED_VALUE"""),"reply")</f>
        <v>reply</v>
      </c>
      <c r="I264" s="2" t="str">
        <f>IFERROR(__xludf.DUMMYFUNCTION("""COMPUTED_VALUE"""),"https://www.facebook.com/rapplerdotcom/photos/a.317154781638645/5598220220198715/")</f>
        <v>https://www.facebook.com/rapplerdotcom/photos/a.317154781638645/5598220220198715/</v>
      </c>
      <c r="J264" s="1" t="str">
        <f>IFERROR(__xludf.DUMMYFUNCTION("""COMPUTED_VALUE"""),"2022-07-04T11:09:50.067Z")</f>
        <v>2022-07-04T11:09:50.067Z</v>
      </c>
      <c r="K264" s="1"/>
    </row>
    <row r="265">
      <c r="A265" s="2" t="str">
        <f>IFERROR(__xludf.DUMMYFUNCTION("""COMPUTED_VALUE"""),"https://www.facebook.com/ryan.beltran.73")</f>
        <v>https://www.facebook.com/ryan.beltran.73</v>
      </c>
      <c r="B265" s="1" t="str">
        <f>IFERROR(__xludf.DUMMYFUNCTION("""COMPUTED_VALUE"""),"Ryan Quizon Beltran")</f>
        <v>Ryan Quizon Beltran</v>
      </c>
      <c r="C265" s="1" t="str">
        <f>IFERROR(__xludf.DUMMYFUNCTION("""COMPUTED_VALUE"""),"Ryan")</f>
        <v>Ryan</v>
      </c>
      <c r="D265" s="1" t="str">
        <f>IFERROR(__xludf.DUMMYFUNCTION("""COMPUTED_VALUE"""),"Quizon Beltran")</f>
        <v>Quizon Beltran</v>
      </c>
      <c r="E265" s="1" t="str">
        <f>IFERROR(__xludf.DUMMYFUNCTION("""COMPUTED_VALUE"""),"Toto Sandigan bobong dummy account")</f>
        <v>Toto Sandigan bobong dummy account</v>
      </c>
      <c r="F265" s="1"/>
      <c r="G265" s="1" t="str">
        <f>IFERROR(__xludf.DUMMYFUNCTION("""COMPUTED_VALUE"""),"3 mos")</f>
        <v>3 mos</v>
      </c>
      <c r="H265" s="1" t="str">
        <f>IFERROR(__xludf.DUMMYFUNCTION("""COMPUTED_VALUE"""),"reply")</f>
        <v>reply</v>
      </c>
      <c r="I265" s="2" t="str">
        <f>IFERROR(__xludf.DUMMYFUNCTION("""COMPUTED_VALUE"""),"https://www.facebook.com/rapplerdotcom/photos/a.317154781638645/5598220220198715/")</f>
        <v>https://www.facebook.com/rapplerdotcom/photos/a.317154781638645/5598220220198715/</v>
      </c>
      <c r="J265" s="1" t="str">
        <f>IFERROR(__xludf.DUMMYFUNCTION("""COMPUTED_VALUE"""),"2022-07-04T11:09:50.067Z")</f>
        <v>2022-07-04T11:09:50.067Z</v>
      </c>
      <c r="K265" s="1"/>
    </row>
    <row r="266">
      <c r="A266" s="2" t="str">
        <f>IFERROR(__xludf.DUMMYFUNCTION("""COMPUTED_VALUE"""),"https://www.facebook.com/thomas.french.52")</f>
        <v>https://www.facebook.com/thomas.french.52</v>
      </c>
      <c r="B266" s="1" t="str">
        <f>IFERROR(__xludf.DUMMYFUNCTION("""COMPUTED_VALUE"""),"Toto Sandigan")</f>
        <v>Toto Sandigan</v>
      </c>
      <c r="C266" s="1" t="str">
        <f>IFERROR(__xludf.DUMMYFUNCTION("""COMPUTED_VALUE"""),"Toto")</f>
        <v>Toto</v>
      </c>
      <c r="D266" s="1" t="str">
        <f>IFERROR(__xludf.DUMMYFUNCTION("""COMPUTED_VALUE"""),"Sandigan")</f>
        <v>Sandigan</v>
      </c>
      <c r="E266" s="1" t="str">
        <f>IFERROR(__xludf.DUMMYFUNCTION("""COMPUTED_VALUE"""),"Ryan Quizon Beltran 😂😂😂matalinong utak sisig ,,,pkidampot nang utak mo dre,,, pkibalik sa bombonan,,,,😂😂😂")</f>
        <v>Ryan Quizon Beltran 😂😂😂matalinong utak sisig ,,,pkidampot nang utak mo dre,,, pkibalik sa bombonan,,,,😂😂😂</v>
      </c>
      <c r="F266" s="1"/>
      <c r="G266" s="1" t="str">
        <f>IFERROR(__xludf.DUMMYFUNCTION("""COMPUTED_VALUE"""),"3 mos")</f>
        <v>3 mos</v>
      </c>
      <c r="H266" s="1" t="str">
        <f>IFERROR(__xludf.DUMMYFUNCTION("""COMPUTED_VALUE"""),"reply")</f>
        <v>reply</v>
      </c>
      <c r="I266" s="2" t="str">
        <f>IFERROR(__xludf.DUMMYFUNCTION("""COMPUTED_VALUE"""),"https://www.facebook.com/rapplerdotcom/photos/a.317154781638645/5598220220198715/")</f>
        <v>https://www.facebook.com/rapplerdotcom/photos/a.317154781638645/5598220220198715/</v>
      </c>
      <c r="J266" s="1" t="str">
        <f>IFERROR(__xludf.DUMMYFUNCTION("""COMPUTED_VALUE"""),"2022-07-04T11:09:50.067Z")</f>
        <v>2022-07-04T11:09:50.067Z</v>
      </c>
      <c r="K266" s="1"/>
    </row>
    <row r="267">
      <c r="A267" s="2" t="str">
        <f>IFERROR(__xludf.DUMMYFUNCTION("""COMPUTED_VALUE"""),"https://www.facebook.com/pacita.comprado.3")</f>
        <v>https://www.facebook.com/pacita.comprado.3</v>
      </c>
      <c r="B267" s="1" t="str">
        <f>IFERROR(__xludf.DUMMYFUNCTION("""COMPUTED_VALUE"""),"Pacita Comprado")</f>
        <v>Pacita Comprado</v>
      </c>
      <c r="C267" s="1" t="str">
        <f>IFERROR(__xludf.DUMMYFUNCTION("""COMPUTED_VALUE"""),"Pacita")</f>
        <v>Pacita</v>
      </c>
      <c r="D267" s="1" t="str">
        <f>IFERROR(__xludf.DUMMYFUNCTION("""COMPUTED_VALUE"""),"Comprado")</f>
        <v>Comprado</v>
      </c>
      <c r="E267" s="1" t="str">
        <f>IFERROR(__xludf.DUMMYFUNCTION("""COMPUTED_VALUE"""),"Dasal na sana manalo c VP")</f>
        <v>Dasal na sana manalo c VP</v>
      </c>
      <c r="F267" s="1">
        <f>IFERROR(__xludf.DUMMYFUNCTION("""COMPUTED_VALUE"""),10.0)</f>
        <v>10</v>
      </c>
      <c r="G267" s="1" t="str">
        <f>IFERROR(__xludf.DUMMYFUNCTION("""COMPUTED_VALUE"""),"3 mos")</f>
        <v>3 mos</v>
      </c>
      <c r="H267" s="1" t="str">
        <f>IFERROR(__xludf.DUMMYFUNCTION("""COMPUTED_VALUE"""),"comment")</f>
        <v>comment</v>
      </c>
      <c r="I267" s="2" t="str">
        <f>IFERROR(__xludf.DUMMYFUNCTION("""COMPUTED_VALUE"""),"https://www.facebook.com/rapplerdotcom/photos/a.317154781638645/5598220220198715/")</f>
        <v>https://www.facebook.com/rapplerdotcom/photos/a.317154781638645/5598220220198715/</v>
      </c>
      <c r="J267" s="1" t="str">
        <f>IFERROR(__xludf.DUMMYFUNCTION("""COMPUTED_VALUE"""),"2022-07-04T11:09:50.067Z")</f>
        <v>2022-07-04T11:09:50.067Z</v>
      </c>
      <c r="K267" s="1"/>
    </row>
    <row r="268">
      <c r="A268" s="2" t="str">
        <f>IFERROR(__xludf.DUMMYFUNCTION("""COMPUTED_VALUE"""),"https://www.facebook.com/antonio.amparado.52")</f>
        <v>https://www.facebook.com/antonio.amparado.52</v>
      </c>
      <c r="B268" s="1" t="str">
        <f>IFERROR(__xludf.DUMMYFUNCTION("""COMPUTED_VALUE"""),"Anton Amparado")</f>
        <v>Anton Amparado</v>
      </c>
      <c r="C268" s="1" t="str">
        <f>IFERROR(__xludf.DUMMYFUNCTION("""COMPUTED_VALUE"""),"Anton")</f>
        <v>Anton</v>
      </c>
      <c r="D268" s="1" t="str">
        <f>IFERROR(__xludf.DUMMYFUNCTION("""COMPUTED_VALUE"""),"Amparado")</f>
        <v>Amparado</v>
      </c>
      <c r="E268" s="1" t="str">
        <f>IFERROR(__xludf.DUMMYFUNCTION("""COMPUTED_VALUE"""),"Matino at Mahusay")</f>
        <v>Matino at Mahusay</v>
      </c>
      <c r="F268" s="1">
        <f>IFERROR(__xludf.DUMMYFUNCTION("""COMPUTED_VALUE"""),1.0)</f>
        <v>1</v>
      </c>
      <c r="G268" s="1" t="str">
        <f>IFERROR(__xludf.DUMMYFUNCTION("""COMPUTED_VALUE"""),"3 mos")</f>
        <v>3 mos</v>
      </c>
      <c r="H268" s="1" t="str">
        <f>IFERROR(__xludf.DUMMYFUNCTION("""COMPUTED_VALUE"""),"comment")</f>
        <v>comment</v>
      </c>
      <c r="I268" s="2" t="str">
        <f>IFERROR(__xludf.DUMMYFUNCTION("""COMPUTED_VALUE"""),"https://www.facebook.com/rapplerdotcom/photos/a.317154781638645/5598220220198715/")</f>
        <v>https://www.facebook.com/rapplerdotcom/photos/a.317154781638645/5598220220198715/</v>
      </c>
      <c r="J268" s="1" t="str">
        <f>IFERROR(__xludf.DUMMYFUNCTION("""COMPUTED_VALUE"""),"2022-07-04T11:09:50.067Z")</f>
        <v>2022-07-04T11:09:50.067Z</v>
      </c>
      <c r="K268" s="1"/>
    </row>
    <row r="269">
      <c r="A269" s="2" t="str">
        <f>IFERROR(__xludf.DUMMYFUNCTION("""COMPUTED_VALUE"""),"https://www.facebook.com/profile.php?id=100075736004218")</f>
        <v>https://www.facebook.com/profile.php?id=100075736004218</v>
      </c>
      <c r="B269" s="1" t="str">
        <f>IFERROR(__xludf.DUMMYFUNCTION("""COMPUTED_VALUE"""),"Evelyn Catalasan")</f>
        <v>Evelyn Catalasan</v>
      </c>
      <c r="C269" s="1" t="str">
        <f>IFERROR(__xludf.DUMMYFUNCTION("""COMPUTED_VALUE"""),"Evelyn")</f>
        <v>Evelyn</v>
      </c>
      <c r="D269" s="1" t="str">
        <f>IFERROR(__xludf.DUMMYFUNCTION("""COMPUTED_VALUE"""),"Catalasan")</f>
        <v>Catalasan</v>
      </c>
      <c r="E269" s="1" t="str">
        <f>IFERROR(__xludf.DUMMYFUNCTION("""COMPUTED_VALUE"""),"Ano na nman kayang pinaplano nilang kbabalaghan!!")</f>
        <v>Ano na nman kayang pinaplano nilang kbabalaghan!!</v>
      </c>
      <c r="F269" s="1">
        <f>IFERROR(__xludf.DUMMYFUNCTION("""COMPUTED_VALUE"""),1.0)</f>
        <v>1</v>
      </c>
      <c r="G269" s="1" t="str">
        <f>IFERROR(__xludf.DUMMYFUNCTION("""COMPUTED_VALUE"""),"3 mos")</f>
        <v>3 mos</v>
      </c>
      <c r="H269" s="1" t="str">
        <f>IFERROR(__xludf.DUMMYFUNCTION("""COMPUTED_VALUE"""),"comment")</f>
        <v>comment</v>
      </c>
      <c r="I269" s="2" t="str">
        <f>IFERROR(__xludf.DUMMYFUNCTION("""COMPUTED_VALUE"""),"https://www.facebook.com/rapplerdotcom/photos/a.317154781638645/5598220220198715/")</f>
        <v>https://www.facebook.com/rapplerdotcom/photos/a.317154781638645/5598220220198715/</v>
      </c>
      <c r="J269" s="1" t="str">
        <f>IFERROR(__xludf.DUMMYFUNCTION("""COMPUTED_VALUE"""),"2022-07-04T11:09:50.067Z")</f>
        <v>2022-07-04T11:09:50.067Z</v>
      </c>
      <c r="K269" s="1"/>
    </row>
    <row r="270">
      <c r="A270" s="2" t="str">
        <f>IFERROR(__xludf.DUMMYFUNCTION("""COMPUTED_VALUE"""),"https://www.facebook.com/PresLeni")</f>
        <v>https://www.facebook.com/PresLeni</v>
      </c>
      <c r="B270" s="1" t="str">
        <f>IFERROR(__xludf.DUMMYFUNCTION("""COMPUTED_VALUE"""),"Team Leni Robredo - Cebu")</f>
        <v>Team Leni Robredo - Cebu</v>
      </c>
      <c r="C270" s="1" t="str">
        <f>IFERROR(__xludf.DUMMYFUNCTION("""COMPUTED_VALUE"""),"Team")</f>
        <v>Team</v>
      </c>
      <c r="D270" s="1" t="str">
        <f>IFERROR(__xludf.DUMMYFUNCTION("""COMPUTED_VALUE"""),"Leni Robredo - Cebu")</f>
        <v>Leni Robredo - Cebu</v>
      </c>
      <c r="E270" s="1" t="str">
        <f>IFERROR(__xludf.DUMMYFUNCTION("""COMPUTED_VALUE"""),"Kagalang galang ang 17th president of the Philippine Republic 💕")</f>
        <v>Kagalang galang ang 17th president of the Philippine Republic 💕</v>
      </c>
      <c r="F270" s="1">
        <f>IFERROR(__xludf.DUMMYFUNCTION("""COMPUTED_VALUE"""),1.0)</f>
        <v>1</v>
      </c>
      <c r="G270" s="1" t="str">
        <f>IFERROR(__xludf.DUMMYFUNCTION("""COMPUTED_VALUE"""),"3 mos")</f>
        <v>3 mos</v>
      </c>
      <c r="H270" s="1" t="str">
        <f>IFERROR(__xludf.DUMMYFUNCTION("""COMPUTED_VALUE"""),"comment")</f>
        <v>comment</v>
      </c>
      <c r="I270" s="2" t="str">
        <f>IFERROR(__xludf.DUMMYFUNCTION("""COMPUTED_VALUE"""),"https://www.facebook.com/rapplerdotcom/photos/a.317154781638645/5598220220198715/")</f>
        <v>https://www.facebook.com/rapplerdotcom/photos/a.317154781638645/5598220220198715/</v>
      </c>
      <c r="J270" s="1" t="str">
        <f>IFERROR(__xludf.DUMMYFUNCTION("""COMPUTED_VALUE"""),"2022-07-04T11:09:50.067Z")</f>
        <v>2022-07-04T11:09:50.067Z</v>
      </c>
      <c r="K270" s="1"/>
    </row>
    <row r="271">
      <c r="A271" s="2" t="str">
        <f>IFERROR(__xludf.DUMMYFUNCTION("""COMPUTED_VALUE"""),"https://www.facebook.com/aldoranada2012")</f>
        <v>https://www.facebook.com/aldoranada2012</v>
      </c>
      <c r="B271" s="1" t="str">
        <f>IFERROR(__xludf.DUMMYFUNCTION("""COMPUTED_VALUE"""),"Aldo Adanar")</f>
        <v>Aldo Adanar</v>
      </c>
      <c r="C271" s="1" t="str">
        <f>IFERROR(__xludf.DUMMYFUNCTION("""COMPUTED_VALUE"""),"Aldo")</f>
        <v>Aldo</v>
      </c>
      <c r="D271" s="1" t="str">
        <f>IFERROR(__xludf.DUMMYFUNCTION("""COMPUTED_VALUE"""),"Adanar")</f>
        <v>Adanar</v>
      </c>
      <c r="E271" s="1" t="str">
        <f>IFERROR(__xludf.DUMMYFUNCTION("""COMPUTED_VALUE"""),"2 woman bato bato pick")</f>
        <v>2 woman bato bato pick</v>
      </c>
      <c r="F271" s="1">
        <f>IFERROR(__xludf.DUMMYFUNCTION("""COMPUTED_VALUE"""),1.0)</f>
        <v>1</v>
      </c>
      <c r="G271" s="1" t="str">
        <f>IFERROR(__xludf.DUMMYFUNCTION("""COMPUTED_VALUE"""),"3 mos")</f>
        <v>3 mos</v>
      </c>
      <c r="H271" s="1" t="str">
        <f>IFERROR(__xludf.DUMMYFUNCTION("""COMPUTED_VALUE"""),"comment")</f>
        <v>comment</v>
      </c>
      <c r="I271" s="2" t="str">
        <f>IFERROR(__xludf.DUMMYFUNCTION("""COMPUTED_VALUE"""),"https://www.facebook.com/rapplerdotcom/photos/a.317154781638645/5598220220198715/")</f>
        <v>https://www.facebook.com/rapplerdotcom/photos/a.317154781638645/5598220220198715/</v>
      </c>
      <c r="J271" s="1" t="str">
        <f>IFERROR(__xludf.DUMMYFUNCTION("""COMPUTED_VALUE"""),"2022-07-04T11:09:50.067Z")</f>
        <v>2022-07-04T11:09:50.067Z</v>
      </c>
      <c r="K271" s="1"/>
    </row>
    <row r="272">
      <c r="A272" s="2" t="str">
        <f>IFERROR(__xludf.DUMMYFUNCTION("""COMPUTED_VALUE"""),"https://www.facebook.com/pipip.tan")</f>
        <v>https://www.facebook.com/pipip.tan</v>
      </c>
      <c r="B272" s="1" t="str">
        <f>IFERROR(__xludf.DUMMYFUNCTION("""COMPUTED_VALUE"""),"Tan M Masheila")</f>
        <v>Tan M Masheila</v>
      </c>
      <c r="C272" s="1" t="str">
        <f>IFERROR(__xludf.DUMMYFUNCTION("""COMPUTED_VALUE"""),"Tan")</f>
        <v>Tan</v>
      </c>
      <c r="D272" s="1" t="str">
        <f>IFERROR(__xludf.DUMMYFUNCTION("""COMPUTED_VALUE"""),"M Masheila")</f>
        <v>M Masheila</v>
      </c>
      <c r="E272" s="1" t="str">
        <f>IFERROR(__xludf.DUMMYFUNCTION("""COMPUTED_VALUE"""),"May pinaplano na nmn cguro mga yn. Palpak ung plan abcd, plan E nmn, bk sakali effective. Haha")</f>
        <v>May pinaplano na nmn cguro mga yn. Palpak ung plan abcd, plan E nmn, bk sakali effective. Haha</v>
      </c>
      <c r="F272" s="1">
        <f>IFERROR(__xludf.DUMMYFUNCTION("""COMPUTED_VALUE"""),6.0)</f>
        <v>6</v>
      </c>
      <c r="G272" s="1" t="str">
        <f>IFERROR(__xludf.DUMMYFUNCTION("""COMPUTED_VALUE"""),"3 mos")</f>
        <v>3 mos</v>
      </c>
      <c r="H272" s="1" t="str">
        <f>IFERROR(__xludf.DUMMYFUNCTION("""COMPUTED_VALUE"""),"comment")</f>
        <v>comment</v>
      </c>
      <c r="I272" s="2" t="str">
        <f>IFERROR(__xludf.DUMMYFUNCTION("""COMPUTED_VALUE"""),"https://www.facebook.com/rapplerdotcom/photos/a.317154781638645/5598220220198715/")</f>
        <v>https://www.facebook.com/rapplerdotcom/photos/a.317154781638645/5598220220198715/</v>
      </c>
      <c r="J272" s="1" t="str">
        <f>IFERROR(__xludf.DUMMYFUNCTION("""COMPUTED_VALUE"""),"2022-07-04T11:09:50.067Z")</f>
        <v>2022-07-04T11:09:50.067Z</v>
      </c>
      <c r="K272" s="1"/>
    </row>
    <row r="273">
      <c r="A273" s="2" t="str">
        <f>IFERROR(__xludf.DUMMYFUNCTION("""COMPUTED_VALUE"""),"https://www.facebook.com/paulpatrick.sapaden")</f>
        <v>https://www.facebook.com/paulpatrick.sapaden</v>
      </c>
      <c r="B273" s="1" t="str">
        <f>IFERROR(__xludf.DUMMYFUNCTION("""COMPUTED_VALUE"""),"Paul Patrick Sapaden")</f>
        <v>Paul Patrick Sapaden</v>
      </c>
      <c r="C273" s="1" t="str">
        <f>IFERROR(__xludf.DUMMYFUNCTION("""COMPUTED_VALUE"""),"Paul")</f>
        <v>Paul</v>
      </c>
      <c r="D273" s="1" t="str">
        <f>IFERROR(__xludf.DUMMYFUNCTION("""COMPUTED_VALUE"""),"Patrick Sapaden")</f>
        <v>Patrick Sapaden</v>
      </c>
      <c r="E273" s="1" t="str">
        <f>IFERROR(__xludf.DUMMYFUNCTION("""COMPUTED_VALUE"""),"Gawa na lng kayo ng artipisyal na Pilipinas.heh")</f>
        <v>Gawa na lng kayo ng artipisyal na Pilipinas.heh</v>
      </c>
      <c r="F273" s="1"/>
      <c r="G273" s="1" t="str">
        <f>IFERROR(__xludf.DUMMYFUNCTION("""COMPUTED_VALUE"""),"3 mos")</f>
        <v>3 mos</v>
      </c>
      <c r="H273" s="1" t="str">
        <f>IFERROR(__xludf.DUMMYFUNCTION("""COMPUTED_VALUE"""),"comment")</f>
        <v>comment</v>
      </c>
      <c r="I273" s="2" t="str">
        <f>IFERROR(__xludf.DUMMYFUNCTION("""COMPUTED_VALUE"""),"https://www.facebook.com/rapplerdotcom/photos/a.317154781638645/5598220220198715/")</f>
        <v>https://www.facebook.com/rapplerdotcom/photos/a.317154781638645/5598220220198715/</v>
      </c>
      <c r="J273" s="1" t="str">
        <f>IFERROR(__xludf.DUMMYFUNCTION("""COMPUTED_VALUE"""),"2022-07-04T11:09:50.067Z")</f>
        <v>2022-07-04T11:09:50.067Z</v>
      </c>
      <c r="K273" s="1"/>
    </row>
    <row r="274">
      <c r="A274" s="1"/>
      <c r="B274" s="1"/>
      <c r="C274" s="1"/>
      <c r="D274" s="1"/>
      <c r="E274" s="1"/>
      <c r="F274" s="1"/>
      <c r="G274" s="1"/>
      <c r="H274" s="1"/>
      <c r="I274" s="2" t="str">
        <f>IFERROR(__xludf.DUMMYFUNCTION("""COMPUTED_VALUE"""),"https://www.facebook.com/rapplerdotcom/posts/pfbid09g5z1dR1p1muQ7q8d5o5ZrTJHCJBBtaAmV4kfjMWLeh83aGMXmHFcW9md81azR4al")</f>
        <v>https://www.facebook.com/rapplerdotcom/posts/pfbid09g5z1dR1p1muQ7q8d5o5ZrTJHCJBBtaAmV4kfjMWLeh83aGMXmHFcW9md81azR4al</v>
      </c>
      <c r="J274" s="1" t="str">
        <f>IFERROR(__xludf.DUMMYFUNCTION("""COMPUTED_VALUE"""),"2022-07-04T11:10:20.335Z")</f>
        <v>2022-07-04T11:10:20.335Z</v>
      </c>
      <c r="K274" s="1" t="str">
        <f>IFERROR(__xludf.DUMMYFUNCTION("""COMPUTED_VALUE"""),"Couldn't load post")</f>
        <v>Couldn't load post</v>
      </c>
    </row>
    <row r="275">
      <c r="A275" s="2" t="str">
        <f>IFERROR(__xludf.DUMMYFUNCTION("""COMPUTED_VALUE"""),"https://www.facebook.com/profile.php?id=100009126387339")</f>
        <v>https://www.facebook.com/profile.php?id=100009126387339</v>
      </c>
      <c r="B275" s="1" t="str">
        <f>IFERROR(__xludf.DUMMYFUNCTION("""COMPUTED_VALUE"""),"Richard Glenn Araullo")</f>
        <v>Richard Glenn Araullo</v>
      </c>
      <c r="C275" s="1" t="str">
        <f>IFERROR(__xludf.DUMMYFUNCTION("""COMPUTED_VALUE"""),"Richard")</f>
        <v>Richard</v>
      </c>
      <c r="D275" s="1" t="str">
        <f>IFERROR(__xludf.DUMMYFUNCTION("""COMPUTED_VALUE"""),"Glenn Araullo")</f>
        <v>Glenn Araullo</v>
      </c>
      <c r="E275" s="1" t="str">
        <f>IFERROR(__xludf.DUMMYFUNCTION("""COMPUTED_VALUE"""),"Casting your vote is not about opinion, and if ever opinion can be part of voting, it should be the least to consider. Electing should be first and foremost about facts.")</f>
        <v>Casting your vote is not about opinion, and if ever opinion can be part of voting, it should be the least to consider. Electing should be first and foremost about facts.</v>
      </c>
      <c r="F275" s="1">
        <f>IFERROR(__xludf.DUMMYFUNCTION("""COMPUTED_VALUE"""),24.0)</f>
        <v>24</v>
      </c>
      <c r="G275" s="1" t="str">
        <f>IFERROR(__xludf.DUMMYFUNCTION("""COMPUTED_VALUE"""),"3 mos")</f>
        <v>3 mos</v>
      </c>
      <c r="H275" s="1" t="str">
        <f>IFERROR(__xludf.DUMMYFUNCTION("""COMPUTED_VALUE"""),"comment")</f>
        <v>comment</v>
      </c>
      <c r="I275" s="2" t="str">
        <f>IFERROR(__xludf.DUMMYFUNCTION("""COMPUTED_VALUE"""),"https://www.facebook.com/rapplerdotcom/photos/a.317154781638645/5597874143566656")</f>
        <v>https://www.facebook.com/rapplerdotcom/photos/a.317154781638645/5597874143566656</v>
      </c>
      <c r="J275" s="1" t="str">
        <f>IFERROR(__xludf.DUMMYFUNCTION("""COMPUTED_VALUE"""),"2022-07-04T11:11:14.003Z")</f>
        <v>2022-07-04T11:11:14.003Z</v>
      </c>
      <c r="K275" s="1"/>
    </row>
    <row r="276">
      <c r="A276" s="2" t="str">
        <f>IFERROR(__xludf.DUMMYFUNCTION("""COMPUTED_VALUE"""),"https://www.facebook.com/violeta.bodino")</f>
        <v>https://www.facebook.com/violeta.bodino</v>
      </c>
      <c r="B276" s="1" t="str">
        <f>IFERROR(__xludf.DUMMYFUNCTION("""COMPUTED_VALUE"""),"Violeta Bodino")</f>
        <v>Violeta Bodino</v>
      </c>
      <c r="C276" s="1" t="str">
        <f>IFERROR(__xludf.DUMMYFUNCTION("""COMPUTED_VALUE"""),"Violeta")</f>
        <v>Violeta</v>
      </c>
      <c r="D276" s="1" t="str">
        <f>IFERROR(__xludf.DUMMYFUNCTION("""COMPUTED_VALUE"""),"Bodino")</f>
        <v>Bodino</v>
      </c>
      <c r="E276" s="1" t="str">
        <f>IFERROR(__xludf.DUMMYFUNCTION("""COMPUTED_VALUE"""),"Richard Glenn Araullo and voting is about choosing the right candidates as PUBLIC Servant as this is our only chance to air our grievances to them.")</f>
        <v>Richard Glenn Araullo and voting is about choosing the right candidates as PUBLIC Servant as this is our only chance to air our grievances to them.</v>
      </c>
      <c r="F276" s="1">
        <f>IFERROR(__xludf.DUMMYFUNCTION("""COMPUTED_VALUE"""),5.0)</f>
        <v>5</v>
      </c>
      <c r="G276" s="1" t="str">
        <f>IFERROR(__xludf.DUMMYFUNCTION("""COMPUTED_VALUE"""),"3 mos")</f>
        <v>3 mos</v>
      </c>
      <c r="H276" s="1" t="str">
        <f>IFERROR(__xludf.DUMMYFUNCTION("""COMPUTED_VALUE"""),"reply")</f>
        <v>reply</v>
      </c>
      <c r="I276" s="2" t="str">
        <f>IFERROR(__xludf.DUMMYFUNCTION("""COMPUTED_VALUE"""),"https://www.facebook.com/rapplerdotcom/photos/a.317154781638645/5597874143566656")</f>
        <v>https://www.facebook.com/rapplerdotcom/photos/a.317154781638645/5597874143566656</v>
      </c>
      <c r="J276" s="1" t="str">
        <f>IFERROR(__xludf.DUMMYFUNCTION("""COMPUTED_VALUE"""),"2022-07-04T11:11:14.003Z")</f>
        <v>2022-07-04T11:11:14.003Z</v>
      </c>
      <c r="K276" s="1"/>
    </row>
    <row r="277">
      <c r="A277" s="2" t="str">
        <f>IFERROR(__xludf.DUMMYFUNCTION("""COMPUTED_VALUE"""),"https://www.facebook.com/ken.chiz.393")</f>
        <v>https://www.facebook.com/ken.chiz.393</v>
      </c>
      <c r="B277" s="1" t="str">
        <f>IFERROR(__xludf.DUMMYFUNCTION("""COMPUTED_VALUE"""),"Ken Chiz")</f>
        <v>Ken Chiz</v>
      </c>
      <c r="C277" s="1" t="str">
        <f>IFERROR(__xludf.DUMMYFUNCTION("""COMPUTED_VALUE"""),"Ken")</f>
        <v>Ken</v>
      </c>
      <c r="D277" s="1" t="str">
        <f>IFERROR(__xludf.DUMMYFUNCTION("""COMPUTED_VALUE"""),"Chiz")</f>
        <v>Chiz</v>
      </c>
      <c r="E277" s="1" t="str">
        <f>IFERROR(__xludf.DUMMYFUNCTION("""COMPUTED_VALUE"""),"Richard Glenn Araullo puro kayu voting...teka??ALAM NYO BA PAPANU NTRANSMIT AT NBIBILANG NG MAAYOS BOTO NYO??OR NTANONG NYO BA SA SARILI NYO KUNG ONCE PINASOK MO SA VCM ANG BOTO MO?MBIBILANG KAYA NG TIYAK AT SAFE??🤣😂oo alam nyo bobotohin nyo pero ang pr"&amp;"oceso pra bilangin boto nyo??alam nyo kaya??🤣🤣🤣")</f>
        <v>Richard Glenn Araullo puro kayu voting...teka??ALAM NYO BA PAPANU NTRANSMIT AT NBIBILANG NG MAAYOS BOTO NYO??OR NTANONG NYO BA SA SARILI NYO KUNG ONCE PINASOK MO SA VCM ANG BOTO MO?MBIBILANG KAYA NG TIYAK AT SAFE??🤣😂oo alam nyo bobotohin nyo pero ang proceso pra bilangin boto nyo??alam nyo kaya??🤣🤣🤣</v>
      </c>
      <c r="F277" s="1"/>
      <c r="G277" s="1" t="str">
        <f>IFERROR(__xludf.DUMMYFUNCTION("""COMPUTED_VALUE"""),"3 mos")</f>
        <v>3 mos</v>
      </c>
      <c r="H277" s="1" t="str">
        <f>IFERROR(__xludf.DUMMYFUNCTION("""COMPUTED_VALUE"""),"reply")</f>
        <v>reply</v>
      </c>
      <c r="I277" s="2" t="str">
        <f>IFERROR(__xludf.DUMMYFUNCTION("""COMPUTED_VALUE"""),"https://www.facebook.com/rapplerdotcom/photos/a.317154781638645/5597874143566656")</f>
        <v>https://www.facebook.com/rapplerdotcom/photos/a.317154781638645/5597874143566656</v>
      </c>
      <c r="J277" s="1" t="str">
        <f>IFERROR(__xludf.DUMMYFUNCTION("""COMPUTED_VALUE"""),"2022-07-04T11:11:14.003Z")</f>
        <v>2022-07-04T11:11:14.003Z</v>
      </c>
      <c r="K277" s="1"/>
    </row>
    <row r="278">
      <c r="A278" s="2" t="str">
        <f>IFERROR(__xludf.DUMMYFUNCTION("""COMPUTED_VALUE"""),"https://www.facebook.com/ness.lansang.1")</f>
        <v>https://www.facebook.com/ness.lansang.1</v>
      </c>
      <c r="B278" s="1" t="str">
        <f>IFERROR(__xludf.DUMMYFUNCTION("""COMPUTED_VALUE"""),"Ness Lansang")</f>
        <v>Ness Lansang</v>
      </c>
      <c r="C278" s="1" t="str">
        <f>IFERROR(__xludf.DUMMYFUNCTION("""COMPUTED_VALUE"""),"Ness")</f>
        <v>Ness</v>
      </c>
      <c r="D278" s="1" t="str">
        <f>IFERROR(__xludf.DUMMYFUNCTION("""COMPUTED_VALUE"""),"Lansang")</f>
        <v>Lansang</v>
      </c>
      <c r="E278" s="1" t="str">
        <f>IFERROR(__xludf.DUMMYFUNCTION("""COMPUTED_VALUE"""),"You have the right to your opinion. The only problem is...the whole country will suffer if your choice wins. #KayLeniKikoAngatBuhayLahat")</f>
        <v>You have the right to your opinion. The only problem is...the whole country will suffer if your choice wins. #KayLeniKikoAngatBuhayLahat</v>
      </c>
      <c r="F278" s="1">
        <f>IFERROR(__xludf.DUMMYFUNCTION("""COMPUTED_VALUE"""),17.0)</f>
        <v>17</v>
      </c>
      <c r="G278" s="1" t="str">
        <f>IFERROR(__xludf.DUMMYFUNCTION("""COMPUTED_VALUE"""),"3 mos")</f>
        <v>3 mos</v>
      </c>
      <c r="H278" s="1" t="str">
        <f>IFERROR(__xludf.DUMMYFUNCTION("""COMPUTED_VALUE"""),"comment")</f>
        <v>comment</v>
      </c>
      <c r="I278" s="2" t="str">
        <f>IFERROR(__xludf.DUMMYFUNCTION("""COMPUTED_VALUE"""),"https://www.facebook.com/rapplerdotcom/photos/a.317154781638645/5597874143566656")</f>
        <v>https://www.facebook.com/rapplerdotcom/photos/a.317154781638645/5597874143566656</v>
      </c>
      <c r="J278" s="1" t="str">
        <f>IFERROR(__xludf.DUMMYFUNCTION("""COMPUTED_VALUE"""),"2022-07-04T11:11:14.003Z")</f>
        <v>2022-07-04T11:11:14.003Z</v>
      </c>
      <c r="K278" s="1"/>
    </row>
    <row r="279">
      <c r="A279" s="2" t="str">
        <f>IFERROR(__xludf.DUMMYFUNCTION("""COMPUTED_VALUE"""),"https://www.facebook.com/jacqueline.reynado")</f>
        <v>https://www.facebook.com/jacqueline.reynado</v>
      </c>
      <c r="B279" s="1" t="str">
        <f>IFERROR(__xludf.DUMMYFUNCTION("""COMPUTED_VALUE"""),"Jac Que Line")</f>
        <v>Jac Que Line</v>
      </c>
      <c r="C279" s="1" t="str">
        <f>IFERROR(__xludf.DUMMYFUNCTION("""COMPUTED_VALUE"""),"Jac")</f>
        <v>Jac</v>
      </c>
      <c r="D279" s="1" t="str">
        <f>IFERROR(__xludf.DUMMYFUNCTION("""COMPUTED_VALUE"""),"Que Line")</f>
        <v>Que Line</v>
      </c>
      <c r="E279" s="1" t="str">
        <f>IFERROR(__xludf.DUMMYFUNCTION("""COMPUTED_VALUE"""),"Ness Lansang opo mgsusuffer ang filipino pg yang nanay mo ang nanalo ang laki ng gastos sa kampanya tyak babawi yn pg nakaupo na 😂😂")</f>
        <v>Ness Lansang opo mgsusuffer ang filipino pg yang nanay mo ang nanalo ang laki ng gastos sa kampanya tyak babawi yn pg nakaupo na 😂😂</v>
      </c>
      <c r="F279" s="1">
        <f>IFERROR(__xludf.DUMMYFUNCTION("""COMPUTED_VALUE"""),1.0)</f>
        <v>1</v>
      </c>
      <c r="G279" s="1" t="str">
        <f>IFERROR(__xludf.DUMMYFUNCTION("""COMPUTED_VALUE"""),"3 mos")</f>
        <v>3 mos</v>
      </c>
      <c r="H279" s="1" t="str">
        <f>IFERROR(__xludf.DUMMYFUNCTION("""COMPUTED_VALUE"""),"reply")</f>
        <v>reply</v>
      </c>
      <c r="I279" s="2" t="str">
        <f>IFERROR(__xludf.DUMMYFUNCTION("""COMPUTED_VALUE"""),"https://www.facebook.com/rapplerdotcom/photos/a.317154781638645/5597874143566656")</f>
        <v>https://www.facebook.com/rapplerdotcom/photos/a.317154781638645/5597874143566656</v>
      </c>
      <c r="J279" s="1" t="str">
        <f>IFERROR(__xludf.DUMMYFUNCTION("""COMPUTED_VALUE"""),"2022-07-04T11:11:14.003Z")</f>
        <v>2022-07-04T11:11:14.003Z</v>
      </c>
      <c r="K279" s="1"/>
    </row>
    <row r="280">
      <c r="A280" s="2" t="str">
        <f>IFERROR(__xludf.DUMMYFUNCTION("""COMPUTED_VALUE"""),"https://www.facebook.com/jace.susara")</f>
        <v>https://www.facebook.com/jace.susara</v>
      </c>
      <c r="B280" s="1" t="str">
        <f>IFERROR(__xludf.DUMMYFUNCTION("""COMPUTED_VALUE"""),"Jace Susara")</f>
        <v>Jace Susara</v>
      </c>
      <c r="C280" s="1" t="str">
        <f>IFERROR(__xludf.DUMMYFUNCTION("""COMPUTED_VALUE"""),"Jace")</f>
        <v>Jace</v>
      </c>
      <c r="D280" s="1" t="str">
        <f>IFERROR(__xludf.DUMMYFUNCTION("""COMPUTED_VALUE"""),"Susara")</f>
        <v>Susara</v>
      </c>
      <c r="E280" s="1" t="str">
        <f>IFERROR(__xludf.DUMMYFUNCTION("""COMPUTED_VALUE"""),"Eikcaj Etnadnarom Odanyer sure? May proof po ba kayo?")</f>
        <v>Eikcaj Etnadnarom Odanyer sure? May proof po ba kayo?</v>
      </c>
      <c r="F280" s="1"/>
      <c r="G280" s="1" t="str">
        <f>IFERROR(__xludf.DUMMYFUNCTION("""COMPUTED_VALUE"""),"3 mos")</f>
        <v>3 mos</v>
      </c>
      <c r="H280" s="1" t="str">
        <f>IFERROR(__xludf.DUMMYFUNCTION("""COMPUTED_VALUE"""),"reply")</f>
        <v>reply</v>
      </c>
      <c r="I280" s="2" t="str">
        <f>IFERROR(__xludf.DUMMYFUNCTION("""COMPUTED_VALUE"""),"https://www.facebook.com/rapplerdotcom/photos/a.317154781638645/5597874143566656")</f>
        <v>https://www.facebook.com/rapplerdotcom/photos/a.317154781638645/5597874143566656</v>
      </c>
      <c r="J280" s="1" t="str">
        <f>IFERROR(__xludf.DUMMYFUNCTION("""COMPUTED_VALUE"""),"2022-07-04T11:11:14.003Z")</f>
        <v>2022-07-04T11:11:14.003Z</v>
      </c>
      <c r="K280" s="1"/>
    </row>
    <row r="281">
      <c r="A281" s="2" t="str">
        <f>IFERROR(__xludf.DUMMYFUNCTION("""COMPUTED_VALUE"""),"https://www.facebook.com/jacqueline.reynado")</f>
        <v>https://www.facebook.com/jacqueline.reynado</v>
      </c>
      <c r="B281" s="1" t="str">
        <f>IFERROR(__xludf.DUMMYFUNCTION("""COMPUTED_VALUE"""),"Jac Que Line")</f>
        <v>Jac Que Line</v>
      </c>
      <c r="C281" s="1" t="str">
        <f>IFERROR(__xludf.DUMMYFUNCTION("""COMPUTED_VALUE"""),"Jac")</f>
        <v>Jac</v>
      </c>
      <c r="D281" s="1" t="str">
        <f>IFERROR(__xludf.DUMMYFUNCTION("""COMPUTED_VALUE"""),"Que Line")</f>
        <v>Que Line</v>
      </c>
      <c r="E281" s="1" t="str">
        <f>IFERROR(__xludf.DUMMYFUNCTION("""COMPUTED_VALUE"""),"Jace Susara wait mo lng😅")</f>
        <v>Jace Susara wait mo lng😅</v>
      </c>
      <c r="F281" s="1">
        <f>IFERROR(__xludf.DUMMYFUNCTION("""COMPUTED_VALUE"""),2.0)</f>
        <v>2</v>
      </c>
      <c r="G281" s="1" t="str">
        <f>IFERROR(__xludf.DUMMYFUNCTION("""COMPUTED_VALUE"""),"3 mos")</f>
        <v>3 mos</v>
      </c>
      <c r="H281" s="1" t="str">
        <f>IFERROR(__xludf.DUMMYFUNCTION("""COMPUTED_VALUE"""),"reply")</f>
        <v>reply</v>
      </c>
      <c r="I281" s="2" t="str">
        <f>IFERROR(__xludf.DUMMYFUNCTION("""COMPUTED_VALUE"""),"https://www.facebook.com/rapplerdotcom/photos/a.317154781638645/5597874143566656")</f>
        <v>https://www.facebook.com/rapplerdotcom/photos/a.317154781638645/5597874143566656</v>
      </c>
      <c r="J281" s="1" t="str">
        <f>IFERROR(__xludf.DUMMYFUNCTION("""COMPUTED_VALUE"""),"2022-07-04T11:11:14.003Z")</f>
        <v>2022-07-04T11:11:14.003Z</v>
      </c>
      <c r="K281" s="1"/>
    </row>
    <row r="282">
      <c r="A282" s="2" t="str">
        <f>IFERROR(__xludf.DUMMYFUNCTION("""COMPUTED_VALUE"""),"https://www.facebook.com/florentino.quimbo")</f>
        <v>https://www.facebook.com/florentino.quimbo</v>
      </c>
      <c r="B282" s="1" t="str">
        <f>IFERROR(__xludf.DUMMYFUNCTION("""COMPUTED_VALUE"""),"Florentino A. Quimbo")</f>
        <v>Florentino A. Quimbo</v>
      </c>
      <c r="C282" s="1" t="str">
        <f>IFERROR(__xludf.DUMMYFUNCTION("""COMPUTED_VALUE"""),"Florentino")</f>
        <v>Florentino</v>
      </c>
      <c r="D282" s="1" t="str">
        <f>IFERROR(__xludf.DUMMYFUNCTION("""COMPUTED_VALUE"""),"A. Quimbo")</f>
        <v>A. Quimbo</v>
      </c>
      <c r="E282" s="1" t="str">
        <f>IFERROR(__xludf.DUMMYFUNCTION("""COMPUTED_VALUE"""),"Ness Lansang its the other way around i think. Dont be too righteous.")</f>
        <v>Ness Lansang its the other way around i think. Dont be too righteous.</v>
      </c>
      <c r="F282" s="1">
        <f>IFERROR(__xludf.DUMMYFUNCTION("""COMPUTED_VALUE"""),1.0)</f>
        <v>1</v>
      </c>
      <c r="G282" s="1" t="str">
        <f>IFERROR(__xludf.DUMMYFUNCTION("""COMPUTED_VALUE"""),"3 mos")</f>
        <v>3 mos</v>
      </c>
      <c r="H282" s="1" t="str">
        <f>IFERROR(__xludf.DUMMYFUNCTION("""COMPUTED_VALUE"""),"reply")</f>
        <v>reply</v>
      </c>
      <c r="I282" s="2" t="str">
        <f>IFERROR(__xludf.DUMMYFUNCTION("""COMPUTED_VALUE"""),"https://www.facebook.com/rapplerdotcom/photos/a.317154781638645/5597874143566656")</f>
        <v>https://www.facebook.com/rapplerdotcom/photos/a.317154781638645/5597874143566656</v>
      </c>
      <c r="J282" s="1" t="str">
        <f>IFERROR(__xludf.DUMMYFUNCTION("""COMPUTED_VALUE"""),"2022-07-04T11:11:14.003Z")</f>
        <v>2022-07-04T11:11:14.003Z</v>
      </c>
      <c r="K282" s="1"/>
    </row>
    <row r="283">
      <c r="A283" s="2" t="str">
        <f>IFERROR(__xludf.DUMMYFUNCTION("""COMPUTED_VALUE"""),"https://www.facebook.com/nedned.anobla")</f>
        <v>https://www.facebook.com/nedned.anobla</v>
      </c>
      <c r="B283" s="1" t="str">
        <f>IFERROR(__xludf.DUMMYFUNCTION("""COMPUTED_VALUE"""),"Lier Hakami")</f>
        <v>Lier Hakami</v>
      </c>
      <c r="C283" s="1" t="str">
        <f>IFERROR(__xludf.DUMMYFUNCTION("""COMPUTED_VALUE"""),"Lier")</f>
        <v>Lier</v>
      </c>
      <c r="D283" s="1" t="str">
        <f>IFERROR(__xludf.DUMMYFUNCTION("""COMPUTED_VALUE"""),"Hakami")</f>
        <v>Hakami</v>
      </c>
      <c r="E283" s="1" t="str">
        <f>IFERROR(__xludf.DUMMYFUNCTION("""COMPUTED_VALUE"""),"Jace Susara sure na sure ako...ano ipakain ko sa iyo yung mask at 1k bayad para punta sa rally nya")</f>
        <v>Jace Susara sure na sure ako...ano ipakain ko sa iyo yung mask at 1k bayad para punta sa rally nya</v>
      </c>
      <c r="F283" s="1"/>
      <c r="G283" s="1" t="str">
        <f>IFERROR(__xludf.DUMMYFUNCTION("""COMPUTED_VALUE"""),"3 mos")</f>
        <v>3 mos</v>
      </c>
      <c r="H283" s="1" t="str">
        <f>IFERROR(__xludf.DUMMYFUNCTION("""COMPUTED_VALUE"""),"reply")</f>
        <v>reply</v>
      </c>
      <c r="I283" s="2" t="str">
        <f>IFERROR(__xludf.DUMMYFUNCTION("""COMPUTED_VALUE"""),"https://www.facebook.com/rapplerdotcom/photos/a.317154781638645/5597874143566656")</f>
        <v>https://www.facebook.com/rapplerdotcom/photos/a.317154781638645/5597874143566656</v>
      </c>
      <c r="J283" s="1" t="str">
        <f>IFERROR(__xludf.DUMMYFUNCTION("""COMPUTED_VALUE"""),"2022-07-04T11:11:14.003Z")</f>
        <v>2022-07-04T11:11:14.003Z</v>
      </c>
      <c r="K283" s="1"/>
    </row>
    <row r="284">
      <c r="A284" s="2" t="str">
        <f>IFERROR(__xludf.DUMMYFUNCTION("""COMPUTED_VALUE"""),"https://www.facebook.com/profile.php?id=100079289963212")</f>
        <v>https://www.facebook.com/profile.php?id=100079289963212</v>
      </c>
      <c r="B284" s="1" t="str">
        <f>IFERROR(__xludf.DUMMYFUNCTION("""COMPUTED_VALUE"""),"Uragon Bicol")</f>
        <v>Uragon Bicol</v>
      </c>
      <c r="C284" s="1" t="str">
        <f>IFERROR(__xludf.DUMMYFUNCTION("""COMPUTED_VALUE"""),"Uragon")</f>
        <v>Uragon</v>
      </c>
      <c r="D284" s="1" t="str">
        <f>IFERROR(__xludf.DUMMYFUNCTION("""COMPUTED_VALUE"""),"Bicol")</f>
        <v>Bicol</v>
      </c>
      <c r="E284" s="1" t="str">
        <f>IFERROR(__xludf.DUMMYFUNCTION("""COMPUTED_VALUE"""),"Ness Lansang paano mo nasabi? galing ka sa future? 😂respect kung cno ung gusto nilang iboto, kung gusto mo pink o red man, desisyon mo yan, wag ng magsiraan ng ibang kampo... wag nyo ng diktahan at isapilitan na iboto ung ayaw nila, period. ✌")</f>
        <v>Ness Lansang paano mo nasabi? galing ka sa future? 😂respect kung cno ung gusto nilang iboto, kung gusto mo pink o red man, desisyon mo yan, wag ng magsiraan ng ibang kampo... wag nyo ng diktahan at isapilitan na iboto ung ayaw nila, period. ✌</v>
      </c>
      <c r="F284" s="1"/>
      <c r="G284" s="1" t="str">
        <f>IFERROR(__xludf.DUMMYFUNCTION("""COMPUTED_VALUE"""),"3 mos")</f>
        <v>3 mos</v>
      </c>
      <c r="H284" s="1" t="str">
        <f>IFERROR(__xludf.DUMMYFUNCTION("""COMPUTED_VALUE"""),"reply")</f>
        <v>reply</v>
      </c>
      <c r="I284" s="2" t="str">
        <f>IFERROR(__xludf.DUMMYFUNCTION("""COMPUTED_VALUE"""),"https://www.facebook.com/rapplerdotcom/photos/a.317154781638645/5597874143566656")</f>
        <v>https://www.facebook.com/rapplerdotcom/photos/a.317154781638645/5597874143566656</v>
      </c>
      <c r="J284" s="1" t="str">
        <f>IFERROR(__xludf.DUMMYFUNCTION("""COMPUTED_VALUE"""),"2022-07-04T11:11:14.003Z")</f>
        <v>2022-07-04T11:11:14.003Z</v>
      </c>
      <c r="K284" s="1"/>
    </row>
    <row r="285">
      <c r="A285" s="2" t="str">
        <f>IFERROR(__xludf.DUMMYFUNCTION("""COMPUTED_VALUE"""),"https://www.facebook.com/erwina.bautista.1")</f>
        <v>https://www.facebook.com/erwina.bautista.1</v>
      </c>
      <c r="B285" s="1" t="str">
        <f>IFERROR(__xludf.DUMMYFUNCTION("""COMPUTED_VALUE"""),"Weng Bautista")</f>
        <v>Weng Bautista</v>
      </c>
      <c r="C285" s="1" t="str">
        <f>IFERROR(__xludf.DUMMYFUNCTION("""COMPUTED_VALUE"""),"Weng")</f>
        <v>Weng</v>
      </c>
      <c r="D285" s="1" t="str">
        <f>IFERROR(__xludf.DUMMYFUNCTION("""COMPUTED_VALUE"""),"Bautista")</f>
        <v>Bautista</v>
      </c>
      <c r="E285" s="1" t="str">
        <f>IFERROR(__xludf.DUMMYFUNCTION("""COMPUTED_VALUE"""),"kung kinabukasan ng bansa ng tunay ng usapin ng eleksyon, may 2 tayong option: patuloy itong ibigay ito sa mga corrupt at self interest politicians o ibigay ito sa para sa kapakanan ng mamamayan. may mali at tama batay sa facts. hindi pwedeng pareho tayon"&amp;"g tama kung ang batayan ay facts. hindi pwedeng respect your opinion lang kung kinabukasan ng bansa ang usapin. may iisa lang na resolusyon ang iisa nating problema. ang opinion mo ay hindi laging tama para sa kapakanan ng bansa. hindi ito tungkol sa prid"&amp;"e, tungkol ito sa obhetibo nating kalagayan o ang gusto nating maging realidad ng bansa. maari kang magkaroon ng opinyon pero ang kinbukasan ng bansa ay nangangailangan ng masusing pagsusuri batay sa facts/ katotohanan o totoong kaganapan sa kasaysayan.")</f>
        <v>kung kinabukasan ng bansa ng tunay ng usapin ng eleksyon, may 2 tayong option: patuloy itong ibigay ito sa mga corrupt at self interest politicians o ibigay ito sa para sa kapakanan ng mamamayan. may mali at tama batay sa facts. hindi pwedeng pareho tayong tama kung ang batayan ay facts. hindi pwedeng respect your opinion lang kung kinabukasan ng bansa ang usapin. may iisa lang na resolusyon ang iisa nating problema. ang opinion mo ay hindi laging tama para sa kapakanan ng bansa. hindi ito tungkol sa pride, tungkol ito sa obhetibo nating kalagayan o ang gusto nating maging realidad ng bansa. maari kang magkaroon ng opinyon pero ang kinbukasan ng bansa ay nangangailangan ng masusing pagsusuri batay sa facts/ katotohanan o totoong kaganapan sa kasaysayan.</v>
      </c>
      <c r="F285" s="1">
        <f>IFERROR(__xludf.DUMMYFUNCTION("""COMPUTED_VALUE"""),5.0)</f>
        <v>5</v>
      </c>
      <c r="G285" s="1" t="str">
        <f>IFERROR(__xludf.DUMMYFUNCTION("""COMPUTED_VALUE"""),"3 mos")</f>
        <v>3 mos</v>
      </c>
      <c r="H285" s="1" t="str">
        <f>IFERROR(__xludf.DUMMYFUNCTION("""COMPUTED_VALUE"""),"comment")</f>
        <v>comment</v>
      </c>
      <c r="I285" s="2" t="str">
        <f>IFERROR(__xludf.DUMMYFUNCTION("""COMPUTED_VALUE"""),"https://www.facebook.com/rapplerdotcom/photos/a.317154781638645/5597874143566656")</f>
        <v>https://www.facebook.com/rapplerdotcom/photos/a.317154781638645/5597874143566656</v>
      </c>
      <c r="J285" s="1" t="str">
        <f>IFERROR(__xludf.DUMMYFUNCTION("""COMPUTED_VALUE"""),"2022-07-04T11:11:14.003Z")</f>
        <v>2022-07-04T11:11:14.003Z</v>
      </c>
      <c r="K285" s="1"/>
    </row>
    <row r="286">
      <c r="A286" s="2" t="str">
        <f>IFERROR(__xludf.DUMMYFUNCTION("""COMPUTED_VALUE"""),"https://www.facebook.com/ino.reyes.1441")</f>
        <v>https://www.facebook.com/ino.reyes.1441</v>
      </c>
      <c r="B286" s="1" t="str">
        <f>IFERROR(__xludf.DUMMYFUNCTION("""COMPUTED_VALUE"""),"Ino Reyes")</f>
        <v>Ino Reyes</v>
      </c>
      <c r="C286" s="1" t="str">
        <f>IFERROR(__xludf.DUMMYFUNCTION("""COMPUTED_VALUE"""),"Ino")</f>
        <v>Ino</v>
      </c>
      <c r="D286" s="1" t="str">
        <f>IFERROR(__xludf.DUMMYFUNCTION("""COMPUTED_VALUE"""),"Reyes")</f>
        <v>Reyes</v>
      </c>
      <c r="E286" s="1" t="str">
        <f>IFERROR(__xludf.DUMMYFUNCTION("""COMPUTED_VALUE"""),"Sa GOBYERNONG TAPAT may PAGKALINGA sa LAHAT upang BUHAY ay UMANGAT! #LeniKiko2022 IBOTO ang mas karapatdapat")</f>
        <v>Sa GOBYERNONG TAPAT may PAGKALINGA sa LAHAT upang BUHAY ay UMANGAT! #LeniKiko2022 IBOTO ang mas karapatdapat</v>
      </c>
      <c r="F286" s="1">
        <f>IFERROR(__xludf.DUMMYFUNCTION("""COMPUTED_VALUE"""),33.0)</f>
        <v>33</v>
      </c>
      <c r="G286" s="1" t="str">
        <f>IFERROR(__xludf.DUMMYFUNCTION("""COMPUTED_VALUE"""),"3 mos")</f>
        <v>3 mos</v>
      </c>
      <c r="H286" s="1" t="str">
        <f>IFERROR(__xludf.DUMMYFUNCTION("""COMPUTED_VALUE"""),"comment")</f>
        <v>comment</v>
      </c>
      <c r="I286" s="2" t="str">
        <f>IFERROR(__xludf.DUMMYFUNCTION("""COMPUTED_VALUE"""),"https://www.facebook.com/rapplerdotcom/photos/a.317154781638645/5597874143566656")</f>
        <v>https://www.facebook.com/rapplerdotcom/photos/a.317154781638645/5597874143566656</v>
      </c>
      <c r="J286" s="1" t="str">
        <f>IFERROR(__xludf.DUMMYFUNCTION("""COMPUTED_VALUE"""),"2022-07-04T11:11:14.003Z")</f>
        <v>2022-07-04T11:11:14.003Z</v>
      </c>
      <c r="K286" s="1"/>
    </row>
    <row r="287">
      <c r="A287" s="2" t="str">
        <f>IFERROR(__xludf.DUMMYFUNCTION("""COMPUTED_VALUE"""),"https://www.facebook.com/alvin.echague.1")</f>
        <v>https://www.facebook.com/alvin.echague.1</v>
      </c>
      <c r="B287" s="1" t="str">
        <f>IFERROR(__xludf.DUMMYFUNCTION("""COMPUTED_VALUE"""),"Alvin Echague")</f>
        <v>Alvin Echague</v>
      </c>
      <c r="C287" s="1" t="str">
        <f>IFERROR(__xludf.DUMMYFUNCTION("""COMPUTED_VALUE"""),"Alvin")</f>
        <v>Alvin</v>
      </c>
      <c r="D287" s="1" t="str">
        <f>IFERROR(__xludf.DUMMYFUNCTION("""COMPUTED_VALUE"""),"Echague")</f>
        <v>Echague</v>
      </c>
      <c r="E287" s="1" t="str">
        <f>IFERROR(__xludf.DUMMYFUNCTION("""COMPUTED_VALUE"""),"Ino Reyes oo kau lng tropang ANGAT jajajjajaja magpaka aaANGAT kau s lahat")</f>
        <v>Ino Reyes oo kau lng tropang ANGAT jajajjajaja magpaka aaANGAT kau s lahat</v>
      </c>
      <c r="F287" s="1"/>
      <c r="G287" s="1" t="str">
        <f>IFERROR(__xludf.DUMMYFUNCTION("""COMPUTED_VALUE"""),"3 mos")</f>
        <v>3 mos</v>
      </c>
      <c r="H287" s="1" t="str">
        <f>IFERROR(__xludf.DUMMYFUNCTION("""COMPUTED_VALUE"""),"reply")</f>
        <v>reply</v>
      </c>
      <c r="I287" s="2" t="str">
        <f>IFERROR(__xludf.DUMMYFUNCTION("""COMPUTED_VALUE"""),"https://www.facebook.com/rapplerdotcom/photos/a.317154781638645/5597874143566656")</f>
        <v>https://www.facebook.com/rapplerdotcom/photos/a.317154781638645/5597874143566656</v>
      </c>
      <c r="J287" s="1" t="str">
        <f>IFERROR(__xludf.DUMMYFUNCTION("""COMPUTED_VALUE"""),"2022-07-04T11:11:14.003Z")</f>
        <v>2022-07-04T11:11:14.003Z</v>
      </c>
      <c r="K287" s="1"/>
    </row>
    <row r="288">
      <c r="A288" s="2" t="str">
        <f>IFERROR(__xludf.DUMMYFUNCTION("""COMPUTED_VALUE"""),"https://www.facebook.com/brrianjooseph.31")</f>
        <v>https://www.facebook.com/brrianjooseph.31</v>
      </c>
      <c r="B288" s="1" t="str">
        <f>IFERROR(__xludf.DUMMYFUNCTION("""COMPUTED_VALUE"""),"Brian Jo Seph")</f>
        <v>Brian Jo Seph</v>
      </c>
      <c r="C288" s="1" t="str">
        <f>IFERROR(__xludf.DUMMYFUNCTION("""COMPUTED_VALUE"""),"Brian")</f>
        <v>Brian</v>
      </c>
      <c r="D288" s="1" t="str">
        <f>IFERROR(__xludf.DUMMYFUNCTION("""COMPUTED_VALUE"""),"Jo Seph")</f>
        <v>Jo Seph</v>
      </c>
      <c r="E288" s="1" t="str">
        <f>IFERROR(__xludf.DUMMYFUNCTION("""COMPUTED_VALUE"""),"Pag nman pumalpak yang kandidato nila..damay tayo n hindi mga bumoto haha.. hindi p nadala kay duterte...")</f>
        <v>Pag nman pumalpak yang kandidato nila..damay tayo n hindi mga bumoto haha.. hindi p nadala kay duterte...</v>
      </c>
      <c r="F288" s="1"/>
      <c r="G288" s="1" t="str">
        <f>IFERROR(__xludf.DUMMYFUNCTION("""COMPUTED_VALUE"""),"3 mos")</f>
        <v>3 mos</v>
      </c>
      <c r="H288" s="1" t="str">
        <f>IFERROR(__xludf.DUMMYFUNCTION("""COMPUTED_VALUE"""),"comment")</f>
        <v>comment</v>
      </c>
      <c r="I288" s="2" t="str">
        <f>IFERROR(__xludf.DUMMYFUNCTION("""COMPUTED_VALUE"""),"https://www.facebook.com/rapplerdotcom/photos/a.317154781638645/5597874143566656")</f>
        <v>https://www.facebook.com/rapplerdotcom/photos/a.317154781638645/5597874143566656</v>
      </c>
      <c r="J288" s="1" t="str">
        <f>IFERROR(__xludf.DUMMYFUNCTION("""COMPUTED_VALUE"""),"2022-07-04T11:11:14.003Z")</f>
        <v>2022-07-04T11:11:14.003Z</v>
      </c>
      <c r="K288" s="1"/>
    </row>
    <row r="289">
      <c r="A289" s="2" t="str">
        <f>IFERROR(__xludf.DUMMYFUNCTION("""COMPUTED_VALUE"""),"https://www.facebook.com/NGCD18")</f>
        <v>https://www.facebook.com/NGCD18</v>
      </c>
      <c r="B289" s="1" t="str">
        <f>IFERROR(__xludf.DUMMYFUNCTION("""COMPUTED_VALUE"""),"Carl Angelo Lubon Daño")</f>
        <v>Carl Angelo Lubon Daño</v>
      </c>
      <c r="C289" s="1" t="str">
        <f>IFERROR(__xludf.DUMMYFUNCTION("""COMPUTED_VALUE"""),"Carl")</f>
        <v>Carl</v>
      </c>
      <c r="D289" s="1" t="str">
        <f>IFERROR(__xludf.DUMMYFUNCTION("""COMPUTED_VALUE"""),"Angelo Lubon Daño")</f>
        <v>Angelo Lubon Daño</v>
      </c>
      <c r="E289" s="1" t="str">
        <f>IFERROR(__xludf.DUMMYFUNCTION("""COMPUTED_VALUE"""),"Brian Jo Seph Kayo lang naman ang nadala. Kami hindi. Mga wala naman kayong kwenta. Hahhaha!")</f>
        <v>Brian Jo Seph Kayo lang naman ang nadala. Kami hindi. Mga wala naman kayong kwenta. Hahhaha!</v>
      </c>
      <c r="F289" s="1"/>
      <c r="G289" s="1" t="str">
        <f>IFERROR(__xludf.DUMMYFUNCTION("""COMPUTED_VALUE"""),"3 mos")</f>
        <v>3 mos</v>
      </c>
      <c r="H289" s="1" t="str">
        <f>IFERROR(__xludf.DUMMYFUNCTION("""COMPUTED_VALUE"""),"reply")</f>
        <v>reply</v>
      </c>
      <c r="I289" s="2" t="str">
        <f>IFERROR(__xludf.DUMMYFUNCTION("""COMPUTED_VALUE"""),"https://www.facebook.com/rapplerdotcom/photos/a.317154781638645/5597874143566656")</f>
        <v>https://www.facebook.com/rapplerdotcom/photos/a.317154781638645/5597874143566656</v>
      </c>
      <c r="J289" s="1" t="str">
        <f>IFERROR(__xludf.DUMMYFUNCTION("""COMPUTED_VALUE"""),"2022-07-04T11:11:14.003Z")</f>
        <v>2022-07-04T11:11:14.003Z</v>
      </c>
      <c r="K289" s="1"/>
    </row>
    <row r="290">
      <c r="A290" s="2" t="str">
        <f>IFERROR(__xludf.DUMMYFUNCTION("""COMPUTED_VALUE"""),"https://www.facebook.com/brrianjooseph.31")</f>
        <v>https://www.facebook.com/brrianjooseph.31</v>
      </c>
      <c r="B290" s="1" t="str">
        <f>IFERROR(__xludf.DUMMYFUNCTION("""COMPUTED_VALUE"""),"Brian Jo Seph")</f>
        <v>Brian Jo Seph</v>
      </c>
      <c r="C290" s="1" t="str">
        <f>IFERROR(__xludf.DUMMYFUNCTION("""COMPUTED_VALUE"""),"Brian")</f>
        <v>Brian</v>
      </c>
      <c r="D290" s="1" t="str">
        <f>IFERROR(__xludf.DUMMYFUNCTION("""COMPUTED_VALUE"""),"Jo Seph")</f>
        <v>Jo Seph</v>
      </c>
      <c r="E290" s="1" t="str">
        <f>IFERROR(__xludf.DUMMYFUNCTION("""COMPUTED_VALUE"""),"Oh paano k nman naging mas may kwenta?mataas b ang katungkulan mo sa lipunan?may gnwa k b n ikinaangat ng pamumuhay ng mga pilipino?wag k magsasabi sa kapwa mo n walang kwenta...bka nga ikaw ing walang kwenta eh")</f>
        <v>Oh paano k nman naging mas may kwenta?mataas b ang katungkulan mo sa lipunan?may gnwa k b n ikinaangat ng pamumuhay ng mga pilipino?wag k magsasabi sa kapwa mo n walang kwenta...bka nga ikaw ing walang kwenta eh</v>
      </c>
      <c r="F290" s="1"/>
      <c r="G290" s="1" t="str">
        <f>IFERROR(__xludf.DUMMYFUNCTION("""COMPUTED_VALUE"""),"3 mos")</f>
        <v>3 mos</v>
      </c>
      <c r="H290" s="1" t="str">
        <f>IFERROR(__xludf.DUMMYFUNCTION("""COMPUTED_VALUE"""),"reply")</f>
        <v>reply</v>
      </c>
      <c r="I290" s="2" t="str">
        <f>IFERROR(__xludf.DUMMYFUNCTION("""COMPUTED_VALUE"""),"https://www.facebook.com/rapplerdotcom/photos/a.317154781638645/5597874143566656")</f>
        <v>https://www.facebook.com/rapplerdotcom/photos/a.317154781638645/5597874143566656</v>
      </c>
      <c r="J290" s="1" t="str">
        <f>IFERROR(__xludf.DUMMYFUNCTION("""COMPUTED_VALUE"""),"2022-07-04T11:11:14.003Z")</f>
        <v>2022-07-04T11:11:14.003Z</v>
      </c>
      <c r="K290" s="1"/>
    </row>
    <row r="291">
      <c r="A291" s="2" t="str">
        <f>IFERROR(__xludf.DUMMYFUNCTION("""COMPUTED_VALUE"""),"https://www.facebook.com/brrianjooseph.31")</f>
        <v>https://www.facebook.com/brrianjooseph.31</v>
      </c>
      <c r="B291" s="1" t="str">
        <f>IFERROR(__xludf.DUMMYFUNCTION("""COMPUTED_VALUE"""),"Brian Jo Seph")</f>
        <v>Brian Jo Seph</v>
      </c>
      <c r="C291" s="1" t="str">
        <f>IFERROR(__xludf.DUMMYFUNCTION("""COMPUTED_VALUE"""),"Brian")</f>
        <v>Brian</v>
      </c>
      <c r="D291" s="1" t="str">
        <f>IFERROR(__xludf.DUMMYFUNCTION("""COMPUTED_VALUE"""),"Jo Seph")</f>
        <v>Jo Seph</v>
      </c>
      <c r="E291" s="1" t="str">
        <f>IFERROR(__xludf.DUMMYFUNCTION("""COMPUTED_VALUE"""),"Carl Angelo Lubon Daño alam my b ibig sabhin ng nadala?ibig sabhin hindi natuto...bumoto kay duterte na akala aasenso ang bansa..un pla lalo ilulublob sa utang...mahina pla reading comprehension mo...tpos magaling k magsalita ng walang kwenta sa kapwa")</f>
        <v>Carl Angelo Lubon Daño alam my b ibig sabhin ng nadala?ibig sabhin hindi natuto...bumoto kay duterte na akala aasenso ang bansa..un pla lalo ilulublob sa utang...mahina pla reading comprehension mo...tpos magaling k magsalita ng walang kwenta sa kapwa</v>
      </c>
      <c r="F291" s="1"/>
      <c r="G291" s="1" t="str">
        <f>IFERROR(__xludf.DUMMYFUNCTION("""COMPUTED_VALUE"""),"3 mos")</f>
        <v>3 mos</v>
      </c>
      <c r="H291" s="1" t="str">
        <f>IFERROR(__xludf.DUMMYFUNCTION("""COMPUTED_VALUE"""),"reply")</f>
        <v>reply</v>
      </c>
      <c r="I291" s="2" t="str">
        <f>IFERROR(__xludf.DUMMYFUNCTION("""COMPUTED_VALUE"""),"https://www.facebook.com/rapplerdotcom/photos/a.317154781638645/5597874143566656")</f>
        <v>https://www.facebook.com/rapplerdotcom/photos/a.317154781638645/5597874143566656</v>
      </c>
      <c r="J291" s="1" t="str">
        <f>IFERROR(__xludf.DUMMYFUNCTION("""COMPUTED_VALUE"""),"2022-07-04T11:11:14.003Z")</f>
        <v>2022-07-04T11:11:14.003Z</v>
      </c>
      <c r="K291" s="1"/>
    </row>
    <row r="292">
      <c r="A292" s="2" t="str">
        <f>IFERROR(__xludf.DUMMYFUNCTION("""COMPUTED_VALUE"""),"https://www.facebook.com/alexander.calub")</f>
        <v>https://www.facebook.com/alexander.calub</v>
      </c>
      <c r="B292" s="1" t="str">
        <f>IFERROR(__xludf.DUMMYFUNCTION("""COMPUTED_VALUE"""),"Alexander Calub")</f>
        <v>Alexander Calub</v>
      </c>
      <c r="C292" s="1" t="str">
        <f>IFERROR(__xludf.DUMMYFUNCTION("""COMPUTED_VALUE"""),"Alexander")</f>
        <v>Alexander</v>
      </c>
      <c r="D292" s="1" t="str">
        <f>IFERROR(__xludf.DUMMYFUNCTION("""COMPUTED_VALUE"""),"Calub")</f>
        <v>Calub</v>
      </c>
      <c r="E292" s="1" t="str">
        <f>IFERROR(__xludf.DUMMYFUNCTION("""COMPUTED_VALUE"""),"bigyan mko ng link kung meron sinabi si duterte na aasenso ang pilipinas sa term niya, walang sinomang presidente na kayang iahon ang bansang 30 yrs nilugmok ng mga idolo mo, mahal ang tubig mahal ang kuryente alam mo nmn siguro kung bakit hahaha")</f>
        <v>bigyan mko ng link kung meron sinabi si duterte na aasenso ang pilipinas sa term niya, walang sinomang presidente na kayang iahon ang bansang 30 yrs nilugmok ng mga idolo mo, mahal ang tubig mahal ang kuryente alam mo nmn siguro kung bakit hahaha</v>
      </c>
      <c r="F292" s="1"/>
      <c r="G292" s="1" t="str">
        <f>IFERROR(__xludf.DUMMYFUNCTION("""COMPUTED_VALUE"""),"3 mos")</f>
        <v>3 mos</v>
      </c>
      <c r="H292" s="1" t="str">
        <f>IFERROR(__xludf.DUMMYFUNCTION("""COMPUTED_VALUE"""),"reply")</f>
        <v>reply</v>
      </c>
      <c r="I292" s="2" t="str">
        <f>IFERROR(__xludf.DUMMYFUNCTION("""COMPUTED_VALUE"""),"https://www.facebook.com/rapplerdotcom/photos/a.317154781638645/5597874143566656")</f>
        <v>https://www.facebook.com/rapplerdotcom/photos/a.317154781638645/5597874143566656</v>
      </c>
      <c r="J292" s="1" t="str">
        <f>IFERROR(__xludf.DUMMYFUNCTION("""COMPUTED_VALUE"""),"2022-07-04T11:11:14.003Z")</f>
        <v>2022-07-04T11:11:14.003Z</v>
      </c>
      <c r="K292" s="1"/>
    </row>
    <row r="293">
      <c r="A293" s="2" t="str">
        <f>IFERROR(__xludf.DUMMYFUNCTION("""COMPUTED_VALUE"""),"https://www.facebook.com/brrianjooseph.31")</f>
        <v>https://www.facebook.com/brrianjooseph.31</v>
      </c>
      <c r="B293" s="1" t="str">
        <f>IFERROR(__xludf.DUMMYFUNCTION("""COMPUTED_VALUE"""),"Brian Jo Seph")</f>
        <v>Brian Jo Seph</v>
      </c>
      <c r="C293" s="1" t="str">
        <f>IFERROR(__xludf.DUMMYFUNCTION("""COMPUTED_VALUE"""),"Brian")</f>
        <v>Brian</v>
      </c>
      <c r="D293" s="1" t="str">
        <f>IFERROR(__xludf.DUMMYFUNCTION("""COMPUTED_VALUE"""),"Jo Seph")</f>
        <v>Jo Seph</v>
      </c>
      <c r="E293" s="1" t="str">
        <f>IFERROR(__xludf.DUMMYFUNCTION("""COMPUTED_VALUE"""),"Alexander Calub oh ang sinasabi ko ung sinasabi ng mga supporters ni duterte nung tumatakbo siya n kayang paunlarin ang pilipinas..ngayon hindi nman nangyari lalo p naghirap..lumaki ang utang...wala ako sinabi n si duterte ang nagsabi ang sabi ko ung mga "&amp;"supporters ni duterte ang nagsabi..babasa lng mali p")</f>
        <v>Alexander Calub oh ang sinasabi ko ung sinasabi ng mga supporters ni duterte nung tumatakbo siya n kayang paunlarin ang pilipinas..ngayon hindi nman nangyari lalo p naghirap..lumaki ang utang...wala ako sinabi n si duterte ang nagsabi ang sabi ko ung mga supporters ni duterte ang nagsabi..babasa lng mali p</v>
      </c>
      <c r="F293" s="1"/>
      <c r="G293" s="1" t="str">
        <f>IFERROR(__xludf.DUMMYFUNCTION("""COMPUTED_VALUE"""),"3 mos")</f>
        <v>3 mos</v>
      </c>
      <c r="H293" s="1" t="str">
        <f>IFERROR(__xludf.DUMMYFUNCTION("""COMPUTED_VALUE"""),"reply")</f>
        <v>reply</v>
      </c>
      <c r="I293" s="2" t="str">
        <f>IFERROR(__xludf.DUMMYFUNCTION("""COMPUTED_VALUE"""),"https://www.facebook.com/rapplerdotcom/photos/a.317154781638645/5597874143566656")</f>
        <v>https://www.facebook.com/rapplerdotcom/photos/a.317154781638645/5597874143566656</v>
      </c>
      <c r="J293" s="1" t="str">
        <f>IFERROR(__xludf.DUMMYFUNCTION("""COMPUTED_VALUE"""),"2022-07-04T11:11:14.003Z")</f>
        <v>2022-07-04T11:11:14.003Z</v>
      </c>
      <c r="K293" s="1"/>
    </row>
    <row r="294">
      <c r="A294" s="2" t="str">
        <f>IFERROR(__xludf.DUMMYFUNCTION("""COMPUTED_VALUE"""),"https://www.facebook.com/brrianjooseph.31")</f>
        <v>https://www.facebook.com/brrianjooseph.31</v>
      </c>
      <c r="B294" s="1" t="str">
        <f>IFERROR(__xludf.DUMMYFUNCTION("""COMPUTED_VALUE"""),"Brian Jo Seph")</f>
        <v>Brian Jo Seph</v>
      </c>
      <c r="C294" s="1" t="str">
        <f>IFERROR(__xludf.DUMMYFUNCTION("""COMPUTED_VALUE"""),"Brian")</f>
        <v>Brian</v>
      </c>
      <c r="D294" s="1" t="str">
        <f>IFERROR(__xludf.DUMMYFUNCTION("""COMPUTED_VALUE"""),"Jo Seph")</f>
        <v>Jo Seph</v>
      </c>
      <c r="E294" s="1" t="str">
        <f>IFERROR(__xludf.DUMMYFUNCTION("""COMPUTED_VALUE"""),"Alexander Calub karamihan kasi ng mga supporters ni duterte un ang sinisigaw nung eleksyon 2016..at un din ang kasama sa plataporma niya kung titingnan...")</f>
        <v>Alexander Calub karamihan kasi ng mga supporters ni duterte un ang sinisigaw nung eleksyon 2016..at un din ang kasama sa plataporma niya kung titingnan...</v>
      </c>
      <c r="F294" s="1"/>
      <c r="G294" s="1" t="str">
        <f>IFERROR(__xludf.DUMMYFUNCTION("""COMPUTED_VALUE"""),"3 mos")</f>
        <v>3 mos</v>
      </c>
      <c r="H294" s="1" t="str">
        <f>IFERROR(__xludf.DUMMYFUNCTION("""COMPUTED_VALUE"""),"reply")</f>
        <v>reply</v>
      </c>
      <c r="I294" s="2" t="str">
        <f>IFERROR(__xludf.DUMMYFUNCTION("""COMPUTED_VALUE"""),"https://www.facebook.com/rapplerdotcom/photos/a.317154781638645/5597874143566656")</f>
        <v>https://www.facebook.com/rapplerdotcom/photos/a.317154781638645/5597874143566656</v>
      </c>
      <c r="J294" s="1" t="str">
        <f>IFERROR(__xludf.DUMMYFUNCTION("""COMPUTED_VALUE"""),"2022-07-04T11:11:14.003Z")</f>
        <v>2022-07-04T11:11:14.003Z</v>
      </c>
      <c r="K294" s="1"/>
    </row>
    <row r="295">
      <c r="A295" s="2" t="str">
        <f>IFERROR(__xludf.DUMMYFUNCTION("""COMPUTED_VALUE"""),"https://www.facebook.com/alexander.calub")</f>
        <v>https://www.facebook.com/alexander.calub</v>
      </c>
      <c r="B295" s="1" t="str">
        <f>IFERROR(__xludf.DUMMYFUNCTION("""COMPUTED_VALUE"""),"Alexander Calub")</f>
        <v>Alexander Calub</v>
      </c>
      <c r="C295" s="1" t="str">
        <f>IFERROR(__xludf.DUMMYFUNCTION("""COMPUTED_VALUE"""),"Alexander")</f>
        <v>Alexander</v>
      </c>
      <c r="D295" s="1" t="str">
        <f>IFERROR(__xludf.DUMMYFUNCTION("""COMPUTED_VALUE"""),"Calub")</f>
        <v>Calub</v>
      </c>
      <c r="E295" s="1" t="str">
        <f>IFERROR(__xludf.DUMMYFUNCTION("""COMPUTED_VALUE"""),"sinong supporters?")</f>
        <v>sinong supporters?</v>
      </c>
      <c r="F295" s="1"/>
      <c r="G295" s="1" t="str">
        <f>IFERROR(__xludf.DUMMYFUNCTION("""COMPUTED_VALUE"""),"3 mos")</f>
        <v>3 mos</v>
      </c>
      <c r="H295" s="1" t="str">
        <f>IFERROR(__xludf.DUMMYFUNCTION("""COMPUTED_VALUE"""),"reply")</f>
        <v>reply</v>
      </c>
      <c r="I295" s="2" t="str">
        <f>IFERROR(__xludf.DUMMYFUNCTION("""COMPUTED_VALUE"""),"https://www.facebook.com/rapplerdotcom/photos/a.317154781638645/5597874143566656")</f>
        <v>https://www.facebook.com/rapplerdotcom/photos/a.317154781638645/5597874143566656</v>
      </c>
      <c r="J295" s="1" t="str">
        <f>IFERROR(__xludf.DUMMYFUNCTION("""COMPUTED_VALUE"""),"2022-07-04T11:11:14.003Z")</f>
        <v>2022-07-04T11:11:14.003Z</v>
      </c>
      <c r="K295" s="1"/>
    </row>
    <row r="296">
      <c r="A296" s="2" t="str">
        <f>IFERROR(__xludf.DUMMYFUNCTION("""COMPUTED_VALUE"""),"https://www.facebook.com/chazper21")</f>
        <v>https://www.facebook.com/chazper21</v>
      </c>
      <c r="B296" s="1" t="str">
        <f>IFERROR(__xludf.DUMMYFUNCTION("""COMPUTED_VALUE"""),"Jeffrh Sequito Dela Cerna")</f>
        <v>Jeffrh Sequito Dela Cerna</v>
      </c>
      <c r="C296" s="1" t="str">
        <f>IFERROR(__xludf.DUMMYFUNCTION("""COMPUTED_VALUE"""),"Jeffrh")</f>
        <v>Jeffrh</v>
      </c>
      <c r="D296" s="1" t="str">
        <f>IFERROR(__xludf.DUMMYFUNCTION("""COMPUTED_VALUE"""),"Sequito Dela Cerna")</f>
        <v>Sequito Dela Cerna</v>
      </c>
      <c r="E296" s="1" t="str">
        <f>IFERROR(__xludf.DUMMYFUNCTION("""COMPUTED_VALUE"""),"Coming from you??? Wataa shame news wraper este wrapler????")</f>
        <v>Coming from you??? Wataa shame news wraper este wrapler????</v>
      </c>
      <c r="F296" s="1"/>
      <c r="G296" s="1" t="str">
        <f>IFERROR(__xludf.DUMMYFUNCTION("""COMPUTED_VALUE"""),"3 mos")</f>
        <v>3 mos</v>
      </c>
      <c r="H296" s="1" t="str">
        <f>IFERROR(__xludf.DUMMYFUNCTION("""COMPUTED_VALUE"""),"comment")</f>
        <v>comment</v>
      </c>
      <c r="I296" s="2" t="str">
        <f>IFERROR(__xludf.DUMMYFUNCTION("""COMPUTED_VALUE"""),"https://www.facebook.com/rapplerdotcom/photos/a.317154781638645/5597874143566656")</f>
        <v>https://www.facebook.com/rapplerdotcom/photos/a.317154781638645/5597874143566656</v>
      </c>
      <c r="J296" s="1" t="str">
        <f>IFERROR(__xludf.DUMMYFUNCTION("""COMPUTED_VALUE"""),"2022-07-04T11:11:14.003Z")</f>
        <v>2022-07-04T11:11:14.003Z</v>
      </c>
      <c r="K296" s="1"/>
    </row>
    <row r="297">
      <c r="A297" s="2" t="str">
        <f>IFERROR(__xludf.DUMMYFUNCTION("""COMPUTED_VALUE"""),"https://www.facebook.com/crisostomo.ibara.146")</f>
        <v>https://www.facebook.com/crisostomo.ibara.146</v>
      </c>
      <c r="B297" s="1" t="str">
        <f>IFERROR(__xludf.DUMMYFUNCTION("""COMPUTED_VALUE"""),"Limwell Manikan")</f>
        <v>Limwell Manikan</v>
      </c>
      <c r="C297" s="1" t="str">
        <f>IFERROR(__xludf.DUMMYFUNCTION("""COMPUTED_VALUE"""),"Limwell")</f>
        <v>Limwell</v>
      </c>
      <c r="D297" s="1" t="str">
        <f>IFERROR(__xludf.DUMMYFUNCTION("""COMPUTED_VALUE"""),"Manikan")</f>
        <v>Manikan</v>
      </c>
      <c r="E297" s="1" t="str">
        <f>IFERROR(__xludf.DUMMYFUNCTION("""COMPUTED_VALUE"""),"Kayo ang tunay na diktador sa bansang pilipinas. Pag kayo sinita sasabihin freedom of speech. Pweeeee!!!")</f>
        <v>Kayo ang tunay na diktador sa bansang pilipinas. Pag kayo sinita sasabihin freedom of speech. Pweeeee!!!</v>
      </c>
      <c r="F297" s="1">
        <f>IFERROR(__xludf.DUMMYFUNCTION("""COMPUTED_VALUE"""),11.0)</f>
        <v>11</v>
      </c>
      <c r="G297" s="1" t="str">
        <f>IFERROR(__xludf.DUMMYFUNCTION("""COMPUTED_VALUE"""),"3 mos")</f>
        <v>3 mos</v>
      </c>
      <c r="H297" s="1" t="str">
        <f>IFERROR(__xludf.DUMMYFUNCTION("""COMPUTED_VALUE"""),"comment")</f>
        <v>comment</v>
      </c>
      <c r="I297" s="2" t="str">
        <f>IFERROR(__xludf.DUMMYFUNCTION("""COMPUTED_VALUE"""),"https://www.facebook.com/rapplerdotcom/photos/a.317154781638645/5597874143566656")</f>
        <v>https://www.facebook.com/rapplerdotcom/photos/a.317154781638645/5597874143566656</v>
      </c>
      <c r="J297" s="1" t="str">
        <f>IFERROR(__xludf.DUMMYFUNCTION("""COMPUTED_VALUE"""),"2022-07-04T11:11:14.003Z")</f>
        <v>2022-07-04T11:11:14.003Z</v>
      </c>
      <c r="K297" s="1"/>
    </row>
    <row r="298">
      <c r="A298" s="2" t="str">
        <f>IFERROR(__xludf.DUMMYFUNCTION("""COMPUTED_VALUE"""),"https://www.facebook.com/ameliaarana12345")</f>
        <v>https://www.facebook.com/ameliaarana12345</v>
      </c>
      <c r="B298" s="1" t="str">
        <f>IFERROR(__xludf.DUMMYFUNCTION("""COMPUTED_VALUE"""),"Ame Arana")</f>
        <v>Ame Arana</v>
      </c>
      <c r="C298" s="1" t="str">
        <f>IFERROR(__xludf.DUMMYFUNCTION("""COMPUTED_VALUE"""),"Ame")</f>
        <v>Ame</v>
      </c>
      <c r="D298" s="1" t="str">
        <f>IFERROR(__xludf.DUMMYFUNCTION("""COMPUTED_VALUE"""),"Arana")</f>
        <v>Arana</v>
      </c>
      <c r="E298" s="1" t="str">
        <f>IFERROR(__xludf.DUMMYFUNCTION("""COMPUTED_VALUE"""),"So true po, yong  napapanood  mo  clng nakikipag  agawan  sa pagkain  at sa  50pesos kawawa  din  cla  as  in impakto tlga itong  mga politiko  na  gumagawa ng  ganito")</f>
        <v>So true po, yong  napapanood  mo  clng nakikipag  agawan  sa pagkain  at sa  50pesos kawawa  din  cla  as  in impakto tlga itong  mga politiko  na  gumagawa ng  ganito</v>
      </c>
      <c r="F298" s="1">
        <f>IFERROR(__xludf.DUMMYFUNCTION("""COMPUTED_VALUE"""),5.0)</f>
        <v>5</v>
      </c>
      <c r="G298" s="1" t="str">
        <f>IFERROR(__xludf.DUMMYFUNCTION("""COMPUTED_VALUE"""),"3 mos")</f>
        <v>3 mos</v>
      </c>
      <c r="H298" s="1" t="str">
        <f>IFERROR(__xludf.DUMMYFUNCTION("""COMPUTED_VALUE"""),"comment")</f>
        <v>comment</v>
      </c>
      <c r="I298" s="2" t="str">
        <f>IFERROR(__xludf.DUMMYFUNCTION("""COMPUTED_VALUE"""),"https://www.facebook.com/rapplerdotcom/photos/a.317154781638645/5597874143566656")</f>
        <v>https://www.facebook.com/rapplerdotcom/photos/a.317154781638645/5597874143566656</v>
      </c>
      <c r="J298" s="1" t="str">
        <f>IFERROR(__xludf.DUMMYFUNCTION("""COMPUTED_VALUE"""),"2022-07-04T11:11:14.003Z")</f>
        <v>2022-07-04T11:11:14.003Z</v>
      </c>
      <c r="K298" s="1"/>
    </row>
    <row r="299">
      <c r="A299" s="2" t="str">
        <f>IFERROR(__xludf.DUMMYFUNCTION("""COMPUTED_VALUE"""),"https://www.facebook.com/bella.hermohenez")</f>
        <v>https://www.facebook.com/bella.hermohenez</v>
      </c>
      <c r="B299" s="1" t="str">
        <f>IFERROR(__xludf.DUMMYFUNCTION("""COMPUTED_VALUE"""),"Bella Haki")</f>
        <v>Bella Haki</v>
      </c>
      <c r="C299" s="1" t="str">
        <f>IFERROR(__xludf.DUMMYFUNCTION("""COMPUTED_VALUE"""),"Bella")</f>
        <v>Bella</v>
      </c>
      <c r="D299" s="1" t="str">
        <f>IFERROR(__xludf.DUMMYFUNCTION("""COMPUTED_VALUE"""),"Haki")</f>
        <v>Haki</v>
      </c>
      <c r="E299" s="1" t="str">
        <f>IFERROR(__xludf.DUMMYFUNCTION("""COMPUTED_VALUE"""),"Dito magkakaalaman kung bakit tayo 3rd world country at kung bakit mahirap pa rin ang bayan 🥴📣")</f>
        <v>Dito magkakaalaman kung bakit tayo 3rd world country at kung bakit mahirap pa rin ang bayan 🥴📣</v>
      </c>
      <c r="F299" s="1">
        <f>IFERROR(__xludf.DUMMYFUNCTION("""COMPUTED_VALUE"""),1.0)</f>
        <v>1</v>
      </c>
      <c r="G299" s="1" t="str">
        <f>IFERROR(__xludf.DUMMYFUNCTION("""COMPUTED_VALUE"""),"3 mos")</f>
        <v>3 mos</v>
      </c>
      <c r="H299" s="1" t="str">
        <f>IFERROR(__xludf.DUMMYFUNCTION("""COMPUTED_VALUE"""),"comment")</f>
        <v>comment</v>
      </c>
      <c r="I299" s="2" t="str">
        <f>IFERROR(__xludf.DUMMYFUNCTION("""COMPUTED_VALUE"""),"https://www.facebook.com/rapplerdotcom/photos/a.317154781638645/5597874143566656")</f>
        <v>https://www.facebook.com/rapplerdotcom/photos/a.317154781638645/5597874143566656</v>
      </c>
      <c r="J299" s="1" t="str">
        <f>IFERROR(__xludf.DUMMYFUNCTION("""COMPUTED_VALUE"""),"2022-07-04T11:11:14.003Z")</f>
        <v>2022-07-04T11:11:14.003Z</v>
      </c>
      <c r="K299" s="1"/>
    </row>
    <row r="300">
      <c r="A300" s="2" t="str">
        <f>IFERROR(__xludf.DUMMYFUNCTION("""COMPUTED_VALUE"""),"https://www.facebook.com/christine.mamaclay")</f>
        <v>https://www.facebook.com/christine.mamaclay</v>
      </c>
      <c r="B300" s="1" t="str">
        <f>IFERROR(__xludf.DUMMYFUNCTION("""COMPUTED_VALUE"""),"Christine Corpuz Almirez")</f>
        <v>Christine Corpuz Almirez</v>
      </c>
      <c r="C300" s="1" t="str">
        <f>IFERROR(__xludf.DUMMYFUNCTION("""COMPUTED_VALUE"""),"Christine")</f>
        <v>Christine</v>
      </c>
      <c r="D300" s="1" t="str">
        <f>IFERROR(__xludf.DUMMYFUNCTION("""COMPUTED_VALUE"""),"Corpuz Almirez")</f>
        <v>Corpuz Almirez</v>
      </c>
      <c r="E300" s="1" t="str">
        <f>IFERROR(__xludf.DUMMYFUNCTION("""COMPUTED_VALUE"""),"""The way you campaign will determine/show how you will govern.""  - Sec. Norberto Gonzales")</f>
        <v>"The way you campaign will determine/show how you will govern."  - Sec. Norberto Gonzales</v>
      </c>
      <c r="F300" s="1">
        <f>IFERROR(__xludf.DUMMYFUNCTION("""COMPUTED_VALUE"""),8.0)</f>
        <v>8</v>
      </c>
      <c r="G300" s="1" t="str">
        <f>IFERROR(__xludf.DUMMYFUNCTION("""COMPUTED_VALUE"""),"3 mos")</f>
        <v>3 mos</v>
      </c>
      <c r="H300" s="1" t="str">
        <f>IFERROR(__xludf.DUMMYFUNCTION("""COMPUTED_VALUE"""),"comment")</f>
        <v>comment</v>
      </c>
      <c r="I300" s="2" t="str">
        <f>IFERROR(__xludf.DUMMYFUNCTION("""COMPUTED_VALUE"""),"https://www.facebook.com/rapplerdotcom/photos/a.317154781638645/5597874143566656")</f>
        <v>https://www.facebook.com/rapplerdotcom/photos/a.317154781638645/5597874143566656</v>
      </c>
      <c r="J300" s="1" t="str">
        <f>IFERROR(__xludf.DUMMYFUNCTION("""COMPUTED_VALUE"""),"2022-07-04T11:11:14.003Z")</f>
        <v>2022-07-04T11:11:14.003Z</v>
      </c>
      <c r="K300" s="1"/>
    </row>
    <row r="301">
      <c r="A301" s="2" t="str">
        <f>IFERROR(__xludf.DUMMYFUNCTION("""COMPUTED_VALUE"""),"https://www.facebook.com/lalalalamd")</f>
        <v>https://www.facebook.com/lalalalamd</v>
      </c>
      <c r="B301" s="1" t="str">
        <f>IFERROR(__xludf.DUMMYFUNCTION("""COMPUTED_VALUE"""),"Lala Dela Cruz")</f>
        <v>Lala Dela Cruz</v>
      </c>
      <c r="C301" s="1" t="str">
        <f>IFERROR(__xludf.DUMMYFUNCTION("""COMPUTED_VALUE"""),"Lala")</f>
        <v>Lala</v>
      </c>
      <c r="D301" s="1" t="str">
        <f>IFERROR(__xludf.DUMMYFUNCTION("""COMPUTED_VALUE"""),"Dela Cruz")</f>
        <v>Dela Cruz</v>
      </c>
      <c r="E301" s="1" t="str">
        <f>IFERROR(__xludf.DUMMYFUNCTION("""COMPUTED_VALUE"""),"Christine Corpuz Almirez paanong campaign? yung ganito? https://www.facebook.com/100005001363426/posts/2227900730719951/?d=n")</f>
        <v>Christine Corpuz Almirez paanong campaign? yung ganito? https://www.facebook.com/100005001363426/posts/2227900730719951/?d=n</v>
      </c>
      <c r="F301" s="1"/>
      <c r="G301" s="1" t="str">
        <f>IFERROR(__xludf.DUMMYFUNCTION("""COMPUTED_VALUE"""),"March 23 at 11:11 PM")</f>
        <v>March 23 at 11:11 PM</v>
      </c>
      <c r="H301" s="1" t="str">
        <f>IFERROR(__xludf.DUMMYFUNCTION("""COMPUTED_VALUE"""),"reply")</f>
        <v>reply</v>
      </c>
      <c r="I301" s="2" t="str">
        <f>IFERROR(__xludf.DUMMYFUNCTION("""COMPUTED_VALUE"""),"https://www.facebook.com/rapplerdotcom/photos/a.317154781638645/5597874143566656")</f>
        <v>https://www.facebook.com/rapplerdotcom/photos/a.317154781638645/5597874143566656</v>
      </c>
      <c r="J301" s="1" t="str">
        <f>IFERROR(__xludf.DUMMYFUNCTION("""COMPUTED_VALUE"""),"2022-07-04T11:11:14.003Z")</f>
        <v>2022-07-04T11:11:14.003Z</v>
      </c>
      <c r="K301" s="1"/>
    </row>
    <row r="302">
      <c r="A302" s="2" t="str">
        <f>IFERROR(__xludf.DUMMYFUNCTION("""COMPUTED_VALUE"""),"https://www.facebook.com/hidalgojohnmark99")</f>
        <v>https://www.facebook.com/hidalgojohnmark99</v>
      </c>
      <c r="B302" s="1" t="str">
        <f>IFERROR(__xludf.DUMMYFUNCTION("""COMPUTED_VALUE"""),"John Mark C. Hidalgo")</f>
        <v>John Mark C. Hidalgo</v>
      </c>
      <c r="C302" s="1" t="str">
        <f>IFERROR(__xludf.DUMMYFUNCTION("""COMPUTED_VALUE"""),"John")</f>
        <v>John</v>
      </c>
      <c r="D302" s="1" t="str">
        <f>IFERROR(__xludf.DUMMYFUNCTION("""COMPUTED_VALUE"""),"Mark C. Hidalgo")</f>
        <v>Mark C. Hidalgo</v>
      </c>
      <c r="E302" s="1" t="str">
        <f>IFERROR(__xludf.DUMMYFUNCTION("""COMPUTED_VALUE"""),"Lala Dela Cruz may I ask you who started this kind of thing?")</f>
        <v>Lala Dela Cruz may I ask you who started this kind of thing?</v>
      </c>
      <c r="F302" s="1">
        <f>IFERROR(__xludf.DUMMYFUNCTION("""COMPUTED_VALUE"""),1.0)</f>
        <v>1</v>
      </c>
      <c r="G302" s="1" t="str">
        <f>IFERROR(__xludf.DUMMYFUNCTION("""COMPUTED_VALUE"""),"3 mos")</f>
        <v>3 mos</v>
      </c>
      <c r="H302" s="1" t="str">
        <f>IFERROR(__xludf.DUMMYFUNCTION("""COMPUTED_VALUE"""),"reply")</f>
        <v>reply</v>
      </c>
      <c r="I302" s="2" t="str">
        <f>IFERROR(__xludf.DUMMYFUNCTION("""COMPUTED_VALUE"""),"https://www.facebook.com/rapplerdotcom/photos/a.317154781638645/5597874143566656")</f>
        <v>https://www.facebook.com/rapplerdotcom/photos/a.317154781638645/5597874143566656</v>
      </c>
      <c r="J302" s="1" t="str">
        <f>IFERROR(__xludf.DUMMYFUNCTION("""COMPUTED_VALUE"""),"2022-07-04T11:11:14.003Z")</f>
        <v>2022-07-04T11:11:14.003Z</v>
      </c>
      <c r="K302" s="1"/>
    </row>
    <row r="303">
      <c r="A303" s="2" t="str">
        <f>IFERROR(__xludf.DUMMYFUNCTION("""COMPUTED_VALUE"""),"https://www.facebook.com/honmichael.dy")</f>
        <v>https://www.facebook.com/honmichael.dy</v>
      </c>
      <c r="B303" s="1" t="str">
        <f>IFERROR(__xludf.DUMMYFUNCTION("""COMPUTED_VALUE"""),"Michael Dy")</f>
        <v>Michael Dy</v>
      </c>
      <c r="C303" s="1" t="str">
        <f>IFERROR(__xludf.DUMMYFUNCTION("""COMPUTED_VALUE"""),"Michael")</f>
        <v>Michael</v>
      </c>
      <c r="D303" s="1" t="str">
        <f>IFERROR(__xludf.DUMMYFUNCTION("""COMPUTED_VALUE"""),"Dy")</f>
        <v>Dy</v>
      </c>
      <c r="E303" s="1" t="str">
        <f>IFERROR(__xludf.DUMMYFUNCTION("""COMPUTED_VALUE"""),"This is true.   Blind men do not need to be told where to step foot. They need a cane. Or a warm hand willing to guide them through.")</f>
        <v>This is true.   Blind men do not need to be told where to step foot. They need a cane. Or a warm hand willing to guide them through.</v>
      </c>
      <c r="F303" s="1"/>
      <c r="G303" s="1" t="str">
        <f>IFERROR(__xludf.DUMMYFUNCTION("""COMPUTED_VALUE"""),"3 mos")</f>
        <v>3 mos</v>
      </c>
      <c r="H303" s="1" t="str">
        <f>IFERROR(__xludf.DUMMYFUNCTION("""COMPUTED_VALUE"""),"comment")</f>
        <v>comment</v>
      </c>
      <c r="I303" s="2" t="str">
        <f>IFERROR(__xludf.DUMMYFUNCTION("""COMPUTED_VALUE"""),"https://www.facebook.com/rapplerdotcom/photos/a.317154781638645/5597874143566656")</f>
        <v>https://www.facebook.com/rapplerdotcom/photos/a.317154781638645/5597874143566656</v>
      </c>
      <c r="J303" s="1" t="str">
        <f>IFERROR(__xludf.DUMMYFUNCTION("""COMPUTED_VALUE"""),"2022-07-04T11:11:14.003Z")</f>
        <v>2022-07-04T11:11:14.003Z</v>
      </c>
      <c r="K303" s="1"/>
    </row>
    <row r="304">
      <c r="A304" s="2" t="str">
        <f>IFERROR(__xludf.DUMMYFUNCTION("""COMPUTED_VALUE"""),"https://www.facebook.com/profile.php?id=100079300902365")</f>
        <v>https://www.facebook.com/profile.php?id=100079300902365</v>
      </c>
      <c r="B304" s="1" t="str">
        <f>IFERROR(__xludf.DUMMYFUNCTION("""COMPUTED_VALUE"""),"Vic Rodriguez")</f>
        <v>Vic Rodriguez</v>
      </c>
      <c r="C304" s="1" t="str">
        <f>IFERROR(__xludf.DUMMYFUNCTION("""COMPUTED_VALUE"""),"Vic")</f>
        <v>Vic</v>
      </c>
      <c r="D304" s="1" t="str">
        <f>IFERROR(__xludf.DUMMYFUNCTION("""COMPUTED_VALUE"""),"Rodriguez")</f>
        <v>Rodriguez</v>
      </c>
      <c r="E304" s="1" t="str">
        <f>IFERROR(__xludf.DUMMYFUNCTION("""COMPUTED_VALUE"""),"LABAN KAKAMPINKS ✊✊✊")</f>
        <v>LABAN KAKAMPINKS ✊✊✊</v>
      </c>
      <c r="F304" s="1">
        <f>IFERROR(__xludf.DUMMYFUNCTION("""COMPUTED_VALUE"""),1.0)</f>
        <v>1</v>
      </c>
      <c r="G304" s="1" t="str">
        <f>IFERROR(__xludf.DUMMYFUNCTION("""COMPUTED_VALUE"""),"3 mos")</f>
        <v>3 mos</v>
      </c>
      <c r="H304" s="1" t="str">
        <f>IFERROR(__xludf.DUMMYFUNCTION("""COMPUTED_VALUE"""),"comment")</f>
        <v>comment</v>
      </c>
      <c r="I304" s="2" t="str">
        <f>IFERROR(__xludf.DUMMYFUNCTION("""COMPUTED_VALUE"""),"https://www.facebook.com/rapplerdotcom/photos/a.317154781638645/5597874143566656")</f>
        <v>https://www.facebook.com/rapplerdotcom/photos/a.317154781638645/5597874143566656</v>
      </c>
      <c r="J304" s="1" t="str">
        <f>IFERROR(__xludf.DUMMYFUNCTION("""COMPUTED_VALUE"""),"2022-07-04T11:11:14.003Z")</f>
        <v>2022-07-04T11:11:14.003Z</v>
      </c>
      <c r="K304" s="1"/>
    </row>
    <row r="305">
      <c r="A305" s="2" t="str">
        <f>IFERROR(__xludf.DUMMYFUNCTION("""COMPUTED_VALUE"""),"https://www.facebook.com/albertjohn.centra")</f>
        <v>https://www.facebook.com/albertjohn.centra</v>
      </c>
      <c r="B305" s="1" t="str">
        <f>IFERROR(__xludf.DUMMYFUNCTION("""COMPUTED_VALUE"""),"Albert John Centra")</f>
        <v>Albert John Centra</v>
      </c>
      <c r="C305" s="1" t="str">
        <f>IFERROR(__xludf.DUMMYFUNCTION("""COMPUTED_VALUE"""),"Albert")</f>
        <v>Albert</v>
      </c>
      <c r="D305" s="1" t="str">
        <f>IFERROR(__xludf.DUMMYFUNCTION("""COMPUTED_VALUE"""),"John Centra")</f>
        <v>John Centra</v>
      </c>
      <c r="E305" s="1" t="str">
        <f>IFERROR(__xludf.DUMMYFUNCTION("""COMPUTED_VALUE"""),"Respect is EARNED, not given.")</f>
        <v>Respect is EARNED, not given.</v>
      </c>
      <c r="F305" s="1">
        <f>IFERROR(__xludf.DUMMYFUNCTION("""COMPUTED_VALUE"""),3.0)</f>
        <v>3</v>
      </c>
      <c r="G305" s="1" t="str">
        <f>IFERROR(__xludf.DUMMYFUNCTION("""COMPUTED_VALUE"""),"3 mos")</f>
        <v>3 mos</v>
      </c>
      <c r="H305" s="1" t="str">
        <f>IFERROR(__xludf.DUMMYFUNCTION("""COMPUTED_VALUE"""),"comment")</f>
        <v>comment</v>
      </c>
      <c r="I305" s="2" t="str">
        <f>IFERROR(__xludf.DUMMYFUNCTION("""COMPUTED_VALUE"""),"https://www.facebook.com/rapplerdotcom/photos/a.317154781638645/5597874143566656")</f>
        <v>https://www.facebook.com/rapplerdotcom/photos/a.317154781638645/5597874143566656</v>
      </c>
      <c r="J305" s="1" t="str">
        <f>IFERROR(__xludf.DUMMYFUNCTION("""COMPUTED_VALUE"""),"2022-07-04T11:11:14.003Z")</f>
        <v>2022-07-04T11:11:14.003Z</v>
      </c>
      <c r="K305" s="1"/>
    </row>
    <row r="306">
      <c r="A306" s="2" t="str">
        <f>IFERROR(__xludf.DUMMYFUNCTION("""COMPUTED_VALUE"""),"https://www.facebook.com/rogelio.lapuz.5055")</f>
        <v>https://www.facebook.com/rogelio.lapuz.5055</v>
      </c>
      <c r="B306" s="1" t="str">
        <f>IFERROR(__xludf.DUMMYFUNCTION("""COMPUTED_VALUE"""),"Rogelio Lapuz")</f>
        <v>Rogelio Lapuz</v>
      </c>
      <c r="C306" s="1" t="str">
        <f>IFERROR(__xludf.DUMMYFUNCTION("""COMPUTED_VALUE"""),"Rogelio")</f>
        <v>Rogelio</v>
      </c>
      <c r="D306" s="1" t="str">
        <f>IFERROR(__xludf.DUMMYFUNCTION("""COMPUTED_VALUE"""),"Lapuz")</f>
        <v>Lapuz</v>
      </c>
      <c r="E306" s="1" t="str">
        <f>IFERROR(__xludf.DUMMYFUNCTION("""COMPUTED_VALUE"""),"Cgurado na c Len len shade ko # 7 sa baluta😂😂😂😂")</f>
        <v>Cgurado na c Len len shade ko # 7 sa baluta😂😂😂😂</v>
      </c>
      <c r="F306" s="1">
        <f>IFERROR(__xludf.DUMMYFUNCTION("""COMPUTED_VALUE"""),5.0)</f>
        <v>5</v>
      </c>
      <c r="G306" s="1" t="str">
        <f>IFERROR(__xludf.DUMMYFUNCTION("""COMPUTED_VALUE"""),"3 mos")</f>
        <v>3 mos</v>
      </c>
      <c r="H306" s="1" t="str">
        <f>IFERROR(__xludf.DUMMYFUNCTION("""COMPUTED_VALUE"""),"comment")</f>
        <v>comment</v>
      </c>
      <c r="I306" s="2" t="str">
        <f>IFERROR(__xludf.DUMMYFUNCTION("""COMPUTED_VALUE"""),"https://www.facebook.com/rapplerdotcom/photos/a.317154781638645/5597874143566656")</f>
        <v>https://www.facebook.com/rapplerdotcom/photos/a.317154781638645/5597874143566656</v>
      </c>
      <c r="J306" s="1" t="str">
        <f>IFERROR(__xludf.DUMMYFUNCTION("""COMPUTED_VALUE"""),"2022-07-04T11:11:14.003Z")</f>
        <v>2022-07-04T11:11:14.003Z</v>
      </c>
      <c r="K306" s="1"/>
    </row>
    <row r="307">
      <c r="A307" s="2" t="str">
        <f>IFERROR(__xludf.DUMMYFUNCTION("""COMPUTED_VALUE"""),"https://www.facebook.com/profile.php?id=100079722041118")</f>
        <v>https://www.facebook.com/profile.php?id=100079722041118</v>
      </c>
      <c r="B307" s="1" t="str">
        <f>IFERROR(__xludf.DUMMYFUNCTION("""COMPUTED_VALUE"""),"Joel Lim")</f>
        <v>Joel Lim</v>
      </c>
      <c r="C307" s="1" t="str">
        <f>IFERROR(__xludf.DUMMYFUNCTION("""COMPUTED_VALUE"""),"Joel")</f>
        <v>Joel</v>
      </c>
      <c r="D307" s="1" t="str">
        <f>IFERROR(__xludf.DUMMYFUNCTION("""COMPUTED_VALUE"""),"Lim")</f>
        <v>Lim</v>
      </c>
      <c r="E307" s="1" t="str">
        <f>IFERROR(__xludf.DUMMYFUNCTION("""COMPUTED_VALUE"""),"Anong respect kung ipapahamak mo ang pamilya ko?")</f>
        <v>Anong respect kung ipapahamak mo ang pamilya ko?</v>
      </c>
      <c r="F307" s="1"/>
      <c r="G307" s="1" t="str">
        <f>IFERROR(__xludf.DUMMYFUNCTION("""COMPUTED_VALUE"""),"3 mos")</f>
        <v>3 mos</v>
      </c>
      <c r="H307" s="1" t="str">
        <f>IFERROR(__xludf.DUMMYFUNCTION("""COMPUTED_VALUE"""),"comment")</f>
        <v>comment</v>
      </c>
      <c r="I307" s="2" t="str">
        <f>IFERROR(__xludf.DUMMYFUNCTION("""COMPUTED_VALUE"""),"https://www.facebook.com/rapplerdotcom/photos/a.317154781638645/5597874143566656")</f>
        <v>https://www.facebook.com/rapplerdotcom/photos/a.317154781638645/5597874143566656</v>
      </c>
      <c r="J307" s="1" t="str">
        <f>IFERROR(__xludf.DUMMYFUNCTION("""COMPUTED_VALUE"""),"2022-07-04T11:11:14.003Z")</f>
        <v>2022-07-04T11:11:14.003Z</v>
      </c>
      <c r="K307" s="1"/>
    </row>
    <row r="308">
      <c r="A308" s="2" t="str">
        <f>IFERROR(__xludf.DUMMYFUNCTION("""COMPUTED_VALUE"""),"https://www.facebook.com/marisse.mauricio")</f>
        <v>https://www.facebook.com/marisse.mauricio</v>
      </c>
      <c r="B308" s="1" t="str">
        <f>IFERROR(__xludf.DUMMYFUNCTION("""COMPUTED_VALUE"""),"Marisse Mauricio")</f>
        <v>Marisse Mauricio</v>
      </c>
      <c r="C308" s="1" t="str">
        <f>IFERROR(__xludf.DUMMYFUNCTION("""COMPUTED_VALUE"""),"Marisse")</f>
        <v>Marisse</v>
      </c>
      <c r="D308" s="1" t="str">
        <f>IFERROR(__xludf.DUMMYFUNCTION("""COMPUTED_VALUE"""),"Mauricio")</f>
        <v>Mauricio</v>
      </c>
      <c r="E308" s="1" t="str">
        <f>IFERROR(__xludf.DUMMYFUNCTION("""COMPUTED_VALUE"""),"WE KNOW WHAT SHE DID 2016😜")</f>
        <v>WE KNOW WHAT SHE DID 2016😜</v>
      </c>
      <c r="F308" s="1">
        <f>IFERROR(__xludf.DUMMYFUNCTION("""COMPUTED_VALUE"""),5.0)</f>
        <v>5</v>
      </c>
      <c r="G308" s="1" t="str">
        <f>IFERROR(__xludf.DUMMYFUNCTION("""COMPUTED_VALUE"""),"3 mos")</f>
        <v>3 mos</v>
      </c>
      <c r="H308" s="1" t="str">
        <f>IFERROR(__xludf.DUMMYFUNCTION("""COMPUTED_VALUE"""),"comment")</f>
        <v>comment</v>
      </c>
      <c r="I308" s="2" t="str">
        <f>IFERROR(__xludf.DUMMYFUNCTION("""COMPUTED_VALUE"""),"https://www.facebook.com/rapplerdotcom/photos/a.317154781638645/5597874143566656")</f>
        <v>https://www.facebook.com/rapplerdotcom/photos/a.317154781638645/5597874143566656</v>
      </c>
      <c r="J308" s="1" t="str">
        <f>IFERROR(__xludf.DUMMYFUNCTION("""COMPUTED_VALUE"""),"2022-07-04T11:11:14.003Z")</f>
        <v>2022-07-04T11:11:14.003Z</v>
      </c>
      <c r="K308" s="1"/>
    </row>
    <row r="309">
      <c r="A309" s="2" t="str">
        <f>IFERROR(__xludf.DUMMYFUNCTION("""COMPUTED_VALUE"""),"https://www.facebook.com/F16FalconV")</f>
        <v>https://www.facebook.com/F16FalconV</v>
      </c>
      <c r="B309" s="1" t="str">
        <f>IFERROR(__xludf.DUMMYFUNCTION("""COMPUTED_VALUE"""),"Miguel Galang")</f>
        <v>Miguel Galang</v>
      </c>
      <c r="C309" s="1" t="str">
        <f>IFERROR(__xludf.DUMMYFUNCTION("""COMPUTED_VALUE"""),"Miguel")</f>
        <v>Miguel</v>
      </c>
      <c r="D309" s="1" t="str">
        <f>IFERROR(__xludf.DUMMYFUNCTION("""COMPUTED_VALUE"""),"Galang")</f>
        <v>Galang</v>
      </c>
      <c r="E309" s="1" t="str">
        <f>IFERROR(__xludf.DUMMYFUNCTION("""COMPUTED_VALUE"""),"Marisse Mauricio We do too. We know she won fair and square, unless marunong ka pa sa Korte Suprema?")</f>
        <v>Marisse Mauricio We do too. We know she won fair and square, unless marunong ka pa sa Korte Suprema?</v>
      </c>
      <c r="F309" s="1">
        <f>IFERROR(__xludf.DUMMYFUNCTION("""COMPUTED_VALUE"""),11.0)</f>
        <v>11</v>
      </c>
      <c r="G309" s="1" t="str">
        <f>IFERROR(__xludf.DUMMYFUNCTION("""COMPUTED_VALUE"""),"3 mos")</f>
        <v>3 mos</v>
      </c>
      <c r="H309" s="1" t="str">
        <f>IFERROR(__xludf.DUMMYFUNCTION("""COMPUTED_VALUE"""),"reply")</f>
        <v>reply</v>
      </c>
      <c r="I309" s="2" t="str">
        <f>IFERROR(__xludf.DUMMYFUNCTION("""COMPUTED_VALUE"""),"https://www.facebook.com/rapplerdotcom/photos/a.317154781638645/5597874143566656")</f>
        <v>https://www.facebook.com/rapplerdotcom/photos/a.317154781638645/5597874143566656</v>
      </c>
      <c r="J309" s="1" t="str">
        <f>IFERROR(__xludf.DUMMYFUNCTION("""COMPUTED_VALUE"""),"2022-07-04T11:11:14.003Z")</f>
        <v>2022-07-04T11:11:14.003Z</v>
      </c>
      <c r="K309" s="1"/>
    </row>
    <row r="310">
      <c r="A310" s="2" t="str">
        <f>IFERROR(__xludf.DUMMYFUNCTION("""COMPUTED_VALUE"""),"https://www.facebook.com/raiden.ponteras.1")</f>
        <v>https://www.facebook.com/raiden.ponteras.1</v>
      </c>
      <c r="B310" s="1" t="str">
        <f>IFERROR(__xludf.DUMMYFUNCTION("""COMPUTED_VALUE"""),"Raiden Ponteras")</f>
        <v>Raiden Ponteras</v>
      </c>
      <c r="C310" s="1" t="str">
        <f>IFERROR(__xludf.DUMMYFUNCTION("""COMPUTED_VALUE"""),"Raiden")</f>
        <v>Raiden</v>
      </c>
      <c r="D310" s="1" t="str">
        <f>IFERROR(__xludf.DUMMYFUNCTION("""COMPUTED_VALUE"""),"Ponteras")</f>
        <v>Ponteras</v>
      </c>
      <c r="E310" s="1" t="str">
        <f>IFERROR(__xludf.DUMMYFUNCTION("""COMPUTED_VALUE"""),"Miguel Galang weehhh apaka timing naman ng miralco hehe btw anglaki pala share ni madam sa meralco ano?")</f>
        <v>Miguel Galang weehhh apaka timing naman ng miralco hehe btw anglaki pala share ni madam sa meralco ano?</v>
      </c>
      <c r="F310" s="1">
        <f>IFERROR(__xludf.DUMMYFUNCTION("""COMPUTED_VALUE"""),4.0)</f>
        <v>4</v>
      </c>
      <c r="G310" s="1" t="str">
        <f>IFERROR(__xludf.DUMMYFUNCTION("""COMPUTED_VALUE"""),"3 mos")</f>
        <v>3 mos</v>
      </c>
      <c r="H310" s="1" t="str">
        <f>IFERROR(__xludf.DUMMYFUNCTION("""COMPUTED_VALUE"""),"reply")</f>
        <v>reply</v>
      </c>
      <c r="I310" s="2" t="str">
        <f>IFERROR(__xludf.DUMMYFUNCTION("""COMPUTED_VALUE"""),"https://www.facebook.com/rapplerdotcom/photos/a.317154781638645/5597874143566656")</f>
        <v>https://www.facebook.com/rapplerdotcom/photos/a.317154781638645/5597874143566656</v>
      </c>
      <c r="J310" s="1" t="str">
        <f>IFERROR(__xludf.DUMMYFUNCTION("""COMPUTED_VALUE"""),"2022-07-04T11:11:14.003Z")</f>
        <v>2022-07-04T11:11:14.003Z</v>
      </c>
      <c r="K310" s="1"/>
    </row>
    <row r="311">
      <c r="A311" s="2" t="str">
        <f>IFERROR(__xludf.DUMMYFUNCTION("""COMPUTED_VALUE"""),"https://www.facebook.com/justine.gorospe.3150")</f>
        <v>https://www.facebook.com/justine.gorospe.3150</v>
      </c>
      <c r="B311" s="1" t="str">
        <f>IFERROR(__xludf.DUMMYFUNCTION("""COMPUTED_VALUE"""),"Justineah Gorospe")</f>
        <v>Justineah Gorospe</v>
      </c>
      <c r="C311" s="1" t="str">
        <f>IFERROR(__xludf.DUMMYFUNCTION("""COMPUTED_VALUE"""),"Justineah")</f>
        <v>Justineah</v>
      </c>
      <c r="D311" s="1" t="str">
        <f>IFERROR(__xludf.DUMMYFUNCTION("""COMPUTED_VALUE"""),"Gorospe")</f>
        <v>Gorospe</v>
      </c>
      <c r="E311" s="1" t="str">
        <f>IFERROR(__xludf.DUMMYFUNCTION("""COMPUTED_VALUE"""),"Marisse Mauricio  Oo nga maam. Natuklasan din. Grabe sila. Sana kasama niya ang Comelec sa kaso")</f>
        <v>Marisse Mauricio  Oo nga maam. Natuklasan din. Grabe sila. Sana kasama niya ang Comelec sa kaso</v>
      </c>
      <c r="F311" s="1">
        <f>IFERROR(__xludf.DUMMYFUNCTION("""COMPUTED_VALUE"""),1.0)</f>
        <v>1</v>
      </c>
      <c r="G311" s="1" t="str">
        <f>IFERROR(__xludf.DUMMYFUNCTION("""COMPUTED_VALUE"""),"3 mos")</f>
        <v>3 mos</v>
      </c>
      <c r="H311" s="1" t="str">
        <f>IFERROR(__xludf.DUMMYFUNCTION("""COMPUTED_VALUE"""),"reply")</f>
        <v>reply</v>
      </c>
      <c r="I311" s="2" t="str">
        <f>IFERROR(__xludf.DUMMYFUNCTION("""COMPUTED_VALUE"""),"https://www.facebook.com/rapplerdotcom/photos/a.317154781638645/5597874143566656")</f>
        <v>https://www.facebook.com/rapplerdotcom/photos/a.317154781638645/5597874143566656</v>
      </c>
      <c r="J311" s="1" t="str">
        <f>IFERROR(__xludf.DUMMYFUNCTION("""COMPUTED_VALUE"""),"2022-07-04T11:11:14.003Z")</f>
        <v>2022-07-04T11:11:14.003Z</v>
      </c>
      <c r="K311" s="1"/>
    </row>
    <row r="312">
      <c r="A312" s="2" t="str">
        <f>IFERROR(__xludf.DUMMYFUNCTION("""COMPUTED_VALUE"""),"https://www.facebook.com/sanse21")</f>
        <v>https://www.facebook.com/sanse21</v>
      </c>
      <c r="B312" s="1" t="str">
        <f>IFERROR(__xludf.DUMMYFUNCTION("""COMPUTED_VALUE"""),"Ana Maria Alfaro")</f>
        <v>Ana Maria Alfaro</v>
      </c>
      <c r="C312" s="1" t="str">
        <f>IFERROR(__xludf.DUMMYFUNCTION("""COMPUTED_VALUE"""),"Ana")</f>
        <v>Ana</v>
      </c>
      <c r="D312" s="1" t="str">
        <f>IFERROR(__xludf.DUMMYFUNCTION("""COMPUTED_VALUE"""),"Maria Alfaro")</f>
        <v>Maria Alfaro</v>
      </c>
      <c r="E312" s="1" t="str">
        <f>IFERROR(__xludf.DUMMYFUNCTION("""COMPUTED_VALUE"""),"#LeniKikoForTheWin")</f>
        <v>#LeniKikoForTheWin</v>
      </c>
      <c r="F312" s="1">
        <f>IFERROR(__xludf.DUMMYFUNCTION("""COMPUTED_VALUE"""),1.0)</f>
        <v>1</v>
      </c>
      <c r="G312" s="1" t="str">
        <f>IFERROR(__xludf.DUMMYFUNCTION("""COMPUTED_VALUE"""),"3 mos")</f>
        <v>3 mos</v>
      </c>
      <c r="H312" s="1" t="str">
        <f>IFERROR(__xludf.DUMMYFUNCTION("""COMPUTED_VALUE"""),"comment")</f>
        <v>comment</v>
      </c>
      <c r="I312" s="2" t="str">
        <f>IFERROR(__xludf.DUMMYFUNCTION("""COMPUTED_VALUE"""),"https://www.facebook.com/rapplerdotcom/photos/a.317154781638645/5597874143566656")</f>
        <v>https://www.facebook.com/rapplerdotcom/photos/a.317154781638645/5597874143566656</v>
      </c>
      <c r="J312" s="1" t="str">
        <f>IFERROR(__xludf.DUMMYFUNCTION("""COMPUTED_VALUE"""),"2022-07-04T11:11:14.003Z")</f>
        <v>2022-07-04T11:11:14.003Z</v>
      </c>
      <c r="K312" s="1"/>
    </row>
    <row r="313">
      <c r="A313" s="2" t="str">
        <f>IFERROR(__xludf.DUMMYFUNCTION("""COMPUTED_VALUE"""),"https://www.facebook.com/profile.php?id=100074363201711")</f>
        <v>https://www.facebook.com/profile.php?id=100074363201711</v>
      </c>
      <c r="B313" s="1" t="str">
        <f>IFERROR(__xludf.DUMMYFUNCTION("""COMPUTED_VALUE"""),"Brad Johanson")</f>
        <v>Brad Johanson</v>
      </c>
      <c r="C313" s="1" t="str">
        <f>IFERROR(__xludf.DUMMYFUNCTION("""COMPUTED_VALUE"""),"Brad")</f>
        <v>Brad</v>
      </c>
      <c r="D313" s="1" t="str">
        <f>IFERROR(__xludf.DUMMYFUNCTION("""COMPUTED_VALUE"""),"Johanson")</f>
        <v>Johanson</v>
      </c>
      <c r="E313" s="1" t="str">
        <f>IFERROR(__xludf.DUMMYFUNCTION("""COMPUTED_VALUE"""),"HAHAHA kaya pa ba ? 1 week nalamg april na🤣😍")</f>
        <v>HAHAHA kaya pa ba ? 1 week nalamg april na🤣😍</v>
      </c>
      <c r="F313" s="1">
        <f>IFERROR(__xludf.DUMMYFUNCTION("""COMPUTED_VALUE"""),2.0)</f>
        <v>2</v>
      </c>
      <c r="G313" s="1" t="str">
        <f>IFERROR(__xludf.DUMMYFUNCTION("""COMPUTED_VALUE"""),"3 mos")</f>
        <v>3 mos</v>
      </c>
      <c r="H313" s="1" t="str">
        <f>IFERROR(__xludf.DUMMYFUNCTION("""COMPUTED_VALUE"""),"comment")</f>
        <v>comment</v>
      </c>
      <c r="I313" s="2" t="str">
        <f>IFERROR(__xludf.DUMMYFUNCTION("""COMPUTED_VALUE"""),"https://www.facebook.com/rapplerdotcom/photos/a.317154781638645/5597874143566656")</f>
        <v>https://www.facebook.com/rapplerdotcom/photos/a.317154781638645/5597874143566656</v>
      </c>
      <c r="J313" s="1" t="str">
        <f>IFERROR(__xludf.DUMMYFUNCTION("""COMPUTED_VALUE"""),"2022-07-04T11:11:14.003Z")</f>
        <v>2022-07-04T11:11:14.003Z</v>
      </c>
      <c r="K313" s="1"/>
    </row>
    <row r="314">
      <c r="A314" s="2" t="str">
        <f>IFERROR(__xludf.DUMMYFUNCTION("""COMPUTED_VALUE"""),"https://www.facebook.com/ameliaarana12345")</f>
        <v>https://www.facebook.com/ameliaarana12345</v>
      </c>
      <c r="B314" s="1" t="str">
        <f>IFERROR(__xludf.DUMMYFUNCTION("""COMPUTED_VALUE"""),"Ame Arana")</f>
        <v>Ame Arana</v>
      </c>
      <c r="C314" s="1" t="str">
        <f>IFERROR(__xludf.DUMMYFUNCTION("""COMPUTED_VALUE"""),"Ame")</f>
        <v>Ame</v>
      </c>
      <c r="D314" s="1" t="str">
        <f>IFERROR(__xludf.DUMMYFUNCTION("""COMPUTED_VALUE"""),"Arana")</f>
        <v>Arana</v>
      </c>
      <c r="E314" s="1" t="str">
        <f>IFERROR(__xludf.DUMMYFUNCTION("""COMPUTED_VALUE"""),"Brad Johanson kakayanin  namin  at huwag kayong  umiyak  at mag pa  recount ng  10 beses")</f>
        <v>Brad Johanson kakayanin  namin  at huwag kayong  umiyak  at mag pa  recount ng  10 beses</v>
      </c>
      <c r="F314" s="1">
        <f>IFERROR(__xludf.DUMMYFUNCTION("""COMPUTED_VALUE"""),2.0)</f>
        <v>2</v>
      </c>
      <c r="G314" s="1" t="str">
        <f>IFERROR(__xludf.DUMMYFUNCTION("""COMPUTED_VALUE"""),"3 mos")</f>
        <v>3 mos</v>
      </c>
      <c r="H314" s="1" t="str">
        <f>IFERROR(__xludf.DUMMYFUNCTION("""COMPUTED_VALUE"""),"reply")</f>
        <v>reply</v>
      </c>
      <c r="I314" s="2" t="str">
        <f>IFERROR(__xludf.DUMMYFUNCTION("""COMPUTED_VALUE"""),"https://www.facebook.com/rapplerdotcom/photos/a.317154781638645/5597874143566656")</f>
        <v>https://www.facebook.com/rapplerdotcom/photos/a.317154781638645/5597874143566656</v>
      </c>
      <c r="J314" s="1" t="str">
        <f>IFERROR(__xludf.DUMMYFUNCTION("""COMPUTED_VALUE"""),"2022-07-04T11:11:14.003Z")</f>
        <v>2022-07-04T11:11:14.003Z</v>
      </c>
      <c r="K314" s="1"/>
    </row>
    <row r="315">
      <c r="A315" s="2" t="str">
        <f>IFERROR(__xludf.DUMMYFUNCTION("""COMPUTED_VALUE"""),"https://www.facebook.com/profile.php?id=100074363201711")</f>
        <v>https://www.facebook.com/profile.php?id=100074363201711</v>
      </c>
      <c r="B315" s="1" t="str">
        <f>IFERROR(__xludf.DUMMYFUNCTION("""COMPUTED_VALUE"""),"Brad Johanson")</f>
        <v>Brad Johanson</v>
      </c>
      <c r="C315" s="1" t="str">
        <f>IFERROR(__xludf.DUMMYFUNCTION("""COMPUTED_VALUE"""),"Brad")</f>
        <v>Brad</v>
      </c>
      <c r="D315" s="1" t="str">
        <f>IFERROR(__xludf.DUMMYFUNCTION("""COMPUTED_VALUE"""),"Johanson")</f>
        <v>Johanson</v>
      </c>
      <c r="E315" s="1" t="str">
        <f>IFERROR(__xludf.DUMMYFUNCTION("""COMPUTED_VALUE"""),"Cha-em Crespo Arana hahaha okay")</f>
        <v>Cha-em Crespo Arana hahaha okay</v>
      </c>
      <c r="F315" s="1"/>
      <c r="G315" s="1" t="str">
        <f>IFERROR(__xludf.DUMMYFUNCTION("""COMPUTED_VALUE"""),"3 mos")</f>
        <v>3 mos</v>
      </c>
      <c r="H315" s="1" t="str">
        <f>IFERROR(__xludf.DUMMYFUNCTION("""COMPUTED_VALUE"""),"reply")</f>
        <v>reply</v>
      </c>
      <c r="I315" s="2" t="str">
        <f>IFERROR(__xludf.DUMMYFUNCTION("""COMPUTED_VALUE"""),"https://www.facebook.com/rapplerdotcom/photos/a.317154781638645/5597874143566656")</f>
        <v>https://www.facebook.com/rapplerdotcom/photos/a.317154781638645/5597874143566656</v>
      </c>
      <c r="J315" s="1" t="str">
        <f>IFERROR(__xludf.DUMMYFUNCTION("""COMPUTED_VALUE"""),"2022-07-04T11:11:14.004Z")</f>
        <v>2022-07-04T11:11:14.004Z</v>
      </c>
      <c r="K315" s="1"/>
    </row>
    <row r="316">
      <c r="A316" s="2" t="str">
        <f>IFERROR(__xludf.DUMMYFUNCTION("""COMPUTED_VALUE"""),"https://www.facebook.com/joyceanne.payad")</f>
        <v>https://www.facebook.com/joyceanne.payad</v>
      </c>
      <c r="B316" s="1" t="str">
        <f>IFERROR(__xludf.DUMMYFUNCTION("""COMPUTED_VALUE"""),"Joyce Anne Payad")</f>
        <v>Joyce Anne Payad</v>
      </c>
      <c r="C316" s="1" t="str">
        <f>IFERROR(__xludf.DUMMYFUNCTION("""COMPUTED_VALUE"""),"Joyce")</f>
        <v>Joyce</v>
      </c>
      <c r="D316" s="1" t="str">
        <f>IFERROR(__xludf.DUMMYFUNCTION("""COMPUTED_VALUE"""),"Anne Payad")</f>
        <v>Anne Payad</v>
      </c>
      <c r="E316" s="1" t="str">
        <f>IFERROR(__xludf.DUMMYFUNCTION("""COMPUTED_VALUE"""),"#10 sa balota")</f>
        <v>#10 sa balota</v>
      </c>
      <c r="F316" s="1">
        <f>IFERROR(__xludf.DUMMYFUNCTION("""COMPUTED_VALUE"""),3.0)</f>
        <v>3</v>
      </c>
      <c r="G316" s="1" t="str">
        <f>IFERROR(__xludf.DUMMYFUNCTION("""COMPUTED_VALUE"""),"3 mos")</f>
        <v>3 mos</v>
      </c>
      <c r="H316" s="1" t="str">
        <f>IFERROR(__xludf.DUMMYFUNCTION("""COMPUTED_VALUE"""),"comment")</f>
        <v>comment</v>
      </c>
      <c r="I316" s="2" t="str">
        <f>IFERROR(__xludf.DUMMYFUNCTION("""COMPUTED_VALUE"""),"https://www.facebook.com/rapplerdotcom/photos/a.317154781638645/5597874143566656")</f>
        <v>https://www.facebook.com/rapplerdotcom/photos/a.317154781638645/5597874143566656</v>
      </c>
      <c r="J316" s="1" t="str">
        <f>IFERROR(__xludf.DUMMYFUNCTION("""COMPUTED_VALUE"""),"2022-07-04T11:11:14.004Z")</f>
        <v>2022-07-04T11:11:14.004Z</v>
      </c>
      <c r="K316" s="1"/>
    </row>
    <row r="317">
      <c r="A317" s="2" t="str">
        <f>IFERROR(__xludf.DUMMYFUNCTION("""COMPUTED_VALUE"""),"https://www.facebook.com/jacqueline.sumer.5")</f>
        <v>https://www.facebook.com/jacqueline.sumer.5</v>
      </c>
      <c r="B317" s="1" t="str">
        <f>IFERROR(__xludf.DUMMYFUNCTION("""COMPUTED_VALUE"""),"Josie Valdez")</f>
        <v>Josie Valdez</v>
      </c>
      <c r="C317" s="1" t="str">
        <f>IFERROR(__xludf.DUMMYFUNCTION("""COMPUTED_VALUE"""),"Josie")</f>
        <v>Josie</v>
      </c>
      <c r="D317" s="1" t="str">
        <f>IFERROR(__xludf.DUMMYFUNCTION("""COMPUTED_VALUE"""),"Valdez")</f>
        <v>Valdez</v>
      </c>
      <c r="E317" s="1" t="str">
        <f>IFERROR(__xludf.DUMMYFUNCTION("""COMPUTED_VALUE"""),"Joyce Anne Payad yes #7 😍 💖 ❤")</f>
        <v>Joyce Anne Payad yes #7 😍 💖 ❤</v>
      </c>
      <c r="F317" s="1"/>
      <c r="G317" s="1" t="str">
        <f>IFERROR(__xludf.DUMMYFUNCTION("""COMPUTED_VALUE"""),"3 mos")</f>
        <v>3 mos</v>
      </c>
      <c r="H317" s="1" t="str">
        <f>IFERROR(__xludf.DUMMYFUNCTION("""COMPUTED_VALUE"""),"reply")</f>
        <v>reply</v>
      </c>
      <c r="I317" s="2" t="str">
        <f>IFERROR(__xludf.DUMMYFUNCTION("""COMPUTED_VALUE"""),"https://www.facebook.com/rapplerdotcom/photos/a.317154781638645/5597874143566656")</f>
        <v>https://www.facebook.com/rapplerdotcom/photos/a.317154781638645/5597874143566656</v>
      </c>
      <c r="J317" s="1" t="str">
        <f>IFERROR(__xludf.DUMMYFUNCTION("""COMPUTED_VALUE"""),"2022-07-04T11:11:14.004Z")</f>
        <v>2022-07-04T11:11:14.004Z</v>
      </c>
      <c r="K317" s="1"/>
    </row>
    <row r="318">
      <c r="A318" s="2" t="str">
        <f>IFERROR(__xludf.DUMMYFUNCTION("""COMPUTED_VALUE"""),"https://www.facebook.com/charmee.mccartney")</f>
        <v>https://www.facebook.com/charmee.mccartney</v>
      </c>
      <c r="B318" s="1" t="str">
        <f>IFERROR(__xludf.DUMMYFUNCTION("""COMPUTED_VALUE"""),"Zeal F Ribay")</f>
        <v>Zeal F Ribay</v>
      </c>
      <c r="C318" s="1" t="str">
        <f>IFERROR(__xludf.DUMMYFUNCTION("""COMPUTED_VALUE"""),"Zeal")</f>
        <v>Zeal</v>
      </c>
      <c r="D318" s="1" t="str">
        <f>IFERROR(__xludf.DUMMYFUNCTION("""COMPUTED_VALUE"""),"F Ribay")</f>
        <v>F Ribay</v>
      </c>
      <c r="E318" s="1" t="str">
        <f>IFERROR(__xludf.DUMMYFUNCTION("""COMPUTED_VALUE"""),"Bigte kna")</f>
        <v>Bigte kna</v>
      </c>
      <c r="F318" s="1">
        <f>IFERROR(__xludf.DUMMYFUNCTION("""COMPUTED_VALUE"""),1.0)</f>
        <v>1</v>
      </c>
      <c r="G318" s="1" t="str">
        <f>IFERROR(__xludf.DUMMYFUNCTION("""COMPUTED_VALUE"""),"3 mos")</f>
        <v>3 mos</v>
      </c>
      <c r="H318" s="1" t="str">
        <f>IFERROR(__xludf.DUMMYFUNCTION("""COMPUTED_VALUE"""),"comment")</f>
        <v>comment</v>
      </c>
      <c r="I318" s="2" t="str">
        <f>IFERROR(__xludf.DUMMYFUNCTION("""COMPUTED_VALUE"""),"https://www.facebook.com/rapplerdotcom/photos/a.317154781638645/5597874143566656")</f>
        <v>https://www.facebook.com/rapplerdotcom/photos/a.317154781638645/5597874143566656</v>
      </c>
      <c r="J318" s="1" t="str">
        <f>IFERROR(__xludf.DUMMYFUNCTION("""COMPUTED_VALUE"""),"2022-07-04T11:11:14.004Z")</f>
        <v>2022-07-04T11:11:14.004Z</v>
      </c>
      <c r="K318" s="1"/>
    </row>
    <row r="319">
      <c r="A319" s="2" t="str">
        <f>IFERROR(__xludf.DUMMYFUNCTION("""COMPUTED_VALUE"""),"https://www.facebook.com/roijohnsare0117")</f>
        <v>https://www.facebook.com/roijohnsare0117</v>
      </c>
      <c r="B319" s="1" t="str">
        <f>IFERROR(__xludf.DUMMYFUNCTION("""COMPUTED_VALUE"""),"Roijohn Sare")</f>
        <v>Roijohn Sare</v>
      </c>
      <c r="C319" s="1" t="str">
        <f>IFERROR(__xludf.DUMMYFUNCTION("""COMPUTED_VALUE"""),"Roijohn")</f>
        <v>Roijohn</v>
      </c>
      <c r="D319" s="1" t="str">
        <f>IFERROR(__xludf.DUMMYFUNCTION("""COMPUTED_VALUE"""),"Sare")</f>
        <v>Sare</v>
      </c>
      <c r="E319" s="1" t="str">
        <f>IFERROR(__xludf.DUMMYFUNCTION("""COMPUTED_VALUE"""),"Hahaha in pootaaa")</f>
        <v>Hahaha in pootaaa</v>
      </c>
      <c r="F319" s="1"/>
      <c r="G319" s="1" t="str">
        <f>IFERROR(__xludf.DUMMYFUNCTION("""COMPUTED_VALUE"""),"3 mos")</f>
        <v>3 mos</v>
      </c>
      <c r="H319" s="1" t="str">
        <f>IFERROR(__xludf.DUMMYFUNCTION("""COMPUTED_VALUE"""),"comment")</f>
        <v>comment</v>
      </c>
      <c r="I319" s="2" t="str">
        <f>IFERROR(__xludf.DUMMYFUNCTION("""COMPUTED_VALUE"""),"https://www.facebook.com/rapplerdotcom/photos/a.317154781638645/5597874143566656")</f>
        <v>https://www.facebook.com/rapplerdotcom/photos/a.317154781638645/5597874143566656</v>
      </c>
      <c r="J319" s="1" t="str">
        <f>IFERROR(__xludf.DUMMYFUNCTION("""COMPUTED_VALUE"""),"2022-07-04T11:11:14.004Z")</f>
        <v>2022-07-04T11:11:14.004Z</v>
      </c>
      <c r="K319" s="1"/>
    </row>
    <row r="320">
      <c r="A320" s="2" t="str">
        <f>IFERROR(__xludf.DUMMYFUNCTION("""COMPUTED_VALUE"""),"https://www.facebook.com/jacqueline.reynado")</f>
        <v>https://www.facebook.com/jacqueline.reynado</v>
      </c>
      <c r="B320" s="1" t="str">
        <f>IFERROR(__xludf.DUMMYFUNCTION("""COMPUTED_VALUE"""),"Jac Que Line")</f>
        <v>Jac Que Line</v>
      </c>
      <c r="C320" s="1" t="str">
        <f>IFERROR(__xludf.DUMMYFUNCTION("""COMPUTED_VALUE"""),"Jac")</f>
        <v>Jac</v>
      </c>
      <c r="D320" s="1" t="str">
        <f>IFERROR(__xludf.DUMMYFUNCTION("""COMPUTED_VALUE"""),"Que Line")</f>
        <v>Que Line</v>
      </c>
      <c r="E320" s="1" t="str">
        <f>IFERROR(__xludf.DUMMYFUNCTION("""COMPUTED_VALUE"""),"Inggit.. Iyak")</f>
        <v>Inggit.. Iyak</v>
      </c>
      <c r="F320" s="1">
        <f>IFERROR(__xludf.DUMMYFUNCTION("""COMPUTED_VALUE"""),2.0)</f>
        <v>2</v>
      </c>
      <c r="G320" s="1" t="str">
        <f>IFERROR(__xludf.DUMMYFUNCTION("""COMPUTED_VALUE"""),"3 mos")</f>
        <v>3 mos</v>
      </c>
      <c r="H320" s="1" t="str">
        <f>IFERROR(__xludf.DUMMYFUNCTION("""COMPUTED_VALUE"""),"comment")</f>
        <v>comment</v>
      </c>
      <c r="I320" s="2" t="str">
        <f>IFERROR(__xludf.DUMMYFUNCTION("""COMPUTED_VALUE"""),"https://www.facebook.com/rapplerdotcom/photos/a.317154781638645/5597874143566656")</f>
        <v>https://www.facebook.com/rapplerdotcom/photos/a.317154781638645/5597874143566656</v>
      </c>
      <c r="J320" s="1" t="str">
        <f>IFERROR(__xludf.DUMMYFUNCTION("""COMPUTED_VALUE"""),"2022-07-04T11:11:14.004Z")</f>
        <v>2022-07-04T11:11:14.004Z</v>
      </c>
      <c r="K320" s="1"/>
    </row>
    <row r="321">
      <c r="A321" s="2" t="str">
        <f>IFERROR(__xludf.DUMMYFUNCTION("""COMPUTED_VALUE"""),"https://www.facebook.com/haissam.suarez")</f>
        <v>https://www.facebook.com/haissam.suarez</v>
      </c>
      <c r="B321" s="1" t="str">
        <f>IFERROR(__xludf.DUMMYFUNCTION("""COMPUTED_VALUE"""),"Haissam Suarez")</f>
        <v>Haissam Suarez</v>
      </c>
      <c r="C321" s="1" t="str">
        <f>IFERROR(__xludf.DUMMYFUNCTION("""COMPUTED_VALUE"""),"Haissam")</f>
        <v>Haissam</v>
      </c>
      <c r="D321" s="1" t="str">
        <f>IFERROR(__xludf.DUMMYFUNCTION("""COMPUTED_VALUE"""),"Suarez")</f>
        <v>Suarez</v>
      </c>
      <c r="E321" s="1" t="str">
        <f>IFERROR(__xludf.DUMMYFUNCTION("""COMPUTED_VALUE"""),"Eikcaj Etnadnarom Odanyer affected? Iyak kna rin.")</f>
        <v>Eikcaj Etnadnarom Odanyer affected? Iyak kna rin.</v>
      </c>
      <c r="F321" s="1"/>
      <c r="G321" s="1" t="str">
        <f>IFERROR(__xludf.DUMMYFUNCTION("""COMPUTED_VALUE"""),"3 mos")</f>
        <v>3 mos</v>
      </c>
      <c r="H321" s="1" t="str">
        <f>IFERROR(__xludf.DUMMYFUNCTION("""COMPUTED_VALUE"""),"reply")</f>
        <v>reply</v>
      </c>
      <c r="I321" s="2" t="str">
        <f>IFERROR(__xludf.DUMMYFUNCTION("""COMPUTED_VALUE"""),"https://www.facebook.com/rapplerdotcom/photos/a.317154781638645/5597874143566656")</f>
        <v>https://www.facebook.com/rapplerdotcom/photos/a.317154781638645/5597874143566656</v>
      </c>
      <c r="J321" s="1" t="str">
        <f>IFERROR(__xludf.DUMMYFUNCTION("""COMPUTED_VALUE"""),"2022-07-04T11:11:14.004Z")</f>
        <v>2022-07-04T11:11:14.004Z</v>
      </c>
      <c r="K321" s="1"/>
    </row>
    <row r="322">
      <c r="A322" s="2" t="str">
        <f>IFERROR(__xludf.DUMMYFUNCTION("""COMPUTED_VALUE"""),"https://www.facebook.com/jacqueline.reynado")</f>
        <v>https://www.facebook.com/jacqueline.reynado</v>
      </c>
      <c r="B322" s="1" t="str">
        <f>IFERROR(__xludf.DUMMYFUNCTION("""COMPUTED_VALUE"""),"Jac Que Line")</f>
        <v>Jac Que Line</v>
      </c>
      <c r="C322" s="1" t="str">
        <f>IFERROR(__xludf.DUMMYFUNCTION("""COMPUTED_VALUE"""),"Jac")</f>
        <v>Jac</v>
      </c>
      <c r="D322" s="1" t="str">
        <f>IFERROR(__xludf.DUMMYFUNCTION("""COMPUTED_VALUE"""),"Que Line")</f>
        <v>Que Line</v>
      </c>
      <c r="E322" s="1" t="str">
        <f>IFERROR(__xludf.DUMMYFUNCTION("""COMPUTED_VALUE"""),"Haissam Suarez iyak ka pag nana mo matalo ir madisqualify😂😂")</f>
        <v>Haissam Suarez iyak ka pag nana mo matalo ir madisqualify😂😂</v>
      </c>
      <c r="F322" s="1"/>
      <c r="G322" s="1" t="str">
        <f>IFERROR(__xludf.DUMMYFUNCTION("""COMPUTED_VALUE"""),"3 mos")</f>
        <v>3 mos</v>
      </c>
      <c r="H322" s="1" t="str">
        <f>IFERROR(__xludf.DUMMYFUNCTION("""COMPUTED_VALUE"""),"reply")</f>
        <v>reply</v>
      </c>
      <c r="I322" s="2" t="str">
        <f>IFERROR(__xludf.DUMMYFUNCTION("""COMPUTED_VALUE"""),"https://www.facebook.com/rapplerdotcom/photos/a.317154781638645/5597874143566656")</f>
        <v>https://www.facebook.com/rapplerdotcom/photos/a.317154781638645/5597874143566656</v>
      </c>
      <c r="J322" s="1" t="str">
        <f>IFERROR(__xludf.DUMMYFUNCTION("""COMPUTED_VALUE"""),"2022-07-04T11:11:14.004Z")</f>
        <v>2022-07-04T11:11:14.004Z</v>
      </c>
      <c r="K322" s="1"/>
    </row>
    <row r="323">
      <c r="A323" s="2" t="str">
        <f>IFERROR(__xludf.DUMMYFUNCTION("""COMPUTED_VALUE"""),"https://www.facebook.com/profile.php?id=100070946473573")</f>
        <v>https://www.facebook.com/profile.php?id=100070946473573</v>
      </c>
      <c r="B323" s="1" t="str">
        <f>IFERROR(__xludf.DUMMYFUNCTION("""COMPUTED_VALUE"""),"Jun Ske")</f>
        <v>Jun Ske</v>
      </c>
      <c r="C323" s="1" t="str">
        <f>IFERROR(__xludf.DUMMYFUNCTION("""COMPUTED_VALUE"""),"Jun")</f>
        <v>Jun</v>
      </c>
      <c r="D323" s="1" t="str">
        <f>IFERROR(__xludf.DUMMYFUNCTION("""COMPUTED_VALUE"""),"Ske")</f>
        <v>Ske</v>
      </c>
      <c r="E323" s="1" t="str">
        <f>IFERROR(__xludf.DUMMYFUNCTION("""COMPUTED_VALUE"""),"sige. laitin niyo pa hanggang sa lumalakas siya... 😂")</f>
        <v>sige. laitin niyo pa hanggang sa lumalakas siya... 😂</v>
      </c>
      <c r="F323" s="1"/>
      <c r="G323" s="1" t="str">
        <f>IFERROR(__xludf.DUMMYFUNCTION("""COMPUTED_VALUE"""),"3 mos")</f>
        <v>3 mos</v>
      </c>
      <c r="H323" s="1" t="str">
        <f>IFERROR(__xludf.DUMMYFUNCTION("""COMPUTED_VALUE"""),"comment")</f>
        <v>comment</v>
      </c>
      <c r="I323" s="2" t="str">
        <f>IFERROR(__xludf.DUMMYFUNCTION("""COMPUTED_VALUE"""),"https://www.facebook.com/rapplerdotcom/photos/a.317154781638645/5597874143566656")</f>
        <v>https://www.facebook.com/rapplerdotcom/photos/a.317154781638645/5597874143566656</v>
      </c>
      <c r="J323" s="1" t="str">
        <f>IFERROR(__xludf.DUMMYFUNCTION("""COMPUTED_VALUE"""),"2022-07-04T11:11:14.004Z")</f>
        <v>2022-07-04T11:11:14.004Z</v>
      </c>
      <c r="K323" s="1"/>
    </row>
    <row r="324">
      <c r="A324" s="2" t="str">
        <f>IFERROR(__xludf.DUMMYFUNCTION("""COMPUTED_VALUE"""),"https://www.facebook.com/dexter.pavia")</f>
        <v>https://www.facebook.com/dexter.pavia</v>
      </c>
      <c r="B324" s="1" t="str">
        <f>IFERROR(__xludf.DUMMYFUNCTION("""COMPUTED_VALUE"""),"Dexter Pavia")</f>
        <v>Dexter Pavia</v>
      </c>
      <c r="C324" s="1" t="str">
        <f>IFERROR(__xludf.DUMMYFUNCTION("""COMPUTED_VALUE"""),"Dexter")</f>
        <v>Dexter</v>
      </c>
      <c r="D324" s="1" t="str">
        <f>IFERROR(__xludf.DUMMYFUNCTION("""COMPUTED_VALUE"""),"Pavia")</f>
        <v>Pavia</v>
      </c>
      <c r="E324" s="1" t="str">
        <f>IFERROR(__xludf.DUMMYFUNCTION("""COMPUTED_VALUE"""),"Dexter Pavia")</f>
        <v>Dexter Pavia</v>
      </c>
      <c r="F324" s="1"/>
      <c r="G324" s="1" t="str">
        <f>IFERROR(__xludf.DUMMYFUNCTION("""COMPUTED_VALUE"""),"3 mos")</f>
        <v>3 mos</v>
      </c>
      <c r="H324" s="1" t="str">
        <f>IFERROR(__xludf.DUMMYFUNCTION("""COMPUTED_VALUE"""),"comment")</f>
        <v>comment</v>
      </c>
      <c r="I324" s="2" t="str">
        <f>IFERROR(__xludf.DUMMYFUNCTION("""COMPUTED_VALUE"""),"https://www.facebook.com/rapplerdotcom/photos/a.317154781638645/5597874143566656")</f>
        <v>https://www.facebook.com/rapplerdotcom/photos/a.317154781638645/5597874143566656</v>
      </c>
      <c r="J324" s="1" t="str">
        <f>IFERROR(__xludf.DUMMYFUNCTION("""COMPUTED_VALUE"""),"2022-07-04T11:11:14.004Z")</f>
        <v>2022-07-04T11:11:14.004Z</v>
      </c>
      <c r="K324" s="1"/>
    </row>
    <row r="325">
      <c r="A325" s="2" t="str">
        <f>IFERROR(__xludf.DUMMYFUNCTION("""COMPUTED_VALUE"""),"https://www.facebook.com/edson.l.sion")</f>
        <v>https://www.facebook.com/edson.l.sion</v>
      </c>
      <c r="B325" s="1" t="str">
        <f>IFERROR(__xludf.DUMMYFUNCTION("""COMPUTED_VALUE"""),"Levi Sion")</f>
        <v>Levi Sion</v>
      </c>
      <c r="C325" s="1" t="str">
        <f>IFERROR(__xludf.DUMMYFUNCTION("""COMPUTED_VALUE"""),"Levi")</f>
        <v>Levi</v>
      </c>
      <c r="D325" s="1" t="str">
        <f>IFERROR(__xludf.DUMMYFUNCTION("""COMPUTED_VALUE"""),"Sion")</f>
        <v>Sion</v>
      </c>
      <c r="E325" s="1" t="str">
        <f>IFERROR(__xludf.DUMMYFUNCTION("""COMPUTED_VALUE"""),"Levi Sion")</f>
        <v>Levi Sion</v>
      </c>
      <c r="F325" s="1"/>
      <c r="G325" s="1" t="str">
        <f>IFERROR(__xludf.DUMMYFUNCTION("""COMPUTED_VALUE"""),"3 mos")</f>
        <v>3 mos</v>
      </c>
      <c r="H325" s="1" t="str">
        <f>IFERROR(__xludf.DUMMYFUNCTION("""COMPUTED_VALUE"""),"comment")</f>
        <v>comment</v>
      </c>
      <c r="I325" s="2" t="str">
        <f>IFERROR(__xludf.DUMMYFUNCTION("""COMPUTED_VALUE"""),"https://www.facebook.com/rapplerdotcom/photos/a.317154781638645/5597874143566656")</f>
        <v>https://www.facebook.com/rapplerdotcom/photos/a.317154781638645/5597874143566656</v>
      </c>
      <c r="J325" s="1" t="str">
        <f>IFERROR(__xludf.DUMMYFUNCTION("""COMPUTED_VALUE"""),"2022-07-04T11:11:14.004Z")</f>
        <v>2022-07-04T11:11:14.004Z</v>
      </c>
      <c r="K325" s="1"/>
    </row>
    <row r="326">
      <c r="A326" s="2" t="str">
        <f>IFERROR(__xludf.DUMMYFUNCTION("""COMPUTED_VALUE"""),"https://www.facebook.com/inocando.arnold")</f>
        <v>https://www.facebook.com/inocando.arnold</v>
      </c>
      <c r="B326" s="1" t="str">
        <f>IFERROR(__xludf.DUMMYFUNCTION("""COMPUTED_VALUE"""),"Inocando Arnold")</f>
        <v>Inocando Arnold</v>
      </c>
      <c r="C326" s="1" t="str">
        <f>IFERROR(__xludf.DUMMYFUNCTION("""COMPUTED_VALUE"""),"Inocando")</f>
        <v>Inocando</v>
      </c>
      <c r="D326" s="1" t="str">
        <f>IFERROR(__xludf.DUMMYFUNCTION("""COMPUTED_VALUE"""),"Arnold")</f>
        <v>Arnold</v>
      </c>
      <c r="E326" s="1" t="str">
        <f>IFERROR(__xludf.DUMMYFUNCTION("""COMPUTED_VALUE"""),"Inocando Arnold")</f>
        <v>Inocando Arnold</v>
      </c>
      <c r="F326" s="1"/>
      <c r="G326" s="1" t="str">
        <f>IFERROR(__xludf.DUMMYFUNCTION("""COMPUTED_VALUE"""),"3 mos")</f>
        <v>3 mos</v>
      </c>
      <c r="H326" s="1" t="str">
        <f>IFERROR(__xludf.DUMMYFUNCTION("""COMPUTED_VALUE"""),"comment")</f>
        <v>comment</v>
      </c>
      <c r="I326" s="2" t="str">
        <f>IFERROR(__xludf.DUMMYFUNCTION("""COMPUTED_VALUE"""),"https://www.facebook.com/rapplerdotcom/photos/a.317154781638645/5597874143566656")</f>
        <v>https://www.facebook.com/rapplerdotcom/photos/a.317154781638645/5597874143566656</v>
      </c>
      <c r="J326" s="1" t="str">
        <f>IFERROR(__xludf.DUMMYFUNCTION("""COMPUTED_VALUE"""),"2022-07-04T11:11:14.004Z")</f>
        <v>2022-07-04T11:11:14.004Z</v>
      </c>
      <c r="K326" s="1"/>
    </row>
    <row r="327">
      <c r="A327" s="2" t="str">
        <f>IFERROR(__xludf.DUMMYFUNCTION("""COMPUTED_VALUE"""),"https://www.facebook.com/maryrose.dizon.718")</f>
        <v>https://www.facebook.com/maryrose.dizon.718</v>
      </c>
      <c r="B327" s="1" t="str">
        <f>IFERROR(__xludf.DUMMYFUNCTION("""COMPUTED_VALUE"""),"MaryRose M Dizon")</f>
        <v>MaryRose M Dizon</v>
      </c>
      <c r="C327" s="1" t="str">
        <f>IFERROR(__xludf.DUMMYFUNCTION("""COMPUTED_VALUE"""),"MaryRose")</f>
        <v>MaryRose</v>
      </c>
      <c r="D327" s="1" t="str">
        <f>IFERROR(__xludf.DUMMYFUNCTION("""COMPUTED_VALUE"""),"M Dizon")</f>
        <v>M Dizon</v>
      </c>
      <c r="E327" s="1" t="str">
        <f>IFERROR(__xludf.DUMMYFUNCTION("""COMPUTED_VALUE"""),"AYSUS")</f>
        <v>AYSUS</v>
      </c>
      <c r="F327" s="1"/>
      <c r="G327" s="1" t="str">
        <f>IFERROR(__xludf.DUMMYFUNCTION("""COMPUTED_VALUE"""),"3 mos")</f>
        <v>3 mos</v>
      </c>
      <c r="H327" s="1" t="str">
        <f>IFERROR(__xludf.DUMMYFUNCTION("""COMPUTED_VALUE"""),"comment")</f>
        <v>comment</v>
      </c>
      <c r="I327" s="2" t="str">
        <f>IFERROR(__xludf.DUMMYFUNCTION("""COMPUTED_VALUE"""),"https://www.facebook.com/rapplerdotcom/photos/a.317154781638645/5597874143566656")</f>
        <v>https://www.facebook.com/rapplerdotcom/photos/a.317154781638645/5597874143566656</v>
      </c>
      <c r="J327" s="1" t="str">
        <f>IFERROR(__xludf.DUMMYFUNCTION("""COMPUTED_VALUE"""),"2022-07-04T11:11:14.004Z")</f>
        <v>2022-07-04T11:11:14.004Z</v>
      </c>
      <c r="K327" s="1"/>
    </row>
    <row r="328">
      <c r="A328" s="2" t="str">
        <f>IFERROR(__xludf.DUMMYFUNCTION("""COMPUTED_VALUE"""),"https://www.facebook.com/reynold.galamiton")</f>
        <v>https://www.facebook.com/reynold.galamiton</v>
      </c>
      <c r="B328" s="1" t="str">
        <f>IFERROR(__xludf.DUMMYFUNCTION("""COMPUTED_VALUE"""),"Red Reynold Galamiton")</f>
        <v>Red Reynold Galamiton</v>
      </c>
      <c r="C328" s="1" t="str">
        <f>IFERROR(__xludf.DUMMYFUNCTION("""COMPUTED_VALUE"""),"Red")</f>
        <v>Red</v>
      </c>
      <c r="D328" s="1" t="str">
        <f>IFERROR(__xludf.DUMMYFUNCTION("""COMPUTED_VALUE"""),"Reynold Galamiton")</f>
        <v>Reynold Galamiton</v>
      </c>
      <c r="E328" s="1" t="str">
        <f>IFERROR(__xludf.DUMMYFUNCTION("""COMPUTED_VALUE"""),"Inggit pikit!")</f>
        <v>Inggit pikit!</v>
      </c>
      <c r="F328" s="1">
        <f>IFERROR(__xludf.DUMMYFUNCTION("""COMPUTED_VALUE"""),1.0)</f>
        <v>1</v>
      </c>
      <c r="G328" s="1" t="str">
        <f>IFERROR(__xludf.DUMMYFUNCTION("""COMPUTED_VALUE"""),"3 mos")</f>
        <v>3 mos</v>
      </c>
      <c r="H328" s="1" t="str">
        <f>IFERROR(__xludf.DUMMYFUNCTION("""COMPUTED_VALUE"""),"comment")</f>
        <v>comment</v>
      </c>
      <c r="I328" s="2" t="str">
        <f>IFERROR(__xludf.DUMMYFUNCTION("""COMPUTED_VALUE"""),"https://www.facebook.com/rapplerdotcom/photos/a.317154781638645/5597874143566656")</f>
        <v>https://www.facebook.com/rapplerdotcom/photos/a.317154781638645/5597874143566656</v>
      </c>
      <c r="J328" s="1" t="str">
        <f>IFERROR(__xludf.DUMMYFUNCTION("""COMPUTED_VALUE"""),"2022-07-04T11:11:14.004Z")</f>
        <v>2022-07-04T11:11:14.004Z</v>
      </c>
      <c r="K328" s="1"/>
    </row>
    <row r="329">
      <c r="A329" s="2" t="str">
        <f>IFERROR(__xludf.DUMMYFUNCTION("""COMPUTED_VALUE"""),"https://www.facebook.com/ricardo.borja.908")</f>
        <v>https://www.facebook.com/ricardo.borja.908</v>
      </c>
      <c r="B329" s="1" t="str">
        <f>IFERROR(__xludf.DUMMYFUNCTION("""COMPUTED_VALUE"""),"Ricardo Borja")</f>
        <v>Ricardo Borja</v>
      </c>
      <c r="C329" s="1" t="str">
        <f>IFERROR(__xludf.DUMMYFUNCTION("""COMPUTED_VALUE"""),"Ricardo")</f>
        <v>Ricardo</v>
      </c>
      <c r="D329" s="1" t="str">
        <f>IFERROR(__xludf.DUMMYFUNCTION("""COMPUTED_VALUE"""),"Borja")</f>
        <v>Borja</v>
      </c>
      <c r="E329" s="1" t="str">
        <f>IFERROR(__xludf.DUMMYFUNCTION("""COMPUTED_VALUE"""),"Ricardo Borja")</f>
        <v>Ricardo Borja</v>
      </c>
      <c r="F329" s="1"/>
      <c r="G329" s="1" t="str">
        <f>IFERROR(__xludf.DUMMYFUNCTION("""COMPUTED_VALUE"""),"3 mos")</f>
        <v>3 mos</v>
      </c>
      <c r="H329" s="1" t="str">
        <f>IFERROR(__xludf.DUMMYFUNCTION("""COMPUTED_VALUE"""),"comment")</f>
        <v>comment</v>
      </c>
      <c r="I329" s="2" t="str">
        <f>IFERROR(__xludf.DUMMYFUNCTION("""COMPUTED_VALUE"""),"https://www.facebook.com/rapplerdotcom/photos/a.317154781638645/5597874143566656")</f>
        <v>https://www.facebook.com/rapplerdotcom/photos/a.317154781638645/5597874143566656</v>
      </c>
      <c r="J329" s="1" t="str">
        <f>IFERROR(__xludf.DUMMYFUNCTION("""COMPUTED_VALUE"""),"2022-07-04T11:11:14.004Z")</f>
        <v>2022-07-04T11:11:14.004Z</v>
      </c>
      <c r="K329" s="1"/>
    </row>
    <row r="330">
      <c r="A330" s="2" t="str">
        <f>IFERROR(__xludf.DUMMYFUNCTION("""COMPUTED_VALUE"""),"https://www.facebook.com/wrollee018")</f>
        <v>https://www.facebook.com/wrollee018</v>
      </c>
      <c r="B330" s="1" t="str">
        <f>IFERROR(__xludf.DUMMYFUNCTION("""COMPUTED_VALUE"""),"Rolly Garcia Cuasay")</f>
        <v>Rolly Garcia Cuasay</v>
      </c>
      <c r="C330" s="1" t="str">
        <f>IFERROR(__xludf.DUMMYFUNCTION("""COMPUTED_VALUE"""),"Rolly")</f>
        <v>Rolly</v>
      </c>
      <c r="D330" s="1" t="str">
        <f>IFERROR(__xludf.DUMMYFUNCTION("""COMPUTED_VALUE"""),"Garcia Cuasay")</f>
        <v>Garcia Cuasay</v>
      </c>
      <c r="E330" s="1" t="str">
        <f>IFERROR(__xludf.DUMMYFUNCTION("""COMPUTED_VALUE"""),"Iyaakkkk")</f>
        <v>Iyaakkkk</v>
      </c>
      <c r="F330" s="1"/>
      <c r="G330" s="1" t="str">
        <f>IFERROR(__xludf.DUMMYFUNCTION("""COMPUTED_VALUE"""),"3 mos")</f>
        <v>3 mos</v>
      </c>
      <c r="H330" s="1" t="str">
        <f>IFERROR(__xludf.DUMMYFUNCTION("""COMPUTED_VALUE"""),"comment")</f>
        <v>comment</v>
      </c>
      <c r="I330" s="2" t="str">
        <f>IFERROR(__xludf.DUMMYFUNCTION("""COMPUTED_VALUE"""),"https://www.facebook.com/rapplerdotcom/photos/a.317154781638645/5597874143566656")</f>
        <v>https://www.facebook.com/rapplerdotcom/photos/a.317154781638645/5597874143566656</v>
      </c>
      <c r="J330" s="1" t="str">
        <f>IFERROR(__xludf.DUMMYFUNCTION("""COMPUTED_VALUE"""),"2022-07-04T11:11:14.004Z")</f>
        <v>2022-07-04T11:11:14.004Z</v>
      </c>
      <c r="K330" s="1"/>
    </row>
    <row r="331">
      <c r="A331" s="2" t="str">
        <f>IFERROR(__xludf.DUMMYFUNCTION("""COMPUTED_VALUE"""),"https://www.facebook.com/jonsibalasi")</f>
        <v>https://www.facebook.com/jonsibalasi</v>
      </c>
      <c r="B331" s="1" t="str">
        <f>IFERROR(__xludf.DUMMYFUNCTION("""COMPUTED_VALUE"""),"Tambaoan T. Jonathan")</f>
        <v>Tambaoan T. Jonathan</v>
      </c>
      <c r="C331" s="1" t="str">
        <f>IFERROR(__xludf.DUMMYFUNCTION("""COMPUTED_VALUE"""),"Tambaoan")</f>
        <v>Tambaoan</v>
      </c>
      <c r="D331" s="1" t="str">
        <f>IFERROR(__xludf.DUMMYFUNCTION("""COMPUTED_VALUE"""),"T. Jonathan")</f>
        <v>T. Jonathan</v>
      </c>
      <c r="E331" s="1" t="str">
        <f>IFERROR(__xludf.DUMMYFUNCTION("""COMPUTED_VALUE"""),"Bughaw ang mananalo")</f>
        <v>Bughaw ang mananalo</v>
      </c>
      <c r="F331" s="1"/>
      <c r="G331" s="1" t="str">
        <f>IFERROR(__xludf.DUMMYFUNCTION("""COMPUTED_VALUE"""),"3 mos")</f>
        <v>3 mos</v>
      </c>
      <c r="H331" s="1" t="str">
        <f>IFERROR(__xludf.DUMMYFUNCTION("""COMPUTED_VALUE"""),"comment")</f>
        <v>comment</v>
      </c>
      <c r="I331" s="2" t="str">
        <f>IFERROR(__xludf.DUMMYFUNCTION("""COMPUTED_VALUE"""),"https://www.facebook.com/rapplerdotcom/photos/a.317154781638645/5597874143566656")</f>
        <v>https://www.facebook.com/rapplerdotcom/photos/a.317154781638645/5597874143566656</v>
      </c>
      <c r="J331" s="1" t="str">
        <f>IFERROR(__xludf.DUMMYFUNCTION("""COMPUTED_VALUE"""),"2022-07-04T11:11:14.004Z")</f>
        <v>2022-07-04T11:11:14.004Z</v>
      </c>
      <c r="K331" s="1"/>
    </row>
    <row r="332">
      <c r="A332" s="2" t="str">
        <f>IFERROR(__xludf.DUMMYFUNCTION("""COMPUTED_VALUE"""),"https://www.facebook.com/Itz.me.leo.reyes")</f>
        <v>https://www.facebook.com/Itz.me.leo.reyes</v>
      </c>
      <c r="B332" s="1" t="str">
        <f>IFERROR(__xludf.DUMMYFUNCTION("""COMPUTED_VALUE"""),"Leo Disio Reyes")</f>
        <v>Leo Disio Reyes</v>
      </c>
      <c r="C332" s="1" t="str">
        <f>IFERROR(__xludf.DUMMYFUNCTION("""COMPUTED_VALUE"""),"Leo")</f>
        <v>Leo</v>
      </c>
      <c r="D332" s="1" t="str">
        <f>IFERROR(__xludf.DUMMYFUNCTION("""COMPUTED_VALUE"""),"Disio Reyes")</f>
        <v>Disio Reyes</v>
      </c>
      <c r="E332" s="1" t="str">
        <f>IFERROR(__xludf.DUMMYFUNCTION("""COMPUTED_VALUE"""),"Palibhasa kc mga kakampwet wala non 🤣🤣")</f>
        <v>Palibhasa kc mga kakampwet wala non 🤣🤣</v>
      </c>
      <c r="F332" s="1"/>
      <c r="G332" s="1" t="str">
        <f>IFERROR(__xludf.DUMMYFUNCTION("""COMPUTED_VALUE"""),"3 mos")</f>
        <v>3 mos</v>
      </c>
      <c r="H332" s="1" t="str">
        <f>IFERROR(__xludf.DUMMYFUNCTION("""COMPUTED_VALUE"""),"comment")</f>
        <v>comment</v>
      </c>
      <c r="I332" s="2" t="str">
        <f>IFERROR(__xludf.DUMMYFUNCTION("""COMPUTED_VALUE"""),"https://www.facebook.com/rapplerdotcom/photos/a.317154781638645/5597874143566656")</f>
        <v>https://www.facebook.com/rapplerdotcom/photos/a.317154781638645/5597874143566656</v>
      </c>
      <c r="J332" s="1" t="str">
        <f>IFERROR(__xludf.DUMMYFUNCTION("""COMPUTED_VALUE"""),"2022-07-04T11:11:14.004Z")</f>
        <v>2022-07-04T11:11:14.004Z</v>
      </c>
      <c r="K332" s="1"/>
    </row>
    <row r="333">
      <c r="A333" s="2" t="str">
        <f>IFERROR(__xludf.DUMMYFUNCTION("""COMPUTED_VALUE"""),"https://www.facebook.com/zandra.lim.3")</f>
        <v>https://www.facebook.com/zandra.lim.3</v>
      </c>
      <c r="B333" s="1" t="str">
        <f>IFERROR(__xludf.DUMMYFUNCTION("""COMPUTED_VALUE"""),"Zee Lim")</f>
        <v>Zee Lim</v>
      </c>
      <c r="C333" s="1" t="str">
        <f>IFERROR(__xludf.DUMMYFUNCTION("""COMPUTED_VALUE"""),"Zee")</f>
        <v>Zee</v>
      </c>
      <c r="D333" s="1" t="str">
        <f>IFERROR(__xludf.DUMMYFUNCTION("""COMPUTED_VALUE"""),"Lim")</f>
        <v>Lim</v>
      </c>
      <c r="E333" s="1" t="str">
        <f>IFERROR(__xludf.DUMMYFUNCTION("""COMPUTED_VALUE"""),"#UniTeamBBMSARA ✌🇵🇭✌❤🤝💚💎")</f>
        <v>#UniTeamBBMSARA ✌🇵🇭✌❤🤝💚💎</v>
      </c>
      <c r="F333" s="1">
        <f>IFERROR(__xludf.DUMMYFUNCTION("""COMPUTED_VALUE"""),8.0)</f>
        <v>8</v>
      </c>
      <c r="G333" s="1" t="str">
        <f>IFERROR(__xludf.DUMMYFUNCTION("""COMPUTED_VALUE"""),"3 mos")</f>
        <v>3 mos</v>
      </c>
      <c r="H333" s="1" t="str">
        <f>IFERROR(__xludf.DUMMYFUNCTION("""COMPUTED_VALUE"""),"comment")</f>
        <v>comment</v>
      </c>
      <c r="I333" s="2" t="str">
        <f>IFERROR(__xludf.DUMMYFUNCTION("""COMPUTED_VALUE"""),"https://www.facebook.com/rapplerdotcom/photos/a.317154781638645/5597874143566656")</f>
        <v>https://www.facebook.com/rapplerdotcom/photos/a.317154781638645/5597874143566656</v>
      </c>
      <c r="J333" s="1" t="str">
        <f>IFERROR(__xludf.DUMMYFUNCTION("""COMPUTED_VALUE"""),"2022-07-04T11:11:14.004Z")</f>
        <v>2022-07-04T11:11:14.004Z</v>
      </c>
      <c r="K333" s="1"/>
    </row>
    <row r="334">
      <c r="A334" s="2" t="str">
        <f>IFERROR(__xludf.DUMMYFUNCTION("""COMPUTED_VALUE"""),"https://www.facebook.com/jeko.balaquidan")</f>
        <v>https://www.facebook.com/jeko.balaquidan</v>
      </c>
      <c r="B334" s="1" t="str">
        <f>IFERROR(__xludf.DUMMYFUNCTION("""COMPUTED_VALUE"""),"Jeko Balaquidan")</f>
        <v>Jeko Balaquidan</v>
      </c>
      <c r="C334" s="1" t="str">
        <f>IFERROR(__xludf.DUMMYFUNCTION("""COMPUTED_VALUE"""),"Jeko")</f>
        <v>Jeko</v>
      </c>
      <c r="D334" s="1" t="str">
        <f>IFERROR(__xludf.DUMMYFUNCTION("""COMPUTED_VALUE"""),"Balaquidan")</f>
        <v>Balaquidan</v>
      </c>
      <c r="E334" s="1" t="str">
        <f>IFERROR(__xludf.DUMMYFUNCTION("""COMPUTED_VALUE"""),"Pareparehong mayayaman lang naman uunlad kahit sino manalo jan..pag pula sasavihin kurap pag pink puppet nman at gatasan ng mga mayayaman🤣🤣🤣 wag lang dayaan ang maging dahilan ng pagkapanalo ok lang kahit sino sa kanila👍")</f>
        <v>Pareparehong mayayaman lang naman uunlad kahit sino manalo jan..pag pula sasavihin kurap pag pink puppet nman at gatasan ng mga mayayaman🤣🤣🤣 wag lang dayaan ang maging dahilan ng pagkapanalo ok lang kahit sino sa kanila👍</v>
      </c>
      <c r="F334" s="1"/>
      <c r="G334" s="1" t="str">
        <f>IFERROR(__xludf.DUMMYFUNCTION("""COMPUTED_VALUE"""),"3 mos")</f>
        <v>3 mos</v>
      </c>
      <c r="H334" s="1" t="str">
        <f>IFERROR(__xludf.DUMMYFUNCTION("""COMPUTED_VALUE"""),"comment")</f>
        <v>comment</v>
      </c>
      <c r="I334" s="2" t="str">
        <f>IFERROR(__xludf.DUMMYFUNCTION("""COMPUTED_VALUE"""),"https://www.facebook.com/rapplerdotcom/photos/a.317154781638645/5597874143566656")</f>
        <v>https://www.facebook.com/rapplerdotcom/photos/a.317154781638645/5597874143566656</v>
      </c>
      <c r="J334" s="1" t="str">
        <f>IFERROR(__xludf.DUMMYFUNCTION("""COMPUTED_VALUE"""),"2022-07-04T11:11:14.004Z")</f>
        <v>2022-07-04T11:11:14.004Z</v>
      </c>
      <c r="K334" s="1"/>
    </row>
    <row r="335">
      <c r="A335" s="2" t="str">
        <f>IFERROR(__xludf.DUMMYFUNCTION("""COMPUTED_VALUE"""),"https://www.facebook.com/jannetCSM")</f>
        <v>https://www.facebook.com/jannetCSM</v>
      </c>
      <c r="B335" s="1" t="str">
        <f>IFERROR(__xludf.DUMMYFUNCTION("""COMPUTED_VALUE"""),"Jannet Sta Monica")</f>
        <v>Jannet Sta Monica</v>
      </c>
      <c r="C335" s="1" t="str">
        <f>IFERROR(__xludf.DUMMYFUNCTION("""COMPUTED_VALUE"""),"Jannet")</f>
        <v>Jannet</v>
      </c>
      <c r="D335" s="1" t="str">
        <f>IFERROR(__xludf.DUMMYFUNCTION("""COMPUTED_VALUE"""),"Sta Monica")</f>
        <v>Sta Monica</v>
      </c>
      <c r="E335" s="1" t="str">
        <f>IFERROR(__xludf.DUMMYFUNCTION("""COMPUTED_VALUE"""),"Well at least may character development kahit papano but not gonna change the fact that he's one of the reasons why thousands of ABS-CBN employees lost their jobs in the middle of the pandemic. Kasama na ako doon. Again, praying this guy gets what he and "&amp;"his family deserve.")</f>
        <v>Well at least may character development kahit papano but not gonna change the fact that he's one of the reasons why thousands of ABS-CBN employees lost their jobs in the middle of the pandemic. Kasama na ako doon. Again, praying this guy gets what he and his family deserve.</v>
      </c>
      <c r="F335" s="1">
        <f>IFERROR(__xludf.DUMMYFUNCTION("""COMPUTED_VALUE"""),21.0)</f>
        <v>21</v>
      </c>
      <c r="G335" s="1" t="str">
        <f>IFERROR(__xludf.DUMMYFUNCTION("""COMPUTED_VALUE"""),"3 mos")</f>
        <v>3 mos</v>
      </c>
      <c r="H335" s="1" t="str">
        <f>IFERROR(__xludf.DUMMYFUNCTION("""COMPUTED_VALUE"""),"comment")</f>
        <v>comment</v>
      </c>
      <c r="I335" s="2" t="str">
        <f>IFERROR(__xludf.DUMMYFUNCTION("""COMPUTED_VALUE"""),"https://www.facebook.com/rapplerdotcom/photos/a.317154781638645/5597612220259515/")</f>
        <v>https://www.facebook.com/rapplerdotcom/photos/a.317154781638645/5597612220259515/</v>
      </c>
      <c r="J335" s="1" t="str">
        <f>IFERROR(__xludf.DUMMYFUNCTION("""COMPUTED_VALUE"""),"2022-07-04T11:12:03.020Z")</f>
        <v>2022-07-04T11:12:03.020Z</v>
      </c>
      <c r="K335" s="1"/>
    </row>
    <row r="336">
      <c r="A336" s="2" t="str">
        <f>IFERROR(__xludf.DUMMYFUNCTION("""COMPUTED_VALUE"""),"https://www.facebook.com/profile.php?id=100070178707772")</f>
        <v>https://www.facebook.com/profile.php?id=100070178707772</v>
      </c>
      <c r="B336" s="1" t="str">
        <f>IFERROR(__xludf.DUMMYFUNCTION("""COMPUTED_VALUE"""),"Mike Andrada")</f>
        <v>Mike Andrada</v>
      </c>
      <c r="C336" s="1" t="str">
        <f>IFERROR(__xludf.DUMMYFUNCTION("""COMPUTED_VALUE"""),"Mike")</f>
        <v>Mike</v>
      </c>
      <c r="D336" s="1" t="str">
        <f>IFERROR(__xludf.DUMMYFUNCTION("""COMPUTED_VALUE"""),"Andrada")</f>
        <v>Andrada</v>
      </c>
      <c r="E336" s="1" t="str">
        <f>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36" s="1"/>
      <c r="G336" s="1" t="str">
        <f>IFERROR(__xludf.DUMMYFUNCTION("""COMPUTED_VALUE"""),"3 mos")</f>
        <v>3 mos</v>
      </c>
      <c r="H336" s="1" t="str">
        <f>IFERROR(__xludf.DUMMYFUNCTION("""COMPUTED_VALUE"""),"reply")</f>
        <v>reply</v>
      </c>
      <c r="I336" s="2" t="str">
        <f>IFERROR(__xludf.DUMMYFUNCTION("""COMPUTED_VALUE"""),"https://www.facebook.com/rapplerdotcom/photos/a.317154781638645/5597612220259515/")</f>
        <v>https://www.facebook.com/rapplerdotcom/photos/a.317154781638645/5597612220259515/</v>
      </c>
      <c r="J336" s="1" t="str">
        <f>IFERROR(__xludf.DUMMYFUNCTION("""COMPUTED_VALUE"""),"2022-07-04T11:12:03.021Z")</f>
        <v>2022-07-04T11:12:03.021Z</v>
      </c>
      <c r="K336" s="1"/>
    </row>
    <row r="337">
      <c r="A337" s="2" t="str">
        <f>IFERROR(__xludf.DUMMYFUNCTION("""COMPUTED_VALUE"""),"https://www.facebook.com/chris.c.camacho")</f>
        <v>https://www.facebook.com/chris.c.camacho</v>
      </c>
      <c r="B337" s="1" t="str">
        <f>IFERROR(__xludf.DUMMYFUNCTION("""COMPUTED_VALUE"""),"Star Xina Camacho")</f>
        <v>Star Xina Camacho</v>
      </c>
      <c r="C337" s="1" t="str">
        <f>IFERROR(__xludf.DUMMYFUNCTION("""COMPUTED_VALUE"""),"Star")</f>
        <v>Star</v>
      </c>
      <c r="D337" s="1" t="str">
        <f>IFERROR(__xludf.DUMMYFUNCTION("""COMPUTED_VALUE"""),"Xina Camacho")</f>
        <v>Xina Camacho</v>
      </c>
      <c r="E337" s="1" t="str">
        <f>IFERROR(__xludf.DUMMYFUNCTION("""COMPUTED_VALUE"""),"It's a good job for choosing the right candidate for Presidency! Well done Rep. Barzaga!")</f>
        <v>It's a good job for choosing the right candidate for Presidency! Well done Rep. Barzaga!</v>
      </c>
      <c r="F337" s="1">
        <f>IFERROR(__xludf.DUMMYFUNCTION("""COMPUTED_VALUE"""),22.0)</f>
        <v>22</v>
      </c>
      <c r="G337" s="1" t="str">
        <f>IFERROR(__xludf.DUMMYFUNCTION("""COMPUTED_VALUE"""),"3 mos")</f>
        <v>3 mos</v>
      </c>
      <c r="H337" s="1" t="str">
        <f>IFERROR(__xludf.DUMMYFUNCTION("""COMPUTED_VALUE"""),"comment")</f>
        <v>comment</v>
      </c>
      <c r="I337" s="2" t="str">
        <f>IFERROR(__xludf.DUMMYFUNCTION("""COMPUTED_VALUE"""),"https://www.facebook.com/rapplerdotcom/photos/a.317154781638645/5597612220259515/")</f>
        <v>https://www.facebook.com/rapplerdotcom/photos/a.317154781638645/5597612220259515/</v>
      </c>
      <c r="J337" s="1" t="str">
        <f>IFERROR(__xludf.DUMMYFUNCTION("""COMPUTED_VALUE"""),"2022-07-04T11:12:03.021Z")</f>
        <v>2022-07-04T11:12:03.021Z</v>
      </c>
      <c r="K337" s="1"/>
    </row>
    <row r="338">
      <c r="A338" s="2" t="str">
        <f>IFERROR(__xludf.DUMMYFUNCTION("""COMPUTED_VALUE"""),"https://www.facebook.com/christianjerry.castillo")</f>
        <v>https://www.facebook.com/christianjerry.castillo</v>
      </c>
      <c r="B338" s="1" t="str">
        <f>IFERROR(__xludf.DUMMYFUNCTION("""COMPUTED_VALUE"""),"Jerry Calicdan Castillo")</f>
        <v>Jerry Calicdan Castillo</v>
      </c>
      <c r="C338" s="1" t="str">
        <f>IFERROR(__xludf.DUMMYFUNCTION("""COMPUTED_VALUE"""),"Jerry")</f>
        <v>Jerry</v>
      </c>
      <c r="D338" s="1" t="str">
        <f>IFERROR(__xludf.DUMMYFUNCTION("""COMPUTED_VALUE"""),"Calicdan Castillo")</f>
        <v>Calicdan Castillo</v>
      </c>
      <c r="E338" s="1" t="str">
        <f>IFERROR(__xludf.DUMMYFUNCTION("""COMPUTED_VALUE"""),"Hahaha..lutang")</f>
        <v>Hahaha..lutang</v>
      </c>
      <c r="F338" s="1">
        <f>IFERROR(__xludf.DUMMYFUNCTION("""COMPUTED_VALUE"""),1.0)</f>
        <v>1</v>
      </c>
      <c r="G338" s="1" t="str">
        <f>IFERROR(__xludf.DUMMYFUNCTION("""COMPUTED_VALUE"""),"3 mos")</f>
        <v>3 mos</v>
      </c>
      <c r="H338" s="1" t="str">
        <f>IFERROR(__xludf.DUMMYFUNCTION("""COMPUTED_VALUE"""),"reply")</f>
        <v>reply</v>
      </c>
      <c r="I338" s="2" t="str">
        <f>IFERROR(__xludf.DUMMYFUNCTION("""COMPUTED_VALUE"""),"https://www.facebook.com/rapplerdotcom/photos/a.317154781638645/5597612220259515/")</f>
        <v>https://www.facebook.com/rapplerdotcom/photos/a.317154781638645/5597612220259515/</v>
      </c>
      <c r="J338" s="1" t="str">
        <f>IFERROR(__xludf.DUMMYFUNCTION("""COMPUTED_VALUE"""),"2022-07-04T11:12:03.021Z")</f>
        <v>2022-07-04T11:12:03.021Z</v>
      </c>
      <c r="K338" s="1"/>
    </row>
    <row r="339">
      <c r="A339" s="2" t="str">
        <f>IFERROR(__xludf.DUMMYFUNCTION("""COMPUTED_VALUE"""),"https://www.facebook.com/profile.php?id=100070178707772")</f>
        <v>https://www.facebook.com/profile.php?id=100070178707772</v>
      </c>
      <c r="B339" s="1" t="str">
        <f>IFERROR(__xludf.DUMMYFUNCTION("""COMPUTED_VALUE"""),"Mike Andrada")</f>
        <v>Mike Andrada</v>
      </c>
      <c r="C339" s="1" t="str">
        <f>IFERROR(__xludf.DUMMYFUNCTION("""COMPUTED_VALUE"""),"Mike")</f>
        <v>Mike</v>
      </c>
      <c r="D339" s="1" t="str">
        <f>IFERROR(__xludf.DUMMYFUNCTION("""COMPUTED_VALUE"""),"Andrada")</f>
        <v>Andrada</v>
      </c>
      <c r="E339" s="1" t="str">
        <f>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39" s="1"/>
      <c r="G339" s="1" t="str">
        <f>IFERROR(__xludf.DUMMYFUNCTION("""COMPUTED_VALUE"""),"3 mos")</f>
        <v>3 mos</v>
      </c>
      <c r="H339" s="1" t="str">
        <f>IFERROR(__xludf.DUMMYFUNCTION("""COMPUTED_VALUE"""),"reply")</f>
        <v>reply</v>
      </c>
      <c r="I339" s="2" t="str">
        <f>IFERROR(__xludf.DUMMYFUNCTION("""COMPUTED_VALUE"""),"https://www.facebook.com/rapplerdotcom/photos/a.317154781638645/5597612220259515/")</f>
        <v>https://www.facebook.com/rapplerdotcom/photos/a.317154781638645/5597612220259515/</v>
      </c>
      <c r="J339" s="1" t="str">
        <f>IFERROR(__xludf.DUMMYFUNCTION("""COMPUTED_VALUE"""),"2022-07-04T11:12:03.021Z")</f>
        <v>2022-07-04T11:12:03.021Z</v>
      </c>
      <c r="K339" s="1"/>
    </row>
    <row r="340">
      <c r="A340" s="2" t="str">
        <f>IFERROR(__xludf.DUMMYFUNCTION("""COMPUTED_VALUE"""),"https://www.facebook.com/dr.julius.uy")</f>
        <v>https://www.facebook.com/dr.julius.uy</v>
      </c>
      <c r="B340" s="1" t="str">
        <f>IFERROR(__xludf.DUMMYFUNCTION("""COMPUTED_VALUE"""),"Julius Uy")</f>
        <v>Julius Uy</v>
      </c>
      <c r="C340" s="1" t="str">
        <f>IFERROR(__xludf.DUMMYFUNCTION("""COMPUTED_VALUE"""),"Julius")</f>
        <v>Julius</v>
      </c>
      <c r="D340" s="1" t="str">
        <f>IFERROR(__xludf.DUMMYFUNCTION("""COMPUTED_VALUE"""),"Uy")</f>
        <v>Uy</v>
      </c>
      <c r="E340" s="1" t="str">
        <f>IFERROR(__xludf.DUMMYFUNCTION("""COMPUTED_VALUE"""),"Wise decision Sir. #RosasAngKulayNgBukas #GobyernongTapatAngatBuhayLahat #KayLeniKikoPanaloAngPilipino #HusayAtTibay #BangonPilipinas #TaraIpanalNaNa10To")</f>
        <v>Wise decision Sir. #RosasAngKulayNgBukas #GobyernongTapatAngatBuhayLahat #KayLeniKikoPanaloAngPilipino #HusayAtTibay #BangonPilipinas #TaraIpanalNaNa10To</v>
      </c>
      <c r="F340" s="1">
        <f>IFERROR(__xludf.DUMMYFUNCTION("""COMPUTED_VALUE"""),85.0)</f>
        <v>85</v>
      </c>
      <c r="G340" s="1" t="str">
        <f>IFERROR(__xludf.DUMMYFUNCTION("""COMPUTED_VALUE"""),"3 mos")</f>
        <v>3 mos</v>
      </c>
      <c r="H340" s="1" t="str">
        <f>IFERROR(__xludf.DUMMYFUNCTION("""COMPUTED_VALUE"""),"comment")</f>
        <v>comment</v>
      </c>
      <c r="I340" s="2" t="str">
        <f>IFERROR(__xludf.DUMMYFUNCTION("""COMPUTED_VALUE"""),"https://www.facebook.com/rapplerdotcom/photos/a.317154781638645/5597612220259515/")</f>
        <v>https://www.facebook.com/rapplerdotcom/photos/a.317154781638645/5597612220259515/</v>
      </c>
      <c r="J340" s="1" t="str">
        <f>IFERROR(__xludf.DUMMYFUNCTION("""COMPUTED_VALUE"""),"2022-07-04T11:12:03.021Z")</f>
        <v>2022-07-04T11:12:03.021Z</v>
      </c>
      <c r="K340" s="1"/>
    </row>
    <row r="341">
      <c r="A341" s="2" t="str">
        <f>IFERROR(__xludf.DUMMYFUNCTION("""COMPUTED_VALUE"""),"https://www.facebook.com/profile.php?id=100070178707772")</f>
        <v>https://www.facebook.com/profile.php?id=100070178707772</v>
      </c>
      <c r="B341" s="1" t="str">
        <f>IFERROR(__xludf.DUMMYFUNCTION("""COMPUTED_VALUE"""),"Mike Andrada")</f>
        <v>Mike Andrada</v>
      </c>
      <c r="C341" s="1" t="str">
        <f>IFERROR(__xludf.DUMMYFUNCTION("""COMPUTED_VALUE"""),"Mike")</f>
        <v>Mike</v>
      </c>
      <c r="D341" s="1" t="str">
        <f>IFERROR(__xludf.DUMMYFUNCTION("""COMPUTED_VALUE"""),"Andrada")</f>
        <v>Andrada</v>
      </c>
      <c r="E341" s="1" t="str">
        <f>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41" s="1"/>
      <c r="G341" s="1" t="str">
        <f>IFERROR(__xludf.DUMMYFUNCTION("""COMPUTED_VALUE"""),"3 mos")</f>
        <v>3 mos</v>
      </c>
      <c r="H341" s="1" t="str">
        <f>IFERROR(__xludf.DUMMYFUNCTION("""COMPUTED_VALUE"""),"reply")</f>
        <v>reply</v>
      </c>
      <c r="I341" s="2" t="str">
        <f>IFERROR(__xludf.DUMMYFUNCTION("""COMPUTED_VALUE"""),"https://www.facebook.com/rapplerdotcom/photos/a.317154781638645/5597612220259515/")</f>
        <v>https://www.facebook.com/rapplerdotcom/photos/a.317154781638645/5597612220259515/</v>
      </c>
      <c r="J341" s="1" t="str">
        <f>IFERROR(__xludf.DUMMYFUNCTION("""COMPUTED_VALUE"""),"2022-07-04T11:12:03.021Z")</f>
        <v>2022-07-04T11:12:03.021Z</v>
      </c>
      <c r="K341" s="1"/>
    </row>
    <row r="342">
      <c r="A342" s="2" t="str">
        <f>IFERROR(__xludf.DUMMYFUNCTION("""COMPUTED_VALUE"""),"https://www.facebook.com/chai.li888")</f>
        <v>https://www.facebook.com/chai.li888</v>
      </c>
      <c r="B342" s="1" t="str">
        <f>IFERROR(__xludf.DUMMYFUNCTION("""COMPUTED_VALUE"""),"Chai Li")</f>
        <v>Chai Li</v>
      </c>
      <c r="C342" s="1" t="str">
        <f>IFERROR(__xludf.DUMMYFUNCTION("""COMPUTED_VALUE"""),"Chai")</f>
        <v>Chai</v>
      </c>
      <c r="D342" s="1" t="str">
        <f>IFERROR(__xludf.DUMMYFUNCTION("""COMPUTED_VALUE"""),"Li")</f>
        <v>Li</v>
      </c>
      <c r="E342" s="1" t="str">
        <f>IFERROR(__xludf.DUMMYFUNCTION("""COMPUTED_VALUE"""),"Best decision. Fight for our country!! 💕")</f>
        <v>Best decision. Fight for our country!! 💕</v>
      </c>
      <c r="F342" s="1">
        <f>IFERROR(__xludf.DUMMYFUNCTION("""COMPUTED_VALUE"""),28.0)</f>
        <v>28</v>
      </c>
      <c r="G342" s="1" t="str">
        <f>IFERROR(__xludf.DUMMYFUNCTION("""COMPUTED_VALUE"""),"3 mos")</f>
        <v>3 mos</v>
      </c>
      <c r="H342" s="1" t="str">
        <f>IFERROR(__xludf.DUMMYFUNCTION("""COMPUTED_VALUE"""),"comment")</f>
        <v>comment</v>
      </c>
      <c r="I342" s="2" t="str">
        <f>IFERROR(__xludf.DUMMYFUNCTION("""COMPUTED_VALUE"""),"https://www.facebook.com/rapplerdotcom/photos/a.317154781638645/5597612220259515/")</f>
        <v>https://www.facebook.com/rapplerdotcom/photos/a.317154781638645/5597612220259515/</v>
      </c>
      <c r="J342" s="1" t="str">
        <f>IFERROR(__xludf.DUMMYFUNCTION("""COMPUTED_VALUE"""),"2022-07-04T11:12:03.021Z")</f>
        <v>2022-07-04T11:12:03.021Z</v>
      </c>
      <c r="K342" s="1"/>
    </row>
    <row r="343">
      <c r="A343" s="2" t="str">
        <f>IFERROR(__xludf.DUMMYFUNCTION("""COMPUTED_VALUE"""),"https://www.facebook.com/dmiguelcastaneda")</f>
        <v>https://www.facebook.com/dmiguelcastaneda</v>
      </c>
      <c r="B343" s="1" t="str">
        <f>IFERROR(__xludf.DUMMYFUNCTION("""COMPUTED_VALUE"""),"Ding Castaneda")</f>
        <v>Ding Castaneda</v>
      </c>
      <c r="C343" s="1" t="str">
        <f>IFERROR(__xludf.DUMMYFUNCTION("""COMPUTED_VALUE"""),"Ding")</f>
        <v>Ding</v>
      </c>
      <c r="D343" s="1" t="str">
        <f>IFERROR(__xludf.DUMMYFUNCTION("""COMPUTED_VALUE"""),"Castaneda")</f>
        <v>Castaneda</v>
      </c>
      <c r="E343" s="1" t="str">
        <f>IFERROR(__xludf.DUMMYFUNCTION("""COMPUTED_VALUE"""),"Thank You and SALUDOS Congressman Pidi Barzaga ! 🎉💕🎉")</f>
        <v>Thank You and SALUDOS Congressman Pidi Barzaga ! 🎉💕🎉</v>
      </c>
      <c r="F343" s="1">
        <f>IFERROR(__xludf.DUMMYFUNCTION("""COMPUTED_VALUE"""),13.0)</f>
        <v>13</v>
      </c>
      <c r="G343" s="1" t="str">
        <f>IFERROR(__xludf.DUMMYFUNCTION("""COMPUTED_VALUE"""),"3 mos")</f>
        <v>3 mos</v>
      </c>
      <c r="H343" s="1" t="str">
        <f>IFERROR(__xludf.DUMMYFUNCTION("""COMPUTED_VALUE"""),"comment")</f>
        <v>comment</v>
      </c>
      <c r="I343" s="2" t="str">
        <f>IFERROR(__xludf.DUMMYFUNCTION("""COMPUTED_VALUE"""),"https://www.facebook.com/rapplerdotcom/photos/a.317154781638645/5597612220259515/")</f>
        <v>https://www.facebook.com/rapplerdotcom/photos/a.317154781638645/5597612220259515/</v>
      </c>
      <c r="J343" s="1" t="str">
        <f>IFERROR(__xludf.DUMMYFUNCTION("""COMPUTED_VALUE"""),"2022-07-04T11:12:03.021Z")</f>
        <v>2022-07-04T11:12:03.021Z</v>
      </c>
      <c r="K343" s="1"/>
    </row>
    <row r="344">
      <c r="A344" s="2" t="str">
        <f>IFERROR(__xludf.DUMMYFUNCTION("""COMPUTED_VALUE"""),"https://www.facebook.com/arlene.buela.9")</f>
        <v>https://www.facebook.com/arlene.buela.9</v>
      </c>
      <c r="B344" s="1" t="str">
        <f>IFERROR(__xludf.DUMMYFUNCTION("""COMPUTED_VALUE"""),"Arlene Buela")</f>
        <v>Arlene Buela</v>
      </c>
      <c r="C344" s="1" t="str">
        <f>IFERROR(__xludf.DUMMYFUNCTION("""COMPUTED_VALUE"""),"Arlene")</f>
        <v>Arlene</v>
      </c>
      <c r="D344" s="1" t="str">
        <f>IFERROR(__xludf.DUMMYFUNCTION("""COMPUTED_VALUE"""),"Buela")</f>
        <v>Buela</v>
      </c>
      <c r="E344" s="1" t="str">
        <f>IFERROR(__xludf.DUMMYFUNCTION("""COMPUTED_VALUE"""),"Malapit na maging Kulay Rosas ang Bukas!!! Salamat sa suporta.. For Good Governance magsama sama na lahat para sa kabutihan ng bansa!! #KulayRosasAngBukas #AngatBuhayLahat #LeniKiko2022")</f>
        <v>Malapit na maging Kulay Rosas ang Bukas!!! Salamat sa suporta.. For Good Governance magsama sama na lahat para sa kabutihan ng bansa!! #KulayRosasAngBukas #AngatBuhayLahat #LeniKiko2022</v>
      </c>
      <c r="F344" s="1">
        <f>IFERROR(__xludf.DUMMYFUNCTION("""COMPUTED_VALUE"""),104.0)</f>
        <v>104</v>
      </c>
      <c r="G344" s="1" t="str">
        <f>IFERROR(__xludf.DUMMYFUNCTION("""COMPUTED_VALUE"""),"3 mos")</f>
        <v>3 mos</v>
      </c>
      <c r="H344" s="1" t="str">
        <f>IFERROR(__xludf.DUMMYFUNCTION("""COMPUTED_VALUE"""),"comment")</f>
        <v>comment</v>
      </c>
      <c r="I344" s="2" t="str">
        <f>IFERROR(__xludf.DUMMYFUNCTION("""COMPUTED_VALUE"""),"https://www.facebook.com/rapplerdotcom/photos/a.317154781638645/5597612220259515/")</f>
        <v>https://www.facebook.com/rapplerdotcom/photos/a.317154781638645/5597612220259515/</v>
      </c>
      <c r="J344" s="1" t="str">
        <f>IFERROR(__xludf.DUMMYFUNCTION("""COMPUTED_VALUE"""),"2022-07-04T11:12:03.021Z")</f>
        <v>2022-07-04T11:12:03.021Z</v>
      </c>
      <c r="K344" s="1"/>
    </row>
    <row r="345">
      <c r="A345" s="2" t="str">
        <f>IFERROR(__xludf.DUMMYFUNCTION("""COMPUTED_VALUE"""),"https://www.facebook.com/rowena.rodencio")</f>
        <v>https://www.facebook.com/rowena.rodencio</v>
      </c>
      <c r="B345" s="1" t="str">
        <f>IFERROR(__xludf.DUMMYFUNCTION("""COMPUTED_VALUE"""),"Rowena Rodencio")</f>
        <v>Rowena Rodencio</v>
      </c>
      <c r="C345" s="1" t="str">
        <f>IFERROR(__xludf.DUMMYFUNCTION("""COMPUTED_VALUE"""),"Rowena")</f>
        <v>Rowena</v>
      </c>
      <c r="D345" s="1" t="str">
        <f>IFERROR(__xludf.DUMMYFUNCTION("""COMPUTED_VALUE"""),"Rodencio")</f>
        <v>Rodencio</v>
      </c>
      <c r="E345" s="1" t="str">
        <f>IFERROR(__xludf.DUMMYFUNCTION("""COMPUTED_VALUE"""),"Arlene Buela nangangamoy sibuyas n nmn hahaha Palakas loob team eoww")</f>
        <v>Arlene Buela nangangamoy sibuyas n nmn hahaha Palakas loob team eoww</v>
      </c>
      <c r="F345" s="1"/>
      <c r="G345" s="1" t="str">
        <f>IFERROR(__xludf.DUMMYFUNCTION("""COMPUTED_VALUE"""),"3 mos")</f>
        <v>3 mos</v>
      </c>
      <c r="H345" s="1" t="str">
        <f>IFERROR(__xludf.DUMMYFUNCTION("""COMPUTED_VALUE"""),"reply")</f>
        <v>reply</v>
      </c>
      <c r="I345" s="2" t="str">
        <f>IFERROR(__xludf.DUMMYFUNCTION("""COMPUTED_VALUE"""),"https://www.facebook.com/rapplerdotcom/photos/a.317154781638645/5597612220259515/")</f>
        <v>https://www.facebook.com/rapplerdotcom/photos/a.317154781638645/5597612220259515/</v>
      </c>
      <c r="J345" s="1" t="str">
        <f>IFERROR(__xludf.DUMMYFUNCTION("""COMPUTED_VALUE"""),"2022-07-04T11:12:03.021Z")</f>
        <v>2022-07-04T11:12:03.021Z</v>
      </c>
      <c r="K345" s="1"/>
    </row>
    <row r="346">
      <c r="A346" s="2" t="str">
        <f>IFERROR(__xludf.DUMMYFUNCTION("""COMPUTED_VALUE"""),"https://www.facebook.com/profile.php?id=100070178707772")</f>
        <v>https://www.facebook.com/profile.php?id=100070178707772</v>
      </c>
      <c r="B346" s="1" t="str">
        <f>IFERROR(__xludf.DUMMYFUNCTION("""COMPUTED_VALUE"""),"Mike Andrada")</f>
        <v>Mike Andrada</v>
      </c>
      <c r="C346" s="1" t="str">
        <f>IFERROR(__xludf.DUMMYFUNCTION("""COMPUTED_VALUE"""),"Mike")</f>
        <v>Mike</v>
      </c>
      <c r="D346" s="1" t="str">
        <f>IFERROR(__xludf.DUMMYFUNCTION("""COMPUTED_VALUE"""),"Andrada")</f>
        <v>Andrada</v>
      </c>
      <c r="E346" s="1" t="str">
        <f>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46" s="1"/>
      <c r="G346" s="1" t="str">
        <f>IFERROR(__xludf.DUMMYFUNCTION("""COMPUTED_VALUE"""),"3 mos")</f>
        <v>3 mos</v>
      </c>
      <c r="H346" s="1" t="str">
        <f>IFERROR(__xludf.DUMMYFUNCTION("""COMPUTED_VALUE"""),"reply")</f>
        <v>reply</v>
      </c>
      <c r="I346" s="2" t="str">
        <f>IFERROR(__xludf.DUMMYFUNCTION("""COMPUTED_VALUE"""),"https://www.facebook.com/rapplerdotcom/photos/a.317154781638645/5597612220259515/")</f>
        <v>https://www.facebook.com/rapplerdotcom/photos/a.317154781638645/5597612220259515/</v>
      </c>
      <c r="J346" s="1" t="str">
        <f>IFERROR(__xludf.DUMMYFUNCTION("""COMPUTED_VALUE"""),"2022-07-04T11:12:03.021Z")</f>
        <v>2022-07-04T11:12:03.021Z</v>
      </c>
      <c r="K346" s="1"/>
    </row>
    <row r="347">
      <c r="A347" s="2" t="str">
        <f>IFERROR(__xludf.DUMMYFUNCTION("""COMPUTED_VALUE"""),"https://www.facebook.com/mean.agustin")</f>
        <v>https://www.facebook.com/mean.agustin</v>
      </c>
      <c r="B347" s="1" t="str">
        <f>IFERROR(__xludf.DUMMYFUNCTION("""COMPUTED_VALUE"""),"Marianne Agustin")</f>
        <v>Marianne Agustin</v>
      </c>
      <c r="C347" s="1" t="str">
        <f>IFERROR(__xludf.DUMMYFUNCTION("""COMPUTED_VALUE"""),"Marianne")</f>
        <v>Marianne</v>
      </c>
      <c r="D347" s="1" t="str">
        <f>IFERROR(__xludf.DUMMYFUNCTION("""COMPUTED_VALUE"""),"Agustin")</f>
        <v>Agustin</v>
      </c>
      <c r="E347" s="1" t="str">
        <f>IFERROR(__xludf.DUMMYFUNCTION("""COMPUTED_VALUE"""),"Thanks po for putting first what is good for our country.🙏")</f>
        <v>Thanks po for putting first what is good for our country.🙏</v>
      </c>
      <c r="F347" s="1">
        <f>IFERROR(__xludf.DUMMYFUNCTION("""COMPUTED_VALUE"""),48.0)</f>
        <v>48</v>
      </c>
      <c r="G347" s="1" t="str">
        <f>IFERROR(__xludf.DUMMYFUNCTION("""COMPUTED_VALUE"""),"3 mos")</f>
        <v>3 mos</v>
      </c>
      <c r="H347" s="1" t="str">
        <f>IFERROR(__xludf.DUMMYFUNCTION("""COMPUTED_VALUE"""),"comment")</f>
        <v>comment</v>
      </c>
      <c r="I347" s="2" t="str">
        <f>IFERROR(__xludf.DUMMYFUNCTION("""COMPUTED_VALUE"""),"https://www.facebook.com/rapplerdotcom/photos/a.317154781638645/5597612220259515/")</f>
        <v>https://www.facebook.com/rapplerdotcom/photos/a.317154781638645/5597612220259515/</v>
      </c>
      <c r="J347" s="1" t="str">
        <f>IFERROR(__xludf.DUMMYFUNCTION("""COMPUTED_VALUE"""),"2022-07-04T11:12:03.021Z")</f>
        <v>2022-07-04T11:12:03.021Z</v>
      </c>
      <c r="K347" s="1"/>
    </row>
    <row r="348">
      <c r="A348" s="2" t="str">
        <f>IFERROR(__xludf.DUMMYFUNCTION("""COMPUTED_VALUE"""),"https://www.facebook.com/profile.php?id=100070178707772")</f>
        <v>https://www.facebook.com/profile.php?id=100070178707772</v>
      </c>
      <c r="B348" s="1" t="str">
        <f>IFERROR(__xludf.DUMMYFUNCTION("""COMPUTED_VALUE"""),"Mike Andrada")</f>
        <v>Mike Andrada</v>
      </c>
      <c r="C348" s="1" t="str">
        <f>IFERROR(__xludf.DUMMYFUNCTION("""COMPUTED_VALUE"""),"Mike")</f>
        <v>Mike</v>
      </c>
      <c r="D348" s="1" t="str">
        <f>IFERROR(__xludf.DUMMYFUNCTION("""COMPUTED_VALUE"""),"Andrada")</f>
        <v>Andrada</v>
      </c>
      <c r="E348" s="1" t="str">
        <f>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48" s="1"/>
      <c r="G348" s="1" t="str">
        <f>IFERROR(__xludf.DUMMYFUNCTION("""COMPUTED_VALUE"""),"3 mos")</f>
        <v>3 mos</v>
      </c>
      <c r="H348" s="1" t="str">
        <f>IFERROR(__xludf.DUMMYFUNCTION("""COMPUTED_VALUE"""),"reply")</f>
        <v>reply</v>
      </c>
      <c r="I348" s="2" t="str">
        <f>IFERROR(__xludf.DUMMYFUNCTION("""COMPUTED_VALUE"""),"https://www.facebook.com/rapplerdotcom/photos/a.317154781638645/5597612220259515/")</f>
        <v>https://www.facebook.com/rapplerdotcom/photos/a.317154781638645/5597612220259515/</v>
      </c>
      <c r="J348" s="1" t="str">
        <f>IFERROR(__xludf.DUMMYFUNCTION("""COMPUTED_VALUE"""),"2022-07-04T11:12:03.021Z")</f>
        <v>2022-07-04T11:12:03.021Z</v>
      </c>
      <c r="K348" s="1"/>
    </row>
    <row r="349">
      <c r="A349" s="2" t="str">
        <f>IFERROR(__xludf.DUMMYFUNCTION("""COMPUTED_VALUE"""),"https://www.facebook.com/raymund.yangco")</f>
        <v>https://www.facebook.com/raymund.yangco</v>
      </c>
      <c r="B349" s="1" t="str">
        <f>IFERROR(__xludf.DUMMYFUNCTION("""COMPUTED_VALUE"""),"Raymund Yangco")</f>
        <v>Raymund Yangco</v>
      </c>
      <c r="C349" s="1" t="str">
        <f>IFERROR(__xludf.DUMMYFUNCTION("""COMPUTED_VALUE"""),"Raymund")</f>
        <v>Raymund</v>
      </c>
      <c r="D349" s="1" t="str">
        <f>IFERROR(__xludf.DUMMYFUNCTION("""COMPUTED_VALUE"""),"Yangco")</f>
        <v>Yangco</v>
      </c>
      <c r="E349" s="1" t="str">
        <f>IFERROR(__xludf.DUMMYFUNCTION("""COMPUTED_VALUE"""),"Disappointed with Cong Barzaga’s preference. Do i despise him? Of course not! I still admire him for his wit, wisdom n vast knowledge of his interpretation of our laws. I would have voted for him regardless of his political affiliation if he opted to run "&amp;"for higher office, say a senator maybe. Enormous respect n admiration for the old-timer. I sincerely wish well in his endeavors. 👍😊")</f>
        <v>Disappointed with Cong Barzaga’s preference. Do i despise him? Of course not! I still admire him for his wit, wisdom n vast knowledge of his interpretation of our laws. I would have voted for him regardless of his political affiliation if he opted to run for higher office, say a senator maybe. Enormous respect n admiration for the old-timer. I sincerely wish well in his endeavors. 👍😊</v>
      </c>
      <c r="F349" s="1"/>
      <c r="G349" s="1" t="str">
        <f>IFERROR(__xludf.DUMMYFUNCTION("""COMPUTED_VALUE"""),"3 mos")</f>
        <v>3 mos</v>
      </c>
      <c r="H349" s="1" t="str">
        <f>IFERROR(__xludf.DUMMYFUNCTION("""COMPUTED_VALUE"""),"comment")</f>
        <v>comment</v>
      </c>
      <c r="I349" s="2" t="str">
        <f>IFERROR(__xludf.DUMMYFUNCTION("""COMPUTED_VALUE"""),"https://www.facebook.com/rapplerdotcom/photos/a.317154781638645/5597612220259515/")</f>
        <v>https://www.facebook.com/rapplerdotcom/photos/a.317154781638645/5597612220259515/</v>
      </c>
      <c r="J349" s="1" t="str">
        <f>IFERROR(__xludf.DUMMYFUNCTION("""COMPUTED_VALUE"""),"2022-07-04T11:12:03.021Z")</f>
        <v>2022-07-04T11:12:03.021Z</v>
      </c>
      <c r="K349" s="1"/>
    </row>
    <row r="350">
      <c r="A350" s="2" t="str">
        <f>IFERROR(__xludf.DUMMYFUNCTION("""COMPUTED_VALUE"""),"https://www.facebook.com/jocelyn.domingotorres")</f>
        <v>https://www.facebook.com/jocelyn.domingotorres</v>
      </c>
      <c r="B350" s="1" t="str">
        <f>IFERROR(__xludf.DUMMYFUNCTION("""COMPUTED_VALUE"""),"Jocelyn Domingo-Torres")</f>
        <v>Jocelyn Domingo-Torres</v>
      </c>
      <c r="C350" s="1" t="str">
        <f>IFERROR(__xludf.DUMMYFUNCTION("""COMPUTED_VALUE"""),"Jocelyn")</f>
        <v>Jocelyn</v>
      </c>
      <c r="D350" s="1" t="str">
        <f>IFERROR(__xludf.DUMMYFUNCTION("""COMPUTED_VALUE"""),"Domingo-Torres")</f>
        <v>Domingo-Torres</v>
      </c>
      <c r="E350" s="1" t="str">
        <f>IFERROR(__xludf.DUMMYFUNCTION("""COMPUTED_VALUE"""),"Thank you Cong.Barzaga,Wise and smart move for the good of our country. Proud kkmpinks here. 🌸🌷🌸🌷🌸🙏🏻🇨🇿😎")</f>
        <v>Thank you Cong.Barzaga,Wise and smart move for the good of our country. Proud kkmpinks here. 🌸🌷🌸🌷🌸🙏🏻🇨🇿😎</v>
      </c>
      <c r="F350" s="1">
        <f>IFERROR(__xludf.DUMMYFUNCTION("""COMPUTED_VALUE"""),21.0)</f>
        <v>21</v>
      </c>
      <c r="G350" s="1" t="str">
        <f>IFERROR(__xludf.DUMMYFUNCTION("""COMPUTED_VALUE"""),"3 mos")</f>
        <v>3 mos</v>
      </c>
      <c r="H350" s="1" t="str">
        <f>IFERROR(__xludf.DUMMYFUNCTION("""COMPUTED_VALUE"""),"comment")</f>
        <v>comment</v>
      </c>
      <c r="I350" s="2" t="str">
        <f>IFERROR(__xludf.DUMMYFUNCTION("""COMPUTED_VALUE"""),"https://www.facebook.com/rapplerdotcom/photos/a.317154781638645/5597612220259515/")</f>
        <v>https://www.facebook.com/rapplerdotcom/photos/a.317154781638645/5597612220259515/</v>
      </c>
      <c r="J350" s="1" t="str">
        <f>IFERROR(__xludf.DUMMYFUNCTION("""COMPUTED_VALUE"""),"2022-07-04T11:12:03.021Z")</f>
        <v>2022-07-04T11:12:03.021Z</v>
      </c>
      <c r="K350" s="1"/>
    </row>
    <row r="351">
      <c r="A351" s="2" t="str">
        <f>IFERROR(__xludf.DUMMYFUNCTION("""COMPUTED_VALUE"""),"https://www.facebook.com/narciso.corvera.549")</f>
        <v>https://www.facebook.com/narciso.corvera.549</v>
      </c>
      <c r="B351" s="1" t="str">
        <f>IFERROR(__xludf.DUMMYFUNCTION("""COMPUTED_VALUE"""),"Narciso Corvera")</f>
        <v>Narciso Corvera</v>
      </c>
      <c r="C351" s="1" t="str">
        <f>IFERROR(__xludf.DUMMYFUNCTION("""COMPUTED_VALUE"""),"Narciso")</f>
        <v>Narciso</v>
      </c>
      <c r="D351" s="1" t="str">
        <f>IFERROR(__xludf.DUMMYFUNCTION("""COMPUTED_VALUE"""),"Corvera")</f>
        <v>Corvera</v>
      </c>
      <c r="E351" s="1" t="str">
        <f>IFERROR(__xludf.DUMMYFUNCTION("""COMPUTED_VALUE"""),"Jocelyn Domingo-Torres wala na kaci hawak N ,C  Ate  mga oligarko at ng  mayayamang Bansa  kung sa  kalabaw kahit saan mo hilahin susunod yan c,  Ate  Len  Icip icip")</f>
        <v>Jocelyn Domingo-Torres wala na kaci hawak N ,C  Ate  mga oligarko at ng  mayayamang Bansa  kung sa  kalabaw kahit saan mo hilahin susunod yan c,  Ate  Len  Icip icip</v>
      </c>
      <c r="F351" s="1">
        <f>IFERROR(__xludf.DUMMYFUNCTION("""COMPUTED_VALUE"""),2.0)</f>
        <v>2</v>
      </c>
      <c r="G351" s="1" t="str">
        <f>IFERROR(__xludf.DUMMYFUNCTION("""COMPUTED_VALUE"""),"3 mos")</f>
        <v>3 mos</v>
      </c>
      <c r="H351" s="1" t="str">
        <f>IFERROR(__xludf.DUMMYFUNCTION("""COMPUTED_VALUE"""),"reply")</f>
        <v>reply</v>
      </c>
      <c r="I351" s="2" t="str">
        <f>IFERROR(__xludf.DUMMYFUNCTION("""COMPUTED_VALUE"""),"https://www.facebook.com/rapplerdotcom/photos/a.317154781638645/5597612220259515/")</f>
        <v>https://www.facebook.com/rapplerdotcom/photos/a.317154781638645/5597612220259515/</v>
      </c>
      <c r="J351" s="1" t="str">
        <f>IFERROR(__xludf.DUMMYFUNCTION("""COMPUTED_VALUE"""),"2022-07-04T11:12:03.021Z")</f>
        <v>2022-07-04T11:12:03.021Z</v>
      </c>
      <c r="K351" s="1"/>
    </row>
    <row r="352">
      <c r="A352" s="2" t="str">
        <f>IFERROR(__xludf.DUMMYFUNCTION("""COMPUTED_VALUE"""),"https://www.facebook.com/enecy.queto")</f>
        <v>https://www.facebook.com/enecy.queto</v>
      </c>
      <c r="B352" s="1" t="str">
        <f>IFERROR(__xludf.DUMMYFUNCTION("""COMPUTED_VALUE"""),"Enecy Queto")</f>
        <v>Enecy Queto</v>
      </c>
      <c r="C352" s="1" t="str">
        <f>IFERROR(__xludf.DUMMYFUNCTION("""COMPUTED_VALUE"""),"Enecy")</f>
        <v>Enecy</v>
      </c>
      <c r="D352" s="1" t="str">
        <f>IFERROR(__xludf.DUMMYFUNCTION("""COMPUTED_VALUE"""),"Queto")</f>
        <v>Queto</v>
      </c>
      <c r="E352" s="1" t="str">
        <f>IFERROR(__xludf.DUMMYFUNCTION("""COMPUTED_VALUE"""),"Thank you po, Bayan po natin i2 mahalin natin, at disente buhay ng bawat 1 Pilipino, congrats po sa ating lahat sama n kayo lahat sa amin at welcome n welcome  cno man, dahil bayan natin i2, we love you n GOD BLESS po.......kakampink")</f>
        <v>Thank you po, Bayan po natin i2 mahalin natin, at disente buhay ng bawat 1 Pilipino, congrats po sa ating lahat sama n kayo lahat sa amin at welcome n welcome  cno man, dahil bayan natin i2, we love you n GOD BLESS po.......kakampink</v>
      </c>
      <c r="F352" s="1">
        <f>IFERROR(__xludf.DUMMYFUNCTION("""COMPUTED_VALUE"""),20.0)</f>
        <v>20</v>
      </c>
      <c r="G352" s="1" t="str">
        <f>IFERROR(__xludf.DUMMYFUNCTION("""COMPUTED_VALUE"""),"3 mos")</f>
        <v>3 mos</v>
      </c>
      <c r="H352" s="1" t="str">
        <f>IFERROR(__xludf.DUMMYFUNCTION("""COMPUTED_VALUE"""),"comment")</f>
        <v>comment</v>
      </c>
      <c r="I352" s="2" t="str">
        <f>IFERROR(__xludf.DUMMYFUNCTION("""COMPUTED_VALUE"""),"https://www.facebook.com/rapplerdotcom/photos/a.317154781638645/5597612220259515/")</f>
        <v>https://www.facebook.com/rapplerdotcom/photos/a.317154781638645/5597612220259515/</v>
      </c>
      <c r="J352" s="1" t="str">
        <f>IFERROR(__xludf.DUMMYFUNCTION("""COMPUTED_VALUE"""),"2022-07-04T11:12:03.021Z")</f>
        <v>2022-07-04T11:12:03.021Z</v>
      </c>
      <c r="K352" s="1"/>
    </row>
    <row r="353">
      <c r="A353" s="2" t="str">
        <f>IFERROR(__xludf.DUMMYFUNCTION("""COMPUTED_VALUE"""),"https://www.facebook.com/arsenio.tan.104418")</f>
        <v>https://www.facebook.com/arsenio.tan.104418</v>
      </c>
      <c r="B353" s="1" t="str">
        <f>IFERROR(__xludf.DUMMYFUNCTION("""COMPUTED_VALUE"""),"Arsenio Tan")</f>
        <v>Arsenio Tan</v>
      </c>
      <c r="C353" s="1" t="str">
        <f>IFERROR(__xludf.DUMMYFUNCTION("""COMPUTED_VALUE"""),"Arsenio")</f>
        <v>Arsenio</v>
      </c>
      <c r="D353" s="1" t="str">
        <f>IFERROR(__xludf.DUMMYFUNCTION("""COMPUTED_VALUE"""),"Tan")</f>
        <v>Tan</v>
      </c>
      <c r="E353" s="1" t="str">
        <f>IFERROR(__xludf.DUMMYFUNCTION("""COMPUTED_VALUE"""),"It's either you align with those in the LIGHT or with those in darkness but it is CERTAIN that LIGHT overwhelms darkness. LIGHT triumps over darkness! 1 John 1:5 ""This then is the message which we have heard of HIM, and declare unto you, that GOD is LIGH"&amp;"T, and in HIM is no darkness at all."" John 14:6 ""JESUS said unto him, I am the WAY, the TRUTH, and the LIFE: no man comes to the FATHER, but by ME."" 2 Corinthians 13:8 ""For we can do nothing against the TRUTH,  but for the TRUTH"" John 8:12 ""Then spe"&amp;"ak JESUS again unto them, saying, I am the LIGHT of the world: he that follows me shall not walk in darkness, but shall have the LIGHT of LIFE"" Therefore no uncertainties! Matthew 5:14-16 ""You are the LIGHT of the world. A city that is set on a hill can"&amp;"not be hid. Neither do men LIGHT a candle, and put it under a bushel, but in a candlestick; and gives LIGHT unto all that are in the house. Let your LIGHT so shine before men, that they may see your good works, and glorify your FATHER which is in heaven."&amp;""" SWITCH ON to LIGHT UP the dark. Let's light up the Philippines and the world for a bright Philippines by choosing GODLY candidates for GOD's glory. THE RIGHT CHOICE is THE ONLY ONE! #YES to JESUS #NO to COVID19 #NO to CORRUPTION")</f>
        <v>It's either you align with those in the LIGHT or with those in darkness but it is CERTAIN that LIGHT overwhelms darkness. LIGHT triumps over darkness! 1 John 1:5 "This then is the message which we have heard of HIM, and declare unto you, that GOD is LIGHT, and in HIM is no darkness at all." John 14:6 "JESUS said unto him, I am the WAY, the TRUTH, and the LIFE: no man comes to the FATHER, but by ME." 2 Corinthians 13:8 "For we can do nothing against the TRUTH,  but for the TRUTH" John 8:12 "Then speak JESUS again unto them, saying, I am the LIGHT of the world: he that follows me shall not walk in darkness, but shall have the LIGHT of LIFE" Therefore no uncertainties! Matthew 5:14-16 "You are the LIGHT of the world. A city that is set on a hill cannot be hid. Neither do men LIGHT a candle, and put it under a bushel, but in a candlestick; and gives LIGHT unto all that are in the house. Let your LIGHT so shine before men, that they may see your good works, and glorify your FATHER which is in heaven." SWITCH ON to LIGHT UP the dark. Let's light up the Philippines and the world for a bright Philippines by choosing GODLY candidates for GOD's glory. THE RIGHT CHOICE is THE ONLY ONE! #YES to JESUS #NO to COVID19 #NO to CORRUPTION</v>
      </c>
      <c r="F353" s="1">
        <f>IFERROR(__xludf.DUMMYFUNCTION("""COMPUTED_VALUE"""),6.0)</f>
        <v>6</v>
      </c>
      <c r="G353" s="1" t="str">
        <f>IFERROR(__xludf.DUMMYFUNCTION("""COMPUTED_VALUE"""),"3 mos")</f>
        <v>3 mos</v>
      </c>
      <c r="H353" s="1" t="str">
        <f>IFERROR(__xludf.DUMMYFUNCTION("""COMPUTED_VALUE"""),"comment")</f>
        <v>comment</v>
      </c>
      <c r="I353" s="2" t="str">
        <f>IFERROR(__xludf.DUMMYFUNCTION("""COMPUTED_VALUE"""),"https://www.facebook.com/rapplerdotcom/photos/a.317154781638645/5597612220259515/")</f>
        <v>https://www.facebook.com/rapplerdotcom/photos/a.317154781638645/5597612220259515/</v>
      </c>
      <c r="J353" s="1" t="str">
        <f>IFERROR(__xludf.DUMMYFUNCTION("""COMPUTED_VALUE"""),"2022-07-04T11:12:03.021Z")</f>
        <v>2022-07-04T11:12:03.021Z</v>
      </c>
      <c r="K353" s="1"/>
    </row>
    <row r="354">
      <c r="A354" s="2" t="str">
        <f>IFERROR(__xludf.DUMMYFUNCTION("""COMPUTED_VALUE"""),"https://www.facebook.com/profile.php?id=100049952135179")</f>
        <v>https://www.facebook.com/profile.php?id=100049952135179</v>
      </c>
      <c r="B354" s="1" t="str">
        <f>IFERROR(__xludf.DUMMYFUNCTION("""COMPUTED_VALUE"""),"Alfonso Sigue Sr.")</f>
        <v>Alfonso Sigue Sr.</v>
      </c>
      <c r="C354" s="1" t="str">
        <f>IFERROR(__xludf.DUMMYFUNCTION("""COMPUTED_VALUE"""),"Alfonso")</f>
        <v>Alfonso</v>
      </c>
      <c r="D354" s="1" t="str">
        <f>IFERROR(__xludf.DUMMYFUNCTION("""COMPUTED_VALUE"""),"Sigue Sr.")</f>
        <v>Sigue Sr.</v>
      </c>
      <c r="E354" s="1" t="str">
        <f>IFERROR(__xludf.DUMMYFUNCTION("""COMPUTED_VALUE"""),"Thats the beauty and madness of the Phil. Politics,as they said,in politics no permanent friends or enemies,what is important is personal interest")</f>
        <v>Thats the beauty and madness of the Phil. Politics,as they said,in politics no permanent friends or enemies,what is important is personal interest</v>
      </c>
      <c r="F354" s="1">
        <f>IFERROR(__xludf.DUMMYFUNCTION("""COMPUTED_VALUE"""),6.0)</f>
        <v>6</v>
      </c>
      <c r="G354" s="1" t="str">
        <f>IFERROR(__xludf.DUMMYFUNCTION("""COMPUTED_VALUE"""),"3 mos")</f>
        <v>3 mos</v>
      </c>
      <c r="H354" s="1" t="str">
        <f>IFERROR(__xludf.DUMMYFUNCTION("""COMPUTED_VALUE"""),"comment")</f>
        <v>comment</v>
      </c>
      <c r="I354" s="2" t="str">
        <f>IFERROR(__xludf.DUMMYFUNCTION("""COMPUTED_VALUE"""),"https://www.facebook.com/rapplerdotcom/photos/a.317154781638645/5597612220259515/")</f>
        <v>https://www.facebook.com/rapplerdotcom/photos/a.317154781638645/5597612220259515/</v>
      </c>
      <c r="J354" s="1" t="str">
        <f>IFERROR(__xludf.DUMMYFUNCTION("""COMPUTED_VALUE"""),"2022-07-04T11:12:03.021Z")</f>
        <v>2022-07-04T11:12:03.021Z</v>
      </c>
      <c r="K354" s="1"/>
    </row>
    <row r="355">
      <c r="A355" s="2" t="str">
        <f>IFERROR(__xludf.DUMMYFUNCTION("""COMPUTED_VALUE"""),"https://www.facebook.com/nikolo.romeo")</f>
        <v>https://www.facebook.com/nikolo.romeo</v>
      </c>
      <c r="B355" s="1" t="str">
        <f>IFERROR(__xludf.DUMMYFUNCTION("""COMPUTED_VALUE"""),"Nikola Romeo Smith")</f>
        <v>Nikola Romeo Smith</v>
      </c>
      <c r="C355" s="1" t="str">
        <f>IFERROR(__xludf.DUMMYFUNCTION("""COMPUTED_VALUE"""),"Nikola")</f>
        <v>Nikola</v>
      </c>
      <c r="D355" s="1" t="str">
        <f>IFERROR(__xludf.DUMMYFUNCTION("""COMPUTED_VALUE"""),"Romeo Smith")</f>
        <v>Romeo Smith</v>
      </c>
      <c r="E355" s="1" t="str">
        <f>IFERROR(__xludf.DUMMYFUNCTION("""COMPUTED_VALUE"""),"Alfonso Sigue Sr. Walang kalaban sa Dasma yan")</f>
        <v>Alfonso Sigue Sr. Walang kalaban sa Dasma yan</v>
      </c>
      <c r="F355" s="1"/>
      <c r="G355" s="1" t="str">
        <f>IFERROR(__xludf.DUMMYFUNCTION("""COMPUTED_VALUE"""),"3 mos")</f>
        <v>3 mos</v>
      </c>
      <c r="H355" s="1" t="str">
        <f>IFERROR(__xludf.DUMMYFUNCTION("""COMPUTED_VALUE"""),"reply")</f>
        <v>reply</v>
      </c>
      <c r="I355" s="2" t="str">
        <f>IFERROR(__xludf.DUMMYFUNCTION("""COMPUTED_VALUE"""),"https://www.facebook.com/rapplerdotcom/photos/a.317154781638645/5597612220259515/")</f>
        <v>https://www.facebook.com/rapplerdotcom/photos/a.317154781638645/5597612220259515/</v>
      </c>
      <c r="J355" s="1" t="str">
        <f>IFERROR(__xludf.DUMMYFUNCTION("""COMPUTED_VALUE"""),"2022-07-04T11:12:03.021Z")</f>
        <v>2022-07-04T11:12:03.021Z</v>
      </c>
      <c r="K355" s="1"/>
    </row>
    <row r="356">
      <c r="A356" s="2" t="str">
        <f>IFERROR(__xludf.DUMMYFUNCTION("""COMPUTED_VALUE"""),"https://www.facebook.com/profile.php?id=100014625901344")</f>
        <v>https://www.facebook.com/profile.php?id=100014625901344</v>
      </c>
      <c r="B356" s="1" t="str">
        <f>IFERROR(__xludf.DUMMYFUNCTION("""COMPUTED_VALUE"""),"Eldridge E. Zeva")</f>
        <v>Eldridge E. Zeva</v>
      </c>
      <c r="C356" s="1" t="str">
        <f>IFERROR(__xludf.DUMMYFUNCTION("""COMPUTED_VALUE"""),"Eldridge")</f>
        <v>Eldridge</v>
      </c>
      <c r="D356" s="1" t="str">
        <f>IFERROR(__xludf.DUMMYFUNCTION("""COMPUTED_VALUE"""),"E. Zeva")</f>
        <v>E. Zeva</v>
      </c>
      <c r="E356" s="1" t="str">
        <f>IFERROR(__xludf.DUMMYFUNCTION("""COMPUTED_VALUE"""),"The righteous thing to do. Better do what your conscience tells you and firmly stand by that decision - no matter how the world says you're wrong! That's being a man!")</f>
        <v>The righteous thing to do. Better do what your conscience tells you and firmly stand by that decision - no matter how the world says you're wrong! That's being a man!</v>
      </c>
      <c r="F356" s="1">
        <f>IFERROR(__xludf.DUMMYFUNCTION("""COMPUTED_VALUE"""),9.0)</f>
        <v>9</v>
      </c>
      <c r="G356" s="1" t="str">
        <f>IFERROR(__xludf.DUMMYFUNCTION("""COMPUTED_VALUE"""),"3 mos")</f>
        <v>3 mos</v>
      </c>
      <c r="H356" s="1" t="str">
        <f>IFERROR(__xludf.DUMMYFUNCTION("""COMPUTED_VALUE"""),"comment")</f>
        <v>comment</v>
      </c>
      <c r="I356" s="2" t="str">
        <f>IFERROR(__xludf.DUMMYFUNCTION("""COMPUTED_VALUE"""),"https://www.facebook.com/rapplerdotcom/photos/a.317154781638645/5597612220259515/")</f>
        <v>https://www.facebook.com/rapplerdotcom/photos/a.317154781638645/5597612220259515/</v>
      </c>
      <c r="J356" s="1" t="str">
        <f>IFERROR(__xludf.DUMMYFUNCTION("""COMPUTED_VALUE"""),"2022-07-04T11:12:03.021Z")</f>
        <v>2022-07-04T11:12:03.021Z</v>
      </c>
      <c r="K356" s="1"/>
    </row>
    <row r="357">
      <c r="A357" s="2" t="str">
        <f>IFERROR(__xludf.DUMMYFUNCTION("""COMPUTED_VALUE"""),"https://www.facebook.com/nilo.seda")</f>
        <v>https://www.facebook.com/nilo.seda</v>
      </c>
      <c r="B357" s="1" t="str">
        <f>IFERROR(__xludf.DUMMYFUNCTION("""COMPUTED_VALUE"""),"Nilo Sasot Seda")</f>
        <v>Nilo Sasot Seda</v>
      </c>
      <c r="C357" s="1" t="str">
        <f>IFERROR(__xludf.DUMMYFUNCTION("""COMPUTED_VALUE"""),"Nilo")</f>
        <v>Nilo</v>
      </c>
      <c r="D357" s="1" t="str">
        <f>IFERROR(__xludf.DUMMYFUNCTION("""COMPUTED_VALUE"""),"Sasot Seda")</f>
        <v>Sasot Seda</v>
      </c>
      <c r="E357" s="1" t="str">
        <f>IFERROR(__xludf.DUMMYFUNCTION("""COMPUTED_VALUE"""),"THANK YOU PO CONG. PIDI AT MAYOR JENNY BARZAGA, #LETLENIKIKOLEAD IN CAVITE. MABUHAY SA MGA KABITENYONG MAY PANININDIGAN.")</f>
        <v>THANK YOU PO CONG. PIDI AT MAYOR JENNY BARZAGA, #LETLENIKIKOLEAD IN CAVITE. MABUHAY SA MGA KABITENYONG MAY PANININDIGAN.</v>
      </c>
      <c r="F357" s="1">
        <f>IFERROR(__xludf.DUMMYFUNCTION("""COMPUTED_VALUE"""),16.0)</f>
        <v>16</v>
      </c>
      <c r="G357" s="1" t="str">
        <f>IFERROR(__xludf.DUMMYFUNCTION("""COMPUTED_VALUE"""),"3 mos")</f>
        <v>3 mos</v>
      </c>
      <c r="H357" s="1" t="str">
        <f>IFERROR(__xludf.DUMMYFUNCTION("""COMPUTED_VALUE"""),"comment")</f>
        <v>comment</v>
      </c>
      <c r="I357" s="2" t="str">
        <f>IFERROR(__xludf.DUMMYFUNCTION("""COMPUTED_VALUE"""),"https://www.facebook.com/rapplerdotcom/photos/a.317154781638645/5597612220259515/")</f>
        <v>https://www.facebook.com/rapplerdotcom/photos/a.317154781638645/5597612220259515/</v>
      </c>
      <c r="J357" s="1" t="str">
        <f>IFERROR(__xludf.DUMMYFUNCTION("""COMPUTED_VALUE"""),"2022-07-04T11:12:03.021Z")</f>
        <v>2022-07-04T11:12:03.021Z</v>
      </c>
      <c r="K357" s="1"/>
    </row>
    <row r="358">
      <c r="A358" s="2" t="str">
        <f>IFERROR(__xludf.DUMMYFUNCTION("""COMPUTED_VALUE"""),"https://www.facebook.com/ditas.roxas")</f>
        <v>https://www.facebook.com/ditas.roxas</v>
      </c>
      <c r="B358" s="1" t="str">
        <f>IFERROR(__xludf.DUMMYFUNCTION("""COMPUTED_VALUE"""),"Ditas Rodis Roxas")</f>
        <v>Ditas Rodis Roxas</v>
      </c>
      <c r="C358" s="1" t="str">
        <f>IFERROR(__xludf.DUMMYFUNCTION("""COMPUTED_VALUE"""),"Ditas")</f>
        <v>Ditas</v>
      </c>
      <c r="D358" s="1" t="str">
        <f>IFERROR(__xludf.DUMMYFUNCTION("""COMPUTED_VALUE"""),"Rodis Roxas")</f>
        <v>Rodis Roxas</v>
      </c>
      <c r="E358" s="1" t="str">
        <f>IFERROR(__xludf.DUMMYFUNCTION("""COMPUTED_VALUE"""),"Thank you, sir for putting the interests of the country before the (selfish) interests of your party! #letlenilead #lenirobredoforpresident #kikopangilinanforvicepresident")</f>
        <v>Thank you, sir for putting the interests of the country before the (selfish) interests of your party! #letlenilead #lenirobredoforpresident #kikopangilinanforvicepresident</v>
      </c>
      <c r="F358" s="1">
        <f>IFERROR(__xludf.DUMMYFUNCTION("""COMPUTED_VALUE"""),42.0)</f>
        <v>42</v>
      </c>
      <c r="G358" s="1" t="str">
        <f>IFERROR(__xludf.DUMMYFUNCTION("""COMPUTED_VALUE"""),"3 mos")</f>
        <v>3 mos</v>
      </c>
      <c r="H358" s="1" t="str">
        <f>IFERROR(__xludf.DUMMYFUNCTION("""COMPUTED_VALUE"""),"comment")</f>
        <v>comment</v>
      </c>
      <c r="I358" s="2" t="str">
        <f>IFERROR(__xludf.DUMMYFUNCTION("""COMPUTED_VALUE"""),"https://www.facebook.com/rapplerdotcom/photos/a.317154781638645/5597612220259515/")</f>
        <v>https://www.facebook.com/rapplerdotcom/photos/a.317154781638645/5597612220259515/</v>
      </c>
      <c r="J358" s="1" t="str">
        <f>IFERROR(__xludf.DUMMYFUNCTION("""COMPUTED_VALUE"""),"2022-07-04T11:12:03.021Z")</f>
        <v>2022-07-04T11:12:03.021Z</v>
      </c>
      <c r="K358" s="1"/>
    </row>
    <row r="359">
      <c r="A359" s="2" t="str">
        <f>IFERROR(__xludf.DUMMYFUNCTION("""COMPUTED_VALUE"""),"https://www.facebook.com/julio.quian")</f>
        <v>https://www.facebook.com/julio.quian</v>
      </c>
      <c r="B359" s="1" t="str">
        <f>IFERROR(__xludf.DUMMYFUNCTION("""COMPUTED_VALUE"""),"Julio Quian")</f>
        <v>Julio Quian</v>
      </c>
      <c r="C359" s="1" t="str">
        <f>IFERROR(__xludf.DUMMYFUNCTION("""COMPUTED_VALUE"""),"Julio")</f>
        <v>Julio</v>
      </c>
      <c r="D359" s="1" t="str">
        <f>IFERROR(__xludf.DUMMYFUNCTION("""COMPUTED_VALUE"""),"Quian")</f>
        <v>Quian</v>
      </c>
      <c r="E359" s="1" t="str">
        <f>IFERROR(__xludf.DUMMYFUNCTION("""COMPUTED_VALUE"""),"Solid Sarah @Marco's nlang ako he is very good leader...!!!")</f>
        <v>Solid Sarah @Marco's nlang ako he is very good leader...!!!</v>
      </c>
      <c r="F359" s="1">
        <f>IFERROR(__xludf.DUMMYFUNCTION("""COMPUTED_VALUE"""),4.0)</f>
        <v>4</v>
      </c>
      <c r="G359" s="1" t="str">
        <f>IFERROR(__xludf.DUMMYFUNCTION("""COMPUTED_VALUE"""),"3 mos")</f>
        <v>3 mos</v>
      </c>
      <c r="H359" s="1" t="str">
        <f>IFERROR(__xludf.DUMMYFUNCTION("""COMPUTED_VALUE"""),"comment")</f>
        <v>comment</v>
      </c>
      <c r="I359" s="2" t="str">
        <f>IFERROR(__xludf.DUMMYFUNCTION("""COMPUTED_VALUE"""),"https://www.facebook.com/rapplerdotcom/photos/a.317154781638645/5597612220259515/")</f>
        <v>https://www.facebook.com/rapplerdotcom/photos/a.317154781638645/5597612220259515/</v>
      </c>
      <c r="J359" s="1" t="str">
        <f>IFERROR(__xludf.DUMMYFUNCTION("""COMPUTED_VALUE"""),"2022-07-04T11:12:03.021Z")</f>
        <v>2022-07-04T11:12:03.021Z</v>
      </c>
      <c r="K359" s="1"/>
    </row>
    <row r="360">
      <c r="A360" s="2" t="str">
        <f>IFERROR(__xludf.DUMMYFUNCTION("""COMPUTED_VALUE"""),"https://www.facebook.com/daisycanonizado.dalangin")</f>
        <v>https://www.facebook.com/daisycanonizado.dalangin</v>
      </c>
      <c r="B360" s="1" t="str">
        <f>IFERROR(__xludf.DUMMYFUNCTION("""COMPUTED_VALUE"""),"Daisy Canonizado Dalangin")</f>
        <v>Daisy Canonizado Dalangin</v>
      </c>
      <c r="C360" s="1" t="str">
        <f>IFERROR(__xludf.DUMMYFUNCTION("""COMPUTED_VALUE"""),"Daisy")</f>
        <v>Daisy</v>
      </c>
      <c r="D360" s="1" t="str">
        <f>IFERROR(__xludf.DUMMYFUNCTION("""COMPUTED_VALUE"""),"Canonizado Dalangin")</f>
        <v>Canonizado Dalangin</v>
      </c>
      <c r="E360" s="1" t="str">
        <f>IFERROR(__xludf.DUMMYFUNCTION("""COMPUTED_VALUE"""),"More and more will be awakened as 9 May approaches.  God works for the good of all.")</f>
        <v>More and more will be awakened as 9 May approaches.  God works for the good of all.</v>
      </c>
      <c r="F360" s="1">
        <f>IFERROR(__xludf.DUMMYFUNCTION("""COMPUTED_VALUE"""),8.0)</f>
        <v>8</v>
      </c>
      <c r="G360" s="1" t="str">
        <f>IFERROR(__xludf.DUMMYFUNCTION("""COMPUTED_VALUE"""),"3 mos")</f>
        <v>3 mos</v>
      </c>
      <c r="H360" s="1" t="str">
        <f>IFERROR(__xludf.DUMMYFUNCTION("""COMPUTED_VALUE"""),"comment")</f>
        <v>comment</v>
      </c>
      <c r="I360" s="2" t="str">
        <f>IFERROR(__xludf.DUMMYFUNCTION("""COMPUTED_VALUE"""),"https://www.facebook.com/rapplerdotcom/photos/a.317154781638645/5597612220259515/")</f>
        <v>https://www.facebook.com/rapplerdotcom/photos/a.317154781638645/5597612220259515/</v>
      </c>
      <c r="J360" s="1" t="str">
        <f>IFERROR(__xludf.DUMMYFUNCTION("""COMPUTED_VALUE"""),"2022-07-04T11:12:03.021Z")</f>
        <v>2022-07-04T11:12:03.021Z</v>
      </c>
      <c r="K360" s="1"/>
    </row>
    <row r="361">
      <c r="A361" s="2" t="str">
        <f>IFERROR(__xludf.DUMMYFUNCTION("""COMPUTED_VALUE"""),"https://www.facebook.com/francis.noel.5686")</f>
        <v>https://www.facebook.com/francis.noel.5686</v>
      </c>
      <c r="B361" s="1" t="str">
        <f>IFERROR(__xludf.DUMMYFUNCTION("""COMPUTED_VALUE"""),"ArFrancis Noel")</f>
        <v>ArFrancis Noel</v>
      </c>
      <c r="C361" s="1" t="str">
        <f>IFERROR(__xludf.DUMMYFUNCTION("""COMPUTED_VALUE"""),"ArFrancis")</f>
        <v>ArFrancis</v>
      </c>
      <c r="D361" s="1" t="str">
        <f>IFERROR(__xludf.DUMMYFUNCTION("""COMPUTED_VALUE"""),"Noel")</f>
        <v>Noel</v>
      </c>
      <c r="E361" s="1" t="str">
        <f>IFERROR(__xludf.DUMMYFUNCTION("""COMPUTED_VALUE"""),"Tides turning. No to Trapos, We Deserved Better! #LeniKikoAllTheWay")</f>
        <v>Tides turning. No to Trapos, We Deserved Better! #LeniKikoAllTheWay</v>
      </c>
      <c r="F361" s="1">
        <f>IFERROR(__xludf.DUMMYFUNCTION("""COMPUTED_VALUE"""),45.0)</f>
        <v>45</v>
      </c>
      <c r="G361" s="1" t="str">
        <f>IFERROR(__xludf.DUMMYFUNCTION("""COMPUTED_VALUE"""),"3 mos")</f>
        <v>3 mos</v>
      </c>
      <c r="H361" s="1" t="str">
        <f>IFERROR(__xludf.DUMMYFUNCTION("""COMPUTED_VALUE"""),"comment")</f>
        <v>comment</v>
      </c>
      <c r="I361" s="2" t="str">
        <f>IFERROR(__xludf.DUMMYFUNCTION("""COMPUTED_VALUE"""),"https://www.facebook.com/rapplerdotcom/photos/a.317154781638645/5597612220259515/")</f>
        <v>https://www.facebook.com/rapplerdotcom/photos/a.317154781638645/5597612220259515/</v>
      </c>
      <c r="J361" s="1" t="str">
        <f>IFERROR(__xludf.DUMMYFUNCTION("""COMPUTED_VALUE"""),"2022-07-04T11:12:03.021Z")</f>
        <v>2022-07-04T11:12:03.021Z</v>
      </c>
      <c r="K361" s="1"/>
    </row>
    <row r="362">
      <c r="A362" s="2" t="str">
        <f>IFERROR(__xludf.DUMMYFUNCTION("""COMPUTED_VALUE"""),"https://www.facebook.com/christinefamulagan")</f>
        <v>https://www.facebook.com/christinefamulagan</v>
      </c>
      <c r="B362" s="1" t="str">
        <f>IFERROR(__xludf.DUMMYFUNCTION("""COMPUTED_VALUE"""),"Tine Nagalumaf")</f>
        <v>Tine Nagalumaf</v>
      </c>
      <c r="C362" s="1" t="str">
        <f>IFERROR(__xludf.DUMMYFUNCTION("""COMPUTED_VALUE"""),"Tine")</f>
        <v>Tine</v>
      </c>
      <c r="D362" s="1" t="str">
        <f>IFERROR(__xludf.DUMMYFUNCTION("""COMPUTED_VALUE"""),"Nagalumaf")</f>
        <v>Nagalumaf</v>
      </c>
      <c r="E362" s="1" t="str">
        <f>IFERROR(__xludf.DUMMYFUNCTION("""COMPUTED_VALUE"""),"ArFrancis Noel  We deserved better. So, why settle for anything less. ,#lenikiko2022")</f>
        <v>ArFrancis Noel  We deserved better. So, why settle for anything less. ,#lenikiko2022</v>
      </c>
      <c r="F362" s="1">
        <f>IFERROR(__xludf.DUMMYFUNCTION("""COMPUTED_VALUE"""),4.0)</f>
        <v>4</v>
      </c>
      <c r="G362" s="1" t="str">
        <f>IFERROR(__xludf.DUMMYFUNCTION("""COMPUTED_VALUE"""),"3 mos")</f>
        <v>3 mos</v>
      </c>
      <c r="H362" s="1" t="str">
        <f>IFERROR(__xludf.DUMMYFUNCTION("""COMPUTED_VALUE"""),"reply")</f>
        <v>reply</v>
      </c>
      <c r="I362" s="2" t="str">
        <f>IFERROR(__xludf.DUMMYFUNCTION("""COMPUTED_VALUE"""),"https://www.facebook.com/rapplerdotcom/photos/a.317154781638645/5597612220259515/")</f>
        <v>https://www.facebook.com/rapplerdotcom/photos/a.317154781638645/5597612220259515/</v>
      </c>
      <c r="J362" s="1" t="str">
        <f>IFERROR(__xludf.DUMMYFUNCTION("""COMPUTED_VALUE"""),"2022-07-04T11:12:03.021Z")</f>
        <v>2022-07-04T11:12:03.021Z</v>
      </c>
      <c r="K362" s="1"/>
    </row>
    <row r="363">
      <c r="A363" s="2" t="str">
        <f>IFERROR(__xludf.DUMMYFUNCTION("""COMPUTED_VALUE"""),"https://www.facebook.com/christinefamulagan")</f>
        <v>https://www.facebook.com/christinefamulagan</v>
      </c>
      <c r="B363" s="1" t="str">
        <f>IFERROR(__xludf.DUMMYFUNCTION("""COMPUTED_VALUE"""),"Tine Nagalumaf")</f>
        <v>Tine Nagalumaf</v>
      </c>
      <c r="C363" s="1" t="str">
        <f>IFERROR(__xludf.DUMMYFUNCTION("""COMPUTED_VALUE"""),"Tine")</f>
        <v>Tine</v>
      </c>
      <c r="D363" s="1" t="str">
        <f>IFERROR(__xludf.DUMMYFUNCTION("""COMPUTED_VALUE"""),"Nagalumaf")</f>
        <v>Nagalumaf</v>
      </c>
      <c r="E363" s="1" t="str">
        <f>IFERROR(__xludf.DUMMYFUNCTION("""COMPUTED_VALUE"""),"Tine Nagalumaf")</f>
        <v>Tine Nagalumaf</v>
      </c>
      <c r="F363" s="1"/>
      <c r="G363" s="1" t="str">
        <f>IFERROR(__xludf.DUMMYFUNCTION("""COMPUTED_VALUE"""),"3 mos")</f>
        <v>3 mos</v>
      </c>
      <c r="H363" s="1" t="str">
        <f>IFERROR(__xludf.DUMMYFUNCTION("""COMPUTED_VALUE"""),"reply")</f>
        <v>reply</v>
      </c>
      <c r="I363" s="2" t="str">
        <f>IFERROR(__xludf.DUMMYFUNCTION("""COMPUTED_VALUE"""),"https://www.facebook.com/rapplerdotcom/photos/a.317154781638645/5597612220259515/")</f>
        <v>https://www.facebook.com/rapplerdotcom/photos/a.317154781638645/5597612220259515/</v>
      </c>
      <c r="J363" s="1" t="str">
        <f>IFERROR(__xludf.DUMMYFUNCTION("""COMPUTED_VALUE"""),"2022-07-04T11:12:03.021Z")</f>
        <v>2022-07-04T11:12:03.021Z</v>
      </c>
      <c r="K363" s="1"/>
    </row>
    <row r="364">
      <c r="A364" s="2" t="str">
        <f>IFERROR(__xludf.DUMMYFUNCTION("""COMPUTED_VALUE"""),"https://www.facebook.com/fatiph.rack")</f>
        <v>https://www.facebook.com/fatiph.rack</v>
      </c>
      <c r="B364" s="1" t="str">
        <f>IFERROR(__xludf.DUMMYFUNCTION("""COMPUTED_VALUE"""),"Fatiph Rack")</f>
        <v>Fatiph Rack</v>
      </c>
      <c r="C364" s="1" t="str">
        <f>IFERROR(__xludf.DUMMYFUNCTION("""COMPUTED_VALUE"""),"Fatiph")</f>
        <v>Fatiph</v>
      </c>
      <c r="D364" s="1" t="str">
        <f>IFERROR(__xludf.DUMMYFUNCTION("""COMPUTED_VALUE"""),"Rack")</f>
        <v>Rack</v>
      </c>
      <c r="E364" s="1" t="str">
        <f>IFERROR(__xludf.DUMMYFUNCTION("""COMPUTED_VALUE"""),"So, Pidi is now insignificant to his party. He should resign.")</f>
        <v>So, Pidi is now insignificant to his party. He should resign.</v>
      </c>
      <c r="F364" s="1">
        <f>IFERROR(__xludf.DUMMYFUNCTION("""COMPUTED_VALUE"""),4.0)</f>
        <v>4</v>
      </c>
      <c r="G364" s="1" t="str">
        <f>IFERROR(__xludf.DUMMYFUNCTION("""COMPUTED_VALUE"""),"3 mos")</f>
        <v>3 mos</v>
      </c>
      <c r="H364" s="1" t="str">
        <f>IFERROR(__xludf.DUMMYFUNCTION("""COMPUTED_VALUE"""),"comment")</f>
        <v>comment</v>
      </c>
      <c r="I364" s="2" t="str">
        <f>IFERROR(__xludf.DUMMYFUNCTION("""COMPUTED_VALUE"""),"https://www.facebook.com/rapplerdotcom/photos/a.317154781638645/5597612220259515/")</f>
        <v>https://www.facebook.com/rapplerdotcom/photos/a.317154781638645/5597612220259515/</v>
      </c>
      <c r="J364" s="1" t="str">
        <f>IFERROR(__xludf.DUMMYFUNCTION("""COMPUTED_VALUE"""),"2022-07-04T11:12:03.021Z")</f>
        <v>2022-07-04T11:12:03.021Z</v>
      </c>
      <c r="K364" s="1"/>
    </row>
    <row r="365">
      <c r="A365" s="2" t="str">
        <f>IFERROR(__xludf.DUMMYFUNCTION("""COMPUTED_VALUE"""),"https://www.facebook.com/judema.cruz")</f>
        <v>https://www.facebook.com/judema.cruz</v>
      </c>
      <c r="B365" s="1" t="str">
        <f>IFERROR(__xludf.DUMMYFUNCTION("""COMPUTED_VALUE"""),"Judema Sedonio Cruz")</f>
        <v>Judema Sedonio Cruz</v>
      </c>
      <c r="C365" s="1" t="str">
        <f>IFERROR(__xludf.DUMMYFUNCTION("""COMPUTED_VALUE"""),"Judema")</f>
        <v>Judema</v>
      </c>
      <c r="D365" s="1" t="str">
        <f>IFERROR(__xludf.DUMMYFUNCTION("""COMPUTED_VALUE"""),"Sedonio Cruz")</f>
        <v>Sedonio Cruz</v>
      </c>
      <c r="E365" s="1" t="str">
        <f>IFERROR(__xludf.DUMMYFUNCTION("""COMPUTED_VALUE"""),"Thank you for your support, Cong. Barzaga! May others follow too!")</f>
        <v>Thank you for your support, Cong. Barzaga! May others follow too!</v>
      </c>
      <c r="F365" s="1">
        <f>IFERROR(__xludf.DUMMYFUNCTION("""COMPUTED_VALUE"""),16.0)</f>
        <v>16</v>
      </c>
      <c r="G365" s="1" t="str">
        <f>IFERROR(__xludf.DUMMYFUNCTION("""COMPUTED_VALUE"""),"3 mos")</f>
        <v>3 mos</v>
      </c>
      <c r="H365" s="1" t="str">
        <f>IFERROR(__xludf.DUMMYFUNCTION("""COMPUTED_VALUE"""),"comment")</f>
        <v>comment</v>
      </c>
      <c r="I365" s="2" t="str">
        <f>IFERROR(__xludf.DUMMYFUNCTION("""COMPUTED_VALUE"""),"https://www.facebook.com/rapplerdotcom/photos/a.317154781638645/5597612220259515/")</f>
        <v>https://www.facebook.com/rapplerdotcom/photos/a.317154781638645/5597612220259515/</v>
      </c>
      <c r="J365" s="1" t="str">
        <f>IFERROR(__xludf.DUMMYFUNCTION("""COMPUTED_VALUE"""),"2022-07-04T11:12:03.021Z")</f>
        <v>2022-07-04T11:12:03.021Z</v>
      </c>
      <c r="K365" s="1"/>
    </row>
    <row r="366">
      <c r="A366" s="2" t="str">
        <f>IFERROR(__xludf.DUMMYFUNCTION("""COMPUTED_VALUE"""),"https://www.facebook.com/gene.oarde")</f>
        <v>https://www.facebook.com/gene.oarde</v>
      </c>
      <c r="B366" s="1" t="str">
        <f>IFERROR(__xludf.DUMMYFUNCTION("""COMPUTED_VALUE"""),"Gene Oarde")</f>
        <v>Gene Oarde</v>
      </c>
      <c r="C366" s="1" t="str">
        <f>IFERROR(__xludf.DUMMYFUNCTION("""COMPUTED_VALUE"""),"Gene")</f>
        <v>Gene</v>
      </c>
      <c r="D366" s="1" t="str">
        <f>IFERROR(__xludf.DUMMYFUNCTION("""COMPUTED_VALUE"""),"Oarde")</f>
        <v>Oarde</v>
      </c>
      <c r="E366" s="1" t="str">
        <f>IFERROR(__xludf.DUMMYFUNCTION("""COMPUTED_VALUE"""),"Thank u Sir Atty Pedi Barzaga .Kakampink tayo. Lalo ka pa naming susuportahan ngayun at sa mga darating na panahon. KULAY ROSAS ANG DASMARIÑAS💗💗💗")</f>
        <v>Thank u Sir Atty Pedi Barzaga .Kakampink tayo. Lalo ka pa naming susuportahan ngayun at sa mga darating na panahon. KULAY ROSAS ANG DASMARIÑAS💗💗💗</v>
      </c>
      <c r="F366" s="1"/>
      <c r="G366" s="1" t="str">
        <f>IFERROR(__xludf.DUMMYFUNCTION("""COMPUTED_VALUE"""),"3 mos")</f>
        <v>3 mos</v>
      </c>
      <c r="H366" s="1" t="str">
        <f>IFERROR(__xludf.DUMMYFUNCTION("""COMPUTED_VALUE"""),"comment")</f>
        <v>comment</v>
      </c>
      <c r="I366" s="2" t="str">
        <f>IFERROR(__xludf.DUMMYFUNCTION("""COMPUTED_VALUE"""),"https://www.facebook.com/rapplerdotcom/photos/a.317154781638645/5597612220259515/")</f>
        <v>https://www.facebook.com/rapplerdotcom/photos/a.317154781638645/5597612220259515/</v>
      </c>
      <c r="J366" s="1" t="str">
        <f>IFERROR(__xludf.DUMMYFUNCTION("""COMPUTED_VALUE"""),"2022-07-04T11:12:03.021Z")</f>
        <v>2022-07-04T11:12:03.021Z</v>
      </c>
      <c r="K366" s="1"/>
    </row>
    <row r="367">
      <c r="A367" s="2" t="str">
        <f>IFERROR(__xludf.DUMMYFUNCTION("""COMPUTED_VALUE"""),"https://www.facebook.com/jovito.tamayo.7")</f>
        <v>https://www.facebook.com/jovito.tamayo.7</v>
      </c>
      <c r="B367" s="1" t="str">
        <f>IFERROR(__xludf.DUMMYFUNCTION("""COMPUTED_VALUE"""),"Jovito Tamayo")</f>
        <v>Jovito Tamayo</v>
      </c>
      <c r="C367" s="1" t="str">
        <f>IFERROR(__xludf.DUMMYFUNCTION("""COMPUTED_VALUE"""),"Jovito")</f>
        <v>Jovito</v>
      </c>
      <c r="D367" s="1" t="str">
        <f>IFERROR(__xludf.DUMMYFUNCTION("""COMPUTED_VALUE"""),"Tamayo")</f>
        <v>Tamayo</v>
      </c>
      <c r="E367" s="1" t="str">
        <f>IFERROR(__xludf.DUMMYFUNCTION("""COMPUTED_VALUE"""),"Only one vote for President whole NUP thousands of voters")</f>
        <v>Only one vote for President whole NUP thousands of voters</v>
      </c>
      <c r="F367" s="1">
        <f>IFERROR(__xludf.DUMMYFUNCTION("""COMPUTED_VALUE"""),3.0)</f>
        <v>3</v>
      </c>
      <c r="G367" s="1" t="str">
        <f>IFERROR(__xludf.DUMMYFUNCTION("""COMPUTED_VALUE"""),"3 mos")</f>
        <v>3 mos</v>
      </c>
      <c r="H367" s="1" t="str">
        <f>IFERROR(__xludf.DUMMYFUNCTION("""COMPUTED_VALUE"""),"comment")</f>
        <v>comment</v>
      </c>
      <c r="I367" s="2" t="str">
        <f>IFERROR(__xludf.DUMMYFUNCTION("""COMPUTED_VALUE"""),"https://www.facebook.com/rapplerdotcom/photos/a.317154781638645/5597612220259515/")</f>
        <v>https://www.facebook.com/rapplerdotcom/photos/a.317154781638645/5597612220259515/</v>
      </c>
      <c r="J367" s="1" t="str">
        <f>IFERROR(__xludf.DUMMYFUNCTION("""COMPUTED_VALUE"""),"2022-07-04T11:12:03.021Z")</f>
        <v>2022-07-04T11:12:03.021Z</v>
      </c>
      <c r="K367" s="1"/>
    </row>
    <row r="368">
      <c r="A368" s="2" t="str">
        <f>IFERROR(__xludf.DUMMYFUNCTION("""COMPUTED_VALUE"""),"https://www.facebook.com/profile.php?id=100005697048693")</f>
        <v>https://www.facebook.com/profile.php?id=100005697048693</v>
      </c>
      <c r="B368" s="1" t="str">
        <f>IFERROR(__xludf.DUMMYFUNCTION("""COMPUTED_VALUE"""),"Jaime Marshall")</f>
        <v>Jaime Marshall</v>
      </c>
      <c r="C368" s="1" t="str">
        <f>IFERROR(__xludf.DUMMYFUNCTION("""COMPUTED_VALUE"""),"Jaime")</f>
        <v>Jaime</v>
      </c>
      <c r="D368" s="1" t="str">
        <f>IFERROR(__xludf.DUMMYFUNCTION("""COMPUTED_VALUE"""),"Marshall")</f>
        <v>Marshall</v>
      </c>
      <c r="E368" s="1" t="str">
        <f>IFERROR(__xludf.DUMMYFUNCTION("""COMPUTED_VALUE"""),"Good decision Cong Barsaga, Mabuhay po kayi #KayLeniAngatBuhayLahat  #LetLeniLead2022  #neveragain  #neverforget  #RosasAngKulayNgBukas")</f>
        <v>Good decision Cong Barsaga, Mabuhay po kayi #KayLeniAngatBuhayLahat  #LetLeniLead2022  #neveragain  #neverforget  #RosasAngKulayNgBukas</v>
      </c>
      <c r="F368" s="1">
        <f>IFERROR(__xludf.DUMMYFUNCTION("""COMPUTED_VALUE"""),4.0)</f>
        <v>4</v>
      </c>
      <c r="G368" s="1" t="str">
        <f>IFERROR(__xludf.DUMMYFUNCTION("""COMPUTED_VALUE"""),"3 mos")</f>
        <v>3 mos</v>
      </c>
      <c r="H368" s="1" t="str">
        <f>IFERROR(__xludf.DUMMYFUNCTION("""COMPUTED_VALUE"""),"comment")</f>
        <v>comment</v>
      </c>
      <c r="I368" s="2" t="str">
        <f>IFERROR(__xludf.DUMMYFUNCTION("""COMPUTED_VALUE"""),"https://www.facebook.com/rapplerdotcom/photos/a.317154781638645/5597612220259515/")</f>
        <v>https://www.facebook.com/rapplerdotcom/photos/a.317154781638645/5597612220259515/</v>
      </c>
      <c r="J368" s="1" t="str">
        <f>IFERROR(__xludf.DUMMYFUNCTION("""COMPUTED_VALUE"""),"2022-07-04T11:12:03.021Z")</f>
        <v>2022-07-04T11:12:03.021Z</v>
      </c>
      <c r="K368" s="1"/>
    </row>
    <row r="369">
      <c r="A369" s="2" t="str">
        <f>IFERROR(__xludf.DUMMYFUNCTION("""COMPUTED_VALUE"""),"https://www.facebook.com/angelo.amistoso.5")</f>
        <v>https://www.facebook.com/angelo.amistoso.5</v>
      </c>
      <c r="B369" s="1" t="str">
        <f>IFERROR(__xludf.DUMMYFUNCTION("""COMPUTED_VALUE"""),"Angelo Amistoso")</f>
        <v>Angelo Amistoso</v>
      </c>
      <c r="C369" s="1" t="str">
        <f>IFERROR(__xludf.DUMMYFUNCTION("""COMPUTED_VALUE"""),"Angelo")</f>
        <v>Angelo</v>
      </c>
      <c r="D369" s="1" t="str">
        <f>IFERROR(__xludf.DUMMYFUNCTION("""COMPUTED_VALUE"""),"Amistoso")</f>
        <v>Amistoso</v>
      </c>
      <c r="E369" s="1" t="str">
        <f>IFERROR(__xludf.DUMMYFUNCTION("""COMPUTED_VALUE"""),"There is no such thing as party principle, but mere move for political survival. BS this system !")</f>
        <v>There is no such thing as party principle, but mere move for political survival. BS this system !</v>
      </c>
      <c r="F369" s="1"/>
      <c r="G369" s="1" t="str">
        <f>IFERROR(__xludf.DUMMYFUNCTION("""COMPUTED_VALUE"""),"3 mos")</f>
        <v>3 mos</v>
      </c>
      <c r="H369" s="1" t="str">
        <f>IFERROR(__xludf.DUMMYFUNCTION("""COMPUTED_VALUE"""),"comment")</f>
        <v>comment</v>
      </c>
      <c r="I369" s="2" t="str">
        <f>IFERROR(__xludf.DUMMYFUNCTION("""COMPUTED_VALUE"""),"https://www.facebook.com/rapplerdotcom/photos/a.317154781638645/5597612220259515/")</f>
        <v>https://www.facebook.com/rapplerdotcom/photos/a.317154781638645/5597612220259515/</v>
      </c>
      <c r="J369" s="1" t="str">
        <f>IFERROR(__xludf.DUMMYFUNCTION("""COMPUTED_VALUE"""),"2022-07-04T11:12:03.021Z")</f>
        <v>2022-07-04T11:12:03.021Z</v>
      </c>
      <c r="K369" s="1"/>
    </row>
    <row r="370">
      <c r="A370" s="2" t="str">
        <f>IFERROR(__xludf.DUMMYFUNCTION("""COMPUTED_VALUE"""),"https://www.facebook.com/ocir18")</f>
        <v>https://www.facebook.com/ocir18</v>
      </c>
      <c r="B370" s="1" t="str">
        <f>IFERROR(__xludf.DUMMYFUNCTION("""COMPUTED_VALUE"""),"Rico Iballa")</f>
        <v>Rico Iballa</v>
      </c>
      <c r="C370" s="1" t="str">
        <f>IFERROR(__xludf.DUMMYFUNCTION("""COMPUTED_VALUE"""),"Rico")</f>
        <v>Rico</v>
      </c>
      <c r="D370" s="1" t="str">
        <f>IFERROR(__xludf.DUMMYFUNCTION("""COMPUTED_VALUE"""),"Iballa")</f>
        <v>Iballa</v>
      </c>
      <c r="E370" s="1" t="str">
        <f>IFERROR(__xludf.DUMMYFUNCTION("""COMPUTED_VALUE"""),"""My loyalty to my party ends where my loyalty to my country begins""...Former Pres. Manuel L. Quezon.")</f>
        <v>"My loyalty to my party ends where my loyalty to my country begins"...Former Pres. Manuel L. Quezon.</v>
      </c>
      <c r="F370" s="1">
        <f>IFERROR(__xludf.DUMMYFUNCTION("""COMPUTED_VALUE"""),17.0)</f>
        <v>17</v>
      </c>
      <c r="G370" s="1" t="str">
        <f>IFERROR(__xludf.DUMMYFUNCTION("""COMPUTED_VALUE"""),"3 mos")</f>
        <v>3 mos</v>
      </c>
      <c r="H370" s="1" t="str">
        <f>IFERROR(__xludf.DUMMYFUNCTION("""COMPUTED_VALUE"""),"comment")</f>
        <v>comment</v>
      </c>
      <c r="I370" s="2" t="str">
        <f>IFERROR(__xludf.DUMMYFUNCTION("""COMPUTED_VALUE"""),"https://www.facebook.com/rapplerdotcom/photos/a.317154781638645/5597612220259515/")</f>
        <v>https://www.facebook.com/rapplerdotcom/photos/a.317154781638645/5597612220259515/</v>
      </c>
      <c r="J370" s="1" t="str">
        <f>IFERROR(__xludf.DUMMYFUNCTION("""COMPUTED_VALUE"""),"2022-07-04T11:12:03.021Z")</f>
        <v>2022-07-04T11:12:03.021Z</v>
      </c>
      <c r="K370" s="1"/>
    </row>
    <row r="371">
      <c r="A371" s="2" t="str">
        <f>IFERROR(__xludf.DUMMYFUNCTION("""COMPUTED_VALUE"""),"https://www.facebook.com/babettemendelebar")</f>
        <v>https://www.facebook.com/babettemendelebar</v>
      </c>
      <c r="B371" s="1" t="str">
        <f>IFERROR(__xludf.DUMMYFUNCTION("""COMPUTED_VALUE"""),"Babette Mendelebar")</f>
        <v>Babette Mendelebar</v>
      </c>
      <c r="C371" s="1" t="str">
        <f>IFERROR(__xludf.DUMMYFUNCTION("""COMPUTED_VALUE"""),"Babette")</f>
        <v>Babette</v>
      </c>
      <c r="D371" s="1" t="str">
        <f>IFERROR(__xludf.DUMMYFUNCTION("""COMPUTED_VALUE"""),"Mendelebar")</f>
        <v>Mendelebar</v>
      </c>
      <c r="E371" s="1" t="str">
        <f>IFERROR(__xludf.DUMMYFUNCTION("""COMPUTED_VALUE"""),"Good  decision Mayor Jen. ❤️")</f>
        <v>Good  decision Mayor Jen. ❤️</v>
      </c>
      <c r="F371" s="1"/>
      <c r="G371" s="1" t="str">
        <f>IFERROR(__xludf.DUMMYFUNCTION("""COMPUTED_VALUE"""),"3 mos")</f>
        <v>3 mos</v>
      </c>
      <c r="H371" s="1" t="str">
        <f>IFERROR(__xludf.DUMMYFUNCTION("""COMPUTED_VALUE"""),"comment")</f>
        <v>comment</v>
      </c>
      <c r="I371" s="2" t="str">
        <f>IFERROR(__xludf.DUMMYFUNCTION("""COMPUTED_VALUE"""),"https://www.facebook.com/rapplerdotcom/photos/a.317154781638645/5597612220259515/")</f>
        <v>https://www.facebook.com/rapplerdotcom/photos/a.317154781638645/5597612220259515/</v>
      </c>
      <c r="J371" s="1" t="str">
        <f>IFERROR(__xludf.DUMMYFUNCTION("""COMPUTED_VALUE"""),"2022-07-04T11:12:03.021Z")</f>
        <v>2022-07-04T11:12:03.021Z</v>
      </c>
      <c r="K371" s="1"/>
    </row>
    <row r="372">
      <c r="A372" s="2" t="str">
        <f>IFERROR(__xludf.DUMMYFUNCTION("""COMPUTED_VALUE"""),"https://www.facebook.com/hector.t.padilla")</f>
        <v>https://www.facebook.com/hector.t.padilla</v>
      </c>
      <c r="B372" s="1" t="str">
        <f>IFERROR(__xludf.DUMMYFUNCTION("""COMPUTED_VALUE"""),"Hector Tagamolila Padilla")</f>
        <v>Hector Tagamolila Padilla</v>
      </c>
      <c r="C372" s="1" t="str">
        <f>IFERROR(__xludf.DUMMYFUNCTION("""COMPUTED_VALUE"""),"Hector")</f>
        <v>Hector</v>
      </c>
      <c r="D372" s="1" t="str">
        <f>IFERROR(__xludf.DUMMYFUNCTION("""COMPUTED_VALUE"""),"Tagamolila Padilla")</f>
        <v>Tagamolila Padilla</v>
      </c>
      <c r="E372" s="1" t="str">
        <f>IFERROR(__xludf.DUMMYFUNCTION("""COMPUTED_VALUE"""),"Thank you sir for putting your country first 🙏 #LetLeniLead #LeniKiko2022 💗💗💗")</f>
        <v>Thank you sir for putting your country first 🙏 #LetLeniLead #LeniKiko2022 💗💗💗</v>
      </c>
      <c r="F372" s="1">
        <f>IFERROR(__xludf.DUMMYFUNCTION("""COMPUTED_VALUE"""),10.0)</f>
        <v>10</v>
      </c>
      <c r="G372" s="1" t="str">
        <f>IFERROR(__xludf.DUMMYFUNCTION("""COMPUTED_VALUE"""),"3 mos")</f>
        <v>3 mos</v>
      </c>
      <c r="H372" s="1" t="str">
        <f>IFERROR(__xludf.DUMMYFUNCTION("""COMPUTED_VALUE"""),"comment")</f>
        <v>comment</v>
      </c>
      <c r="I372" s="2" t="str">
        <f>IFERROR(__xludf.DUMMYFUNCTION("""COMPUTED_VALUE"""),"https://www.facebook.com/rapplerdotcom/photos/a.317154781638645/5597612220259515/")</f>
        <v>https://www.facebook.com/rapplerdotcom/photos/a.317154781638645/5597612220259515/</v>
      </c>
      <c r="J372" s="1" t="str">
        <f>IFERROR(__xludf.DUMMYFUNCTION("""COMPUTED_VALUE"""),"2022-07-04T11:12:03.021Z")</f>
        <v>2022-07-04T11:12:03.021Z</v>
      </c>
      <c r="K372" s="1"/>
    </row>
    <row r="373">
      <c r="A373" s="2" t="str">
        <f>IFERROR(__xludf.DUMMYFUNCTION("""COMPUTED_VALUE"""),"https://www.facebook.com/zenaida.laguio.75")</f>
        <v>https://www.facebook.com/zenaida.laguio.75</v>
      </c>
      <c r="B373" s="1" t="str">
        <f>IFERROR(__xludf.DUMMYFUNCTION("""COMPUTED_VALUE"""),"Zenaida Laguio")</f>
        <v>Zenaida Laguio</v>
      </c>
      <c r="C373" s="1" t="str">
        <f>IFERROR(__xludf.DUMMYFUNCTION("""COMPUTED_VALUE"""),"Zenaida")</f>
        <v>Zenaida</v>
      </c>
      <c r="D373" s="1" t="str">
        <f>IFERROR(__xludf.DUMMYFUNCTION("""COMPUTED_VALUE"""),"Laguio")</f>
        <v>Laguio</v>
      </c>
      <c r="E373" s="1" t="str">
        <f>IFERROR(__xludf.DUMMYFUNCTION("""COMPUTED_VALUE"""),"Truth and justice prevail even it hurts... thanks God.,.")</f>
        <v>Truth and justice prevail even it hurts... thanks God.,.</v>
      </c>
      <c r="F373" s="1">
        <f>IFERROR(__xludf.DUMMYFUNCTION("""COMPUTED_VALUE"""),10.0)</f>
        <v>10</v>
      </c>
      <c r="G373" s="1" t="str">
        <f>IFERROR(__xludf.DUMMYFUNCTION("""COMPUTED_VALUE"""),"3 mos")</f>
        <v>3 mos</v>
      </c>
      <c r="H373" s="1" t="str">
        <f>IFERROR(__xludf.DUMMYFUNCTION("""COMPUTED_VALUE"""),"comment")</f>
        <v>comment</v>
      </c>
      <c r="I373" s="2" t="str">
        <f>IFERROR(__xludf.DUMMYFUNCTION("""COMPUTED_VALUE"""),"https://www.facebook.com/rapplerdotcom/photos/a.317154781638645/5597612220259515/")</f>
        <v>https://www.facebook.com/rapplerdotcom/photos/a.317154781638645/5597612220259515/</v>
      </c>
      <c r="J373" s="1" t="str">
        <f>IFERROR(__xludf.DUMMYFUNCTION("""COMPUTED_VALUE"""),"2022-07-04T11:12:03.021Z")</f>
        <v>2022-07-04T11:12:03.021Z</v>
      </c>
      <c r="K373" s="1"/>
    </row>
    <row r="374">
      <c r="A374" s="2" t="str">
        <f>IFERROR(__xludf.DUMMYFUNCTION("""COMPUTED_VALUE"""),"https://www.facebook.com/nelson.figueroa.1048")</f>
        <v>https://www.facebook.com/nelson.figueroa.1048</v>
      </c>
      <c r="B374" s="1" t="str">
        <f>IFERROR(__xludf.DUMMYFUNCTION("""COMPUTED_VALUE"""),"Nelson Figueroa")</f>
        <v>Nelson Figueroa</v>
      </c>
      <c r="C374" s="1" t="str">
        <f>IFERROR(__xludf.DUMMYFUNCTION("""COMPUTED_VALUE"""),"Nelson")</f>
        <v>Nelson</v>
      </c>
      <c r="D374" s="1" t="str">
        <f>IFERROR(__xludf.DUMMYFUNCTION("""COMPUTED_VALUE"""),"Figueroa")</f>
        <v>Figueroa</v>
      </c>
      <c r="E374" s="1" t="str">
        <f>IFERROR(__xludf.DUMMYFUNCTION("""COMPUTED_VALUE"""),"ROSA is dead. “Team Unity also endorsed Davao City Mayor Sara Duterte for vice president, supporting the RoSa (Robredo-Sara) movement brewing in Mindanao.” https://mb.com.ph/2022/03/27/robredo-endorsed-by-misamis-oriental-cavite-local-execs-nup-defied/")</f>
        <v>ROSA is dead. “Team Unity also endorsed Davao City Mayor Sara Duterte for vice president, supporting the RoSa (Robredo-Sara) movement brewing in Mindanao.” https://mb.com.ph/2022/03/27/robredo-endorsed-by-misamis-oriental-cavite-local-execs-nup-defied/</v>
      </c>
      <c r="F374" s="1"/>
      <c r="G374" s="1" t="str">
        <f>IFERROR(__xludf.DUMMYFUNCTION("""COMPUTED_VALUE"""),"3 mos")</f>
        <v>3 mos</v>
      </c>
      <c r="H374" s="1" t="str">
        <f>IFERROR(__xludf.DUMMYFUNCTION("""COMPUTED_VALUE"""),"comment")</f>
        <v>comment</v>
      </c>
      <c r="I374" s="2" t="str">
        <f>IFERROR(__xludf.DUMMYFUNCTION("""COMPUTED_VALUE"""),"https://www.facebook.com/rapplerdotcom/photos/a.317154781638645/5597612220259515/")</f>
        <v>https://www.facebook.com/rapplerdotcom/photos/a.317154781638645/5597612220259515/</v>
      </c>
      <c r="J374" s="1" t="str">
        <f>IFERROR(__xludf.DUMMYFUNCTION("""COMPUTED_VALUE"""),"2022-07-04T11:12:03.021Z")</f>
        <v>2022-07-04T11:12:03.021Z</v>
      </c>
      <c r="K374" s="1"/>
    </row>
    <row r="375">
      <c r="A375" s="2" t="str">
        <f>IFERROR(__xludf.DUMMYFUNCTION("""COMPUTED_VALUE"""),"https://www.facebook.com/chito.say.9")</f>
        <v>https://www.facebook.com/chito.say.9</v>
      </c>
      <c r="B375" s="1" t="str">
        <f>IFERROR(__xludf.DUMMYFUNCTION("""COMPUTED_VALUE"""),"Chito Say")</f>
        <v>Chito Say</v>
      </c>
      <c r="C375" s="1" t="str">
        <f>IFERROR(__xludf.DUMMYFUNCTION("""COMPUTED_VALUE"""),"Chito")</f>
        <v>Chito</v>
      </c>
      <c r="D375" s="1" t="str">
        <f>IFERROR(__xludf.DUMMYFUNCTION("""COMPUTED_VALUE"""),"Say")</f>
        <v>Say</v>
      </c>
      <c r="E375" s="1" t="str">
        <f>IFERROR(__xludf.DUMMYFUNCTION("""COMPUTED_VALUE"""),"YOU MADE A GOOD,THE BEST,A WISE DECISION SIR,,""THE ACTION MAN""!!!@")</f>
        <v>YOU MADE A GOOD,THE BEST,A WISE DECISION SIR,,"THE ACTION MAN"!!!@</v>
      </c>
      <c r="F375" s="1"/>
      <c r="G375" s="1" t="str">
        <f>IFERROR(__xludf.DUMMYFUNCTION("""COMPUTED_VALUE"""),"3 mos")</f>
        <v>3 mos</v>
      </c>
      <c r="H375" s="1" t="str">
        <f>IFERROR(__xludf.DUMMYFUNCTION("""COMPUTED_VALUE"""),"comment")</f>
        <v>comment</v>
      </c>
      <c r="I375" s="2" t="str">
        <f>IFERROR(__xludf.DUMMYFUNCTION("""COMPUTED_VALUE"""),"https://www.facebook.com/rapplerdotcom/photos/a.317154781638645/5597612220259515/")</f>
        <v>https://www.facebook.com/rapplerdotcom/photos/a.317154781638645/5597612220259515/</v>
      </c>
      <c r="J375" s="1" t="str">
        <f>IFERROR(__xludf.DUMMYFUNCTION("""COMPUTED_VALUE"""),"2022-07-04T11:12:03.022Z")</f>
        <v>2022-07-04T11:12:03.022Z</v>
      </c>
      <c r="K375" s="1"/>
    </row>
    <row r="376">
      <c r="A376" s="2" t="str">
        <f>IFERROR(__xludf.DUMMYFUNCTION("""COMPUTED_VALUE"""),"https://www.facebook.com/wilbert.favor")</f>
        <v>https://www.facebook.com/wilbert.favor</v>
      </c>
      <c r="B376" s="1" t="str">
        <f>IFERROR(__xludf.DUMMYFUNCTION("""COMPUTED_VALUE"""),"Willy Favor")</f>
        <v>Willy Favor</v>
      </c>
      <c r="C376" s="1" t="str">
        <f>IFERROR(__xludf.DUMMYFUNCTION("""COMPUTED_VALUE"""),"Willy")</f>
        <v>Willy</v>
      </c>
      <c r="D376" s="1" t="str">
        <f>IFERROR(__xludf.DUMMYFUNCTION("""COMPUTED_VALUE"""),"Favor")</f>
        <v>Favor</v>
      </c>
      <c r="E376" s="1" t="str">
        <f>IFERROR(__xludf.DUMMYFUNCTION("""COMPUTED_VALUE"""),"Tama ang desisyon po Rep. Pidi barzaga Mabuhay dasmarinias cavite!")</f>
        <v>Tama ang desisyon po Rep. Pidi barzaga Mabuhay dasmarinias cavite!</v>
      </c>
      <c r="F376" s="1"/>
      <c r="G376" s="1" t="str">
        <f>IFERROR(__xludf.DUMMYFUNCTION("""COMPUTED_VALUE"""),"3 mos")</f>
        <v>3 mos</v>
      </c>
      <c r="H376" s="1" t="str">
        <f>IFERROR(__xludf.DUMMYFUNCTION("""COMPUTED_VALUE"""),"comment")</f>
        <v>comment</v>
      </c>
      <c r="I376" s="2" t="str">
        <f>IFERROR(__xludf.DUMMYFUNCTION("""COMPUTED_VALUE"""),"https://www.facebook.com/rapplerdotcom/photos/a.317154781638645/5597612220259515/")</f>
        <v>https://www.facebook.com/rapplerdotcom/photos/a.317154781638645/5597612220259515/</v>
      </c>
      <c r="J376" s="1" t="str">
        <f>IFERROR(__xludf.DUMMYFUNCTION("""COMPUTED_VALUE"""),"2022-07-04T11:12:03.022Z")</f>
        <v>2022-07-04T11:12:03.022Z</v>
      </c>
      <c r="K376" s="1"/>
    </row>
    <row r="377">
      <c r="A377" s="2" t="str">
        <f>IFERROR(__xludf.DUMMYFUNCTION("""COMPUTED_VALUE"""),"https://www.facebook.com/jocelyn.mendoza.5437")</f>
        <v>https://www.facebook.com/jocelyn.mendoza.5437</v>
      </c>
      <c r="B377" s="1" t="str">
        <f>IFERROR(__xludf.DUMMYFUNCTION("""COMPUTED_VALUE"""),"Jocelyn Fernandez")</f>
        <v>Jocelyn Fernandez</v>
      </c>
      <c r="C377" s="1" t="str">
        <f>IFERROR(__xludf.DUMMYFUNCTION("""COMPUTED_VALUE"""),"Jocelyn")</f>
        <v>Jocelyn</v>
      </c>
      <c r="D377" s="1" t="str">
        <f>IFERROR(__xludf.DUMMYFUNCTION("""COMPUTED_VALUE"""),"Fernandez")</f>
        <v>Fernandez</v>
      </c>
      <c r="E377" s="1" t="str">
        <f>IFERROR(__xludf.DUMMYFUNCTION("""COMPUTED_VALUE"""),"Good choice  Cong Barsaga ! Mabuhay po kayo 😊😊😊")</f>
        <v>Good choice  Cong Barsaga ! Mabuhay po kayo 😊😊😊</v>
      </c>
      <c r="F377" s="1">
        <f>IFERROR(__xludf.DUMMYFUNCTION("""COMPUTED_VALUE"""),1.0)</f>
        <v>1</v>
      </c>
      <c r="G377" s="1" t="str">
        <f>IFERROR(__xludf.DUMMYFUNCTION("""COMPUTED_VALUE"""),"3 mos")</f>
        <v>3 mos</v>
      </c>
      <c r="H377" s="1" t="str">
        <f>IFERROR(__xludf.DUMMYFUNCTION("""COMPUTED_VALUE"""),"comment")</f>
        <v>comment</v>
      </c>
      <c r="I377" s="2" t="str">
        <f>IFERROR(__xludf.DUMMYFUNCTION("""COMPUTED_VALUE"""),"https://www.facebook.com/rapplerdotcom/photos/a.317154781638645/5597612220259515/")</f>
        <v>https://www.facebook.com/rapplerdotcom/photos/a.317154781638645/5597612220259515/</v>
      </c>
      <c r="J377" s="1" t="str">
        <f>IFERROR(__xludf.DUMMYFUNCTION("""COMPUTED_VALUE"""),"2022-07-04T11:12:03.022Z")</f>
        <v>2022-07-04T11:12:03.022Z</v>
      </c>
      <c r="K377" s="1"/>
    </row>
    <row r="378">
      <c r="A378" s="2" t="str">
        <f>IFERROR(__xludf.DUMMYFUNCTION("""COMPUTED_VALUE"""),"https://www.facebook.com/abelardo.l.cruz")</f>
        <v>https://www.facebook.com/abelardo.l.cruz</v>
      </c>
      <c r="B378" s="1" t="str">
        <f>IFERROR(__xludf.DUMMYFUNCTION("""COMPUTED_VALUE"""),"Abelardo Cruz")</f>
        <v>Abelardo Cruz</v>
      </c>
      <c r="C378" s="1" t="str">
        <f>IFERROR(__xludf.DUMMYFUNCTION("""COMPUTED_VALUE"""),"Abelardo")</f>
        <v>Abelardo</v>
      </c>
      <c r="D378" s="1" t="str">
        <f>IFERROR(__xludf.DUMMYFUNCTION("""COMPUTED_VALUE"""),"Cruz")</f>
        <v>Cruz</v>
      </c>
      <c r="E378" s="1" t="str">
        <f>IFERROR(__xludf.DUMMYFUNCTION("""COMPUTED_VALUE"""),"Great news!!now surge of pink is inevitable everywhere")</f>
        <v>Great news!!now surge of pink is inevitable everywhere</v>
      </c>
      <c r="F378" s="1">
        <f>IFERROR(__xludf.DUMMYFUNCTION("""COMPUTED_VALUE"""),2.0)</f>
        <v>2</v>
      </c>
      <c r="G378" s="1" t="str">
        <f>IFERROR(__xludf.DUMMYFUNCTION("""COMPUTED_VALUE"""),"3 mos")</f>
        <v>3 mos</v>
      </c>
      <c r="H378" s="1" t="str">
        <f>IFERROR(__xludf.DUMMYFUNCTION("""COMPUTED_VALUE"""),"comment")</f>
        <v>comment</v>
      </c>
      <c r="I378" s="2" t="str">
        <f>IFERROR(__xludf.DUMMYFUNCTION("""COMPUTED_VALUE"""),"https://www.facebook.com/rapplerdotcom/photos/a.317154781638645/5597612220259515/")</f>
        <v>https://www.facebook.com/rapplerdotcom/photos/a.317154781638645/5597612220259515/</v>
      </c>
      <c r="J378" s="1" t="str">
        <f>IFERROR(__xludf.DUMMYFUNCTION("""COMPUTED_VALUE"""),"2022-07-04T11:12:03.022Z")</f>
        <v>2022-07-04T11:12:03.022Z</v>
      </c>
      <c r="K378" s="1"/>
    </row>
    <row r="379">
      <c r="A379" s="2" t="str">
        <f>IFERROR(__xludf.DUMMYFUNCTION("""COMPUTED_VALUE"""),"https://www.facebook.com/profile.php?id=100072561709675")</f>
        <v>https://www.facebook.com/profile.php?id=100072561709675</v>
      </c>
      <c r="B379" s="1" t="str">
        <f>IFERROR(__xludf.DUMMYFUNCTION("""COMPUTED_VALUE"""),"Filadelfo Alfante")</f>
        <v>Filadelfo Alfante</v>
      </c>
      <c r="C379" s="1" t="str">
        <f>IFERROR(__xludf.DUMMYFUNCTION("""COMPUTED_VALUE"""),"Filadelfo")</f>
        <v>Filadelfo</v>
      </c>
      <c r="D379" s="1" t="str">
        <f>IFERROR(__xludf.DUMMYFUNCTION("""COMPUTED_VALUE"""),"Alfante")</f>
        <v>Alfante</v>
      </c>
      <c r="E379" s="1" t="str">
        <f>IFERROR(__xludf.DUMMYFUNCTION("""COMPUTED_VALUE"""),"YOUR IN BEST CHOICE SIR!! THANK YOU AND GOD BLESS YOU AND YOUR FAMILY!!!")</f>
        <v>YOUR IN BEST CHOICE SIR!! THANK YOU AND GOD BLESS YOU AND YOUR FAMILY!!!</v>
      </c>
      <c r="F379" s="1">
        <f>IFERROR(__xludf.DUMMYFUNCTION("""COMPUTED_VALUE"""),1.0)</f>
        <v>1</v>
      </c>
      <c r="G379" s="1" t="str">
        <f>IFERROR(__xludf.DUMMYFUNCTION("""COMPUTED_VALUE"""),"3 mos")</f>
        <v>3 mos</v>
      </c>
      <c r="H379" s="1" t="str">
        <f>IFERROR(__xludf.DUMMYFUNCTION("""COMPUTED_VALUE"""),"comment")</f>
        <v>comment</v>
      </c>
      <c r="I379" s="2" t="str">
        <f>IFERROR(__xludf.DUMMYFUNCTION("""COMPUTED_VALUE"""),"https://www.facebook.com/rapplerdotcom/photos/a.317154781638645/5597612220259515/")</f>
        <v>https://www.facebook.com/rapplerdotcom/photos/a.317154781638645/5597612220259515/</v>
      </c>
      <c r="J379" s="1" t="str">
        <f>IFERROR(__xludf.DUMMYFUNCTION("""COMPUTED_VALUE"""),"2022-07-04T11:12:03.022Z")</f>
        <v>2022-07-04T11:12:03.022Z</v>
      </c>
      <c r="K379" s="1"/>
    </row>
    <row r="380">
      <c r="A380" s="2" t="str">
        <f>IFERROR(__xludf.DUMMYFUNCTION("""COMPUTED_VALUE"""),"https://www.facebook.com/cristyherreralu")</f>
        <v>https://www.facebook.com/cristyherreralu</v>
      </c>
      <c r="B380" s="1" t="str">
        <f>IFERROR(__xludf.DUMMYFUNCTION("""COMPUTED_VALUE"""),"Cristy Herrera Lu")</f>
        <v>Cristy Herrera Lu</v>
      </c>
      <c r="C380" s="1" t="str">
        <f>IFERROR(__xludf.DUMMYFUNCTION("""COMPUTED_VALUE"""),"Cristy")</f>
        <v>Cristy</v>
      </c>
      <c r="D380" s="1" t="str">
        <f>IFERROR(__xludf.DUMMYFUNCTION("""COMPUTED_VALUE"""),"Herrera Lu")</f>
        <v>Herrera Lu</v>
      </c>
      <c r="E380" s="1" t="str">
        <f>IFERROR(__xludf.DUMMYFUNCTION("""COMPUTED_VALUE"""),"Kudos sa pagtindig !!")</f>
        <v>Kudos sa pagtindig !!</v>
      </c>
      <c r="F380" s="1">
        <f>IFERROR(__xludf.DUMMYFUNCTION("""COMPUTED_VALUE"""),1.0)</f>
        <v>1</v>
      </c>
      <c r="G380" s="1" t="str">
        <f>IFERROR(__xludf.DUMMYFUNCTION("""COMPUTED_VALUE"""),"3 mos")</f>
        <v>3 mos</v>
      </c>
      <c r="H380" s="1" t="str">
        <f>IFERROR(__xludf.DUMMYFUNCTION("""COMPUTED_VALUE"""),"comment")</f>
        <v>comment</v>
      </c>
      <c r="I380" s="2" t="str">
        <f>IFERROR(__xludf.DUMMYFUNCTION("""COMPUTED_VALUE"""),"https://www.facebook.com/rapplerdotcom/photos/a.317154781638645/5597612220259515/")</f>
        <v>https://www.facebook.com/rapplerdotcom/photos/a.317154781638645/5597612220259515/</v>
      </c>
      <c r="J380" s="1" t="str">
        <f>IFERROR(__xludf.DUMMYFUNCTION("""COMPUTED_VALUE"""),"2022-07-04T11:12:03.022Z")</f>
        <v>2022-07-04T11:12:03.022Z</v>
      </c>
      <c r="K380" s="1"/>
    </row>
    <row r="381">
      <c r="A381" s="2" t="str">
        <f>IFERROR(__xludf.DUMMYFUNCTION("""COMPUTED_VALUE"""),"https://www.facebook.com/arman.soliveres.5")</f>
        <v>https://www.facebook.com/arman.soliveres.5</v>
      </c>
      <c r="B381" s="1" t="str">
        <f>IFERROR(__xludf.DUMMYFUNCTION("""COMPUTED_VALUE"""),"Arman Soliveres")</f>
        <v>Arman Soliveres</v>
      </c>
      <c r="C381" s="1" t="str">
        <f>IFERROR(__xludf.DUMMYFUNCTION("""COMPUTED_VALUE"""),"Arman")</f>
        <v>Arman</v>
      </c>
      <c r="D381" s="1" t="str">
        <f>IFERROR(__xludf.DUMMYFUNCTION("""COMPUTED_VALUE"""),"Soliveres")</f>
        <v>Soliveres</v>
      </c>
      <c r="E381" s="1" t="str">
        <f>IFERROR(__xludf.DUMMYFUNCTION("""COMPUTED_VALUE"""),"Good choice Sir 👍 MOST OF CAVITENIO SALUTE YOU 🙂")</f>
        <v>Good choice Sir 👍 MOST OF CAVITENIO SALUTE YOU 🙂</v>
      </c>
      <c r="F381" s="1">
        <f>IFERROR(__xludf.DUMMYFUNCTION("""COMPUTED_VALUE"""),6.0)</f>
        <v>6</v>
      </c>
      <c r="G381" s="1" t="str">
        <f>IFERROR(__xludf.DUMMYFUNCTION("""COMPUTED_VALUE"""),"3 mos")</f>
        <v>3 mos</v>
      </c>
      <c r="H381" s="1" t="str">
        <f>IFERROR(__xludf.DUMMYFUNCTION("""COMPUTED_VALUE"""),"comment")</f>
        <v>comment</v>
      </c>
      <c r="I381" s="2" t="str">
        <f>IFERROR(__xludf.DUMMYFUNCTION("""COMPUTED_VALUE"""),"https://www.facebook.com/rapplerdotcom/photos/a.317154781638645/5597612220259515/")</f>
        <v>https://www.facebook.com/rapplerdotcom/photos/a.317154781638645/5597612220259515/</v>
      </c>
      <c r="J381" s="1" t="str">
        <f>IFERROR(__xludf.DUMMYFUNCTION("""COMPUTED_VALUE"""),"2022-07-04T11:12:03.022Z")</f>
        <v>2022-07-04T11:12:03.022Z</v>
      </c>
      <c r="K381" s="1"/>
    </row>
    <row r="382">
      <c r="A382" s="2" t="str">
        <f>IFERROR(__xludf.DUMMYFUNCTION("""COMPUTED_VALUE"""),"https://www.facebook.com/lizabcede.bana")</f>
        <v>https://www.facebook.com/lizabcede.bana</v>
      </c>
      <c r="B382" s="1" t="str">
        <f>IFERROR(__xludf.DUMMYFUNCTION("""COMPUTED_VALUE"""),"Yesa El")</f>
        <v>Yesa El</v>
      </c>
      <c r="C382" s="1" t="str">
        <f>IFERROR(__xludf.DUMMYFUNCTION("""COMPUTED_VALUE"""),"Yesa")</f>
        <v>Yesa</v>
      </c>
      <c r="D382" s="1" t="str">
        <f>IFERROR(__xludf.DUMMYFUNCTION("""COMPUTED_VALUE"""),"El")</f>
        <v>El</v>
      </c>
      <c r="E382" s="1" t="str">
        <f>IFERROR(__xludf.DUMMYFUNCTION("""COMPUTED_VALUE"""),"Salute to u sir... Uv decided to chose what's best and what's right. MABUHAY ka po sir,")</f>
        <v>Salute to u sir... Uv decided to chose what's best and what's right. MABUHAY ka po sir,</v>
      </c>
      <c r="F382" s="1">
        <f>IFERROR(__xludf.DUMMYFUNCTION("""COMPUTED_VALUE"""),1.0)</f>
        <v>1</v>
      </c>
      <c r="G382" s="1" t="str">
        <f>IFERROR(__xludf.DUMMYFUNCTION("""COMPUTED_VALUE"""),"3 mos")</f>
        <v>3 mos</v>
      </c>
      <c r="H382" s="1" t="str">
        <f>IFERROR(__xludf.DUMMYFUNCTION("""COMPUTED_VALUE"""),"comment")</f>
        <v>comment</v>
      </c>
      <c r="I382" s="2" t="str">
        <f>IFERROR(__xludf.DUMMYFUNCTION("""COMPUTED_VALUE"""),"https://www.facebook.com/rapplerdotcom/photos/a.317154781638645/5597612220259515/")</f>
        <v>https://www.facebook.com/rapplerdotcom/photos/a.317154781638645/5597612220259515/</v>
      </c>
      <c r="J382" s="1" t="str">
        <f>IFERROR(__xludf.DUMMYFUNCTION("""COMPUTED_VALUE"""),"2022-07-04T11:12:03.022Z")</f>
        <v>2022-07-04T11:12:03.022Z</v>
      </c>
      <c r="K382" s="1"/>
    </row>
    <row r="383">
      <c r="A383" s="2" t="str">
        <f>IFERROR(__xludf.DUMMYFUNCTION("""COMPUTED_VALUE"""),"https://www.facebook.com/viviana.ceracas.31")</f>
        <v>https://www.facebook.com/viviana.ceracas.31</v>
      </c>
      <c r="B383" s="1" t="str">
        <f>IFERROR(__xludf.DUMMYFUNCTION("""COMPUTED_VALUE"""),"Viviana Ceracas")</f>
        <v>Viviana Ceracas</v>
      </c>
      <c r="C383" s="1" t="str">
        <f>IFERROR(__xludf.DUMMYFUNCTION("""COMPUTED_VALUE"""),"Viviana")</f>
        <v>Viviana</v>
      </c>
      <c r="D383" s="1" t="str">
        <f>IFERROR(__xludf.DUMMYFUNCTION("""COMPUTED_VALUE"""),"Ceracas")</f>
        <v>Ceracas</v>
      </c>
      <c r="E383" s="1" t="str">
        <f>IFERROR(__xludf.DUMMYFUNCTION("""COMPUTED_VALUE"""),"Because you care for our nation.")</f>
        <v>Because you care for our nation.</v>
      </c>
      <c r="F383" s="1">
        <f>IFERROR(__xludf.DUMMYFUNCTION("""COMPUTED_VALUE"""),2.0)</f>
        <v>2</v>
      </c>
      <c r="G383" s="1" t="str">
        <f>IFERROR(__xludf.DUMMYFUNCTION("""COMPUTED_VALUE"""),"3 mos")</f>
        <v>3 mos</v>
      </c>
      <c r="H383" s="1" t="str">
        <f>IFERROR(__xludf.DUMMYFUNCTION("""COMPUTED_VALUE"""),"comment")</f>
        <v>comment</v>
      </c>
      <c r="I383" s="2" t="str">
        <f>IFERROR(__xludf.DUMMYFUNCTION("""COMPUTED_VALUE"""),"https://www.facebook.com/rapplerdotcom/photos/a.317154781638645/5597612220259515/")</f>
        <v>https://www.facebook.com/rapplerdotcom/photos/a.317154781638645/5597612220259515/</v>
      </c>
      <c r="J383" s="1" t="str">
        <f>IFERROR(__xludf.DUMMYFUNCTION("""COMPUTED_VALUE"""),"2022-07-04T11:12:03.022Z")</f>
        <v>2022-07-04T11:12:03.022Z</v>
      </c>
      <c r="K383" s="1"/>
    </row>
    <row r="384">
      <c r="A384" s="2" t="str">
        <f>IFERROR(__xludf.DUMMYFUNCTION("""COMPUTED_VALUE"""),"https://www.facebook.com/debbie.garcia.71216141")</f>
        <v>https://www.facebook.com/debbie.garcia.71216141</v>
      </c>
      <c r="B384" s="1" t="str">
        <f>IFERROR(__xludf.DUMMYFUNCTION("""COMPUTED_VALUE"""),"Debbie Garcia")</f>
        <v>Debbie Garcia</v>
      </c>
      <c r="C384" s="1" t="str">
        <f>IFERROR(__xludf.DUMMYFUNCTION("""COMPUTED_VALUE"""),"Debbie")</f>
        <v>Debbie</v>
      </c>
      <c r="D384" s="1" t="str">
        <f>IFERROR(__xludf.DUMMYFUNCTION("""COMPUTED_VALUE"""),"Garcia")</f>
        <v>Garcia</v>
      </c>
      <c r="E384" s="1" t="str">
        <f>IFERROR(__xludf.DUMMYFUNCTION("""COMPUTED_VALUE"""),"Cong. Elpidio Barzaga is the best in Cavite💗💗💗")</f>
        <v>Cong. Elpidio Barzaga is the best in Cavite💗💗💗</v>
      </c>
      <c r="F384" s="1">
        <f>IFERROR(__xludf.DUMMYFUNCTION("""COMPUTED_VALUE"""),5.0)</f>
        <v>5</v>
      </c>
      <c r="G384" s="1" t="str">
        <f>IFERROR(__xludf.DUMMYFUNCTION("""COMPUTED_VALUE"""),"3 mos")</f>
        <v>3 mos</v>
      </c>
      <c r="H384" s="1" t="str">
        <f>IFERROR(__xludf.DUMMYFUNCTION("""COMPUTED_VALUE"""),"comment")</f>
        <v>comment</v>
      </c>
      <c r="I384" s="2" t="str">
        <f>IFERROR(__xludf.DUMMYFUNCTION("""COMPUTED_VALUE"""),"https://www.facebook.com/rapplerdotcom/photos/a.317154781638645/5597612220259515/")</f>
        <v>https://www.facebook.com/rapplerdotcom/photos/a.317154781638645/5597612220259515/</v>
      </c>
      <c r="J384" s="1" t="str">
        <f>IFERROR(__xludf.DUMMYFUNCTION("""COMPUTED_VALUE"""),"2022-07-04T11:12:03.022Z")</f>
        <v>2022-07-04T11:12:03.022Z</v>
      </c>
      <c r="K384" s="1"/>
    </row>
    <row r="385">
      <c r="A385" s="2" t="str">
        <f>IFERROR(__xludf.DUMMYFUNCTION("""COMPUTED_VALUE"""),"https://www.facebook.com/dominador.lopez2")</f>
        <v>https://www.facebook.com/dominador.lopez2</v>
      </c>
      <c r="B385" s="1" t="str">
        <f>IFERROR(__xludf.DUMMYFUNCTION("""COMPUTED_VALUE"""),"Dominador Lopez")</f>
        <v>Dominador Lopez</v>
      </c>
      <c r="C385" s="1" t="str">
        <f>IFERROR(__xludf.DUMMYFUNCTION("""COMPUTED_VALUE"""),"Dominador")</f>
        <v>Dominador</v>
      </c>
      <c r="D385" s="1" t="str">
        <f>IFERROR(__xludf.DUMMYFUNCTION("""COMPUTED_VALUE"""),"Lopez")</f>
        <v>Lopez</v>
      </c>
      <c r="E385" s="1" t="str">
        <f>IFERROR(__xludf.DUMMYFUNCTION("""COMPUTED_VALUE"""),"God bless you Sir for chosing the right decision")</f>
        <v>God bless you Sir for chosing the right decision</v>
      </c>
      <c r="F385" s="1">
        <f>IFERROR(__xludf.DUMMYFUNCTION("""COMPUTED_VALUE"""),1.0)</f>
        <v>1</v>
      </c>
      <c r="G385" s="1" t="str">
        <f>IFERROR(__xludf.DUMMYFUNCTION("""COMPUTED_VALUE"""),"3 mos")</f>
        <v>3 mos</v>
      </c>
      <c r="H385" s="1" t="str">
        <f>IFERROR(__xludf.DUMMYFUNCTION("""COMPUTED_VALUE"""),"comment")</f>
        <v>comment</v>
      </c>
      <c r="I385" s="2" t="str">
        <f>IFERROR(__xludf.DUMMYFUNCTION("""COMPUTED_VALUE"""),"https://www.facebook.com/rapplerdotcom/photos/a.317154781638645/5597612220259515/")</f>
        <v>https://www.facebook.com/rapplerdotcom/photos/a.317154781638645/5597612220259515/</v>
      </c>
      <c r="J385" s="1" t="str">
        <f>IFERROR(__xludf.DUMMYFUNCTION("""COMPUTED_VALUE"""),"2022-07-04T11:12:03.022Z")</f>
        <v>2022-07-04T11:12:03.022Z</v>
      </c>
      <c r="K385" s="1"/>
    </row>
    <row r="386">
      <c r="A386" s="2" t="str">
        <f>IFERROR(__xludf.DUMMYFUNCTION("""COMPUTED_VALUE"""),"https://www.facebook.com/leonallent")</f>
        <v>https://www.facebook.com/leonallent</v>
      </c>
      <c r="B386" s="1" t="str">
        <f>IFERROR(__xludf.DUMMYFUNCTION("""COMPUTED_VALUE"""),"LA Tindog")</f>
        <v>LA Tindog</v>
      </c>
      <c r="C386" s="1" t="str">
        <f>IFERROR(__xludf.DUMMYFUNCTION("""COMPUTED_VALUE"""),"LA")</f>
        <v>LA</v>
      </c>
      <c r="D386" s="1" t="str">
        <f>IFERROR(__xludf.DUMMYFUNCTION("""COMPUTED_VALUE"""),"Tindog")</f>
        <v>Tindog</v>
      </c>
      <c r="E386" s="1" t="str">
        <f>IFERROR(__xludf.DUMMYFUNCTION("""COMPUTED_VALUE"""),"Salamat sa pantindig sa tama Sir God bless you.")</f>
        <v>Salamat sa pantindig sa tama Sir God bless you.</v>
      </c>
      <c r="F386" s="1">
        <f>IFERROR(__xludf.DUMMYFUNCTION("""COMPUTED_VALUE"""),1.0)</f>
        <v>1</v>
      </c>
      <c r="G386" s="1" t="str">
        <f>IFERROR(__xludf.DUMMYFUNCTION("""COMPUTED_VALUE"""),"3 mos")</f>
        <v>3 mos</v>
      </c>
      <c r="H386" s="1" t="str">
        <f>IFERROR(__xludf.DUMMYFUNCTION("""COMPUTED_VALUE"""),"comment")</f>
        <v>comment</v>
      </c>
      <c r="I386" s="2" t="str">
        <f>IFERROR(__xludf.DUMMYFUNCTION("""COMPUTED_VALUE"""),"https://www.facebook.com/rapplerdotcom/photos/a.317154781638645/5597612220259515/")</f>
        <v>https://www.facebook.com/rapplerdotcom/photos/a.317154781638645/5597612220259515/</v>
      </c>
      <c r="J386" s="1" t="str">
        <f>IFERROR(__xludf.DUMMYFUNCTION("""COMPUTED_VALUE"""),"2022-07-04T11:12:03.022Z")</f>
        <v>2022-07-04T11:12:03.022Z</v>
      </c>
      <c r="K386" s="1"/>
    </row>
    <row r="387">
      <c r="A387" s="2" t="str">
        <f>IFERROR(__xludf.DUMMYFUNCTION("""COMPUTED_VALUE"""),"https://www.facebook.com/lito.watiwat")</f>
        <v>https://www.facebook.com/lito.watiwat</v>
      </c>
      <c r="B387" s="1" t="str">
        <f>IFERROR(__xludf.DUMMYFUNCTION("""COMPUTED_VALUE"""),"Jose Wating Lito")</f>
        <v>Jose Wating Lito</v>
      </c>
      <c r="C387" s="1" t="str">
        <f>IFERROR(__xludf.DUMMYFUNCTION("""COMPUTED_VALUE"""),"Jose")</f>
        <v>Jose</v>
      </c>
      <c r="D387" s="1" t="str">
        <f>IFERROR(__xludf.DUMMYFUNCTION("""COMPUTED_VALUE"""),"Wating Lito")</f>
        <v>Wating Lito</v>
      </c>
      <c r="E387" s="1" t="str">
        <f>IFERROR(__xludf.DUMMYFUNCTION("""COMPUTED_VALUE"""),"Abolish the party system...it's not working!")</f>
        <v>Abolish the party system...it's not working!</v>
      </c>
      <c r="F387" s="1">
        <f>IFERROR(__xludf.DUMMYFUNCTION("""COMPUTED_VALUE"""),2.0)</f>
        <v>2</v>
      </c>
      <c r="G387" s="1" t="str">
        <f>IFERROR(__xludf.DUMMYFUNCTION("""COMPUTED_VALUE"""),"3 mos")</f>
        <v>3 mos</v>
      </c>
      <c r="H387" s="1" t="str">
        <f>IFERROR(__xludf.DUMMYFUNCTION("""COMPUTED_VALUE"""),"comment")</f>
        <v>comment</v>
      </c>
      <c r="I387" s="2" t="str">
        <f>IFERROR(__xludf.DUMMYFUNCTION("""COMPUTED_VALUE"""),"https://www.facebook.com/rapplerdotcom/photos/a.317154781638645/5597612220259515/")</f>
        <v>https://www.facebook.com/rapplerdotcom/photos/a.317154781638645/5597612220259515/</v>
      </c>
      <c r="J387" s="1" t="str">
        <f>IFERROR(__xludf.DUMMYFUNCTION("""COMPUTED_VALUE"""),"2022-07-04T11:12:03.022Z")</f>
        <v>2022-07-04T11:12:03.022Z</v>
      </c>
      <c r="K387" s="1"/>
    </row>
    <row r="388">
      <c r="A388" s="2" t="str">
        <f>IFERROR(__xludf.DUMMYFUNCTION("""COMPUTED_VALUE"""),"https://www.facebook.com/cora.baliola.5")</f>
        <v>https://www.facebook.com/cora.baliola.5</v>
      </c>
      <c r="B388" s="1" t="str">
        <f>IFERROR(__xludf.DUMMYFUNCTION("""COMPUTED_VALUE"""),"Cora Baliola")</f>
        <v>Cora Baliola</v>
      </c>
      <c r="C388" s="1" t="str">
        <f>IFERROR(__xludf.DUMMYFUNCTION("""COMPUTED_VALUE"""),"Cora")</f>
        <v>Cora</v>
      </c>
      <c r="D388" s="1" t="str">
        <f>IFERROR(__xludf.DUMMYFUNCTION("""COMPUTED_VALUE"""),"Baliola")</f>
        <v>Baliola</v>
      </c>
      <c r="E388" s="1" t="str">
        <f>IFERROR(__xludf.DUMMYFUNCTION("""COMPUTED_VALUE"""),"Good decision Cong. Pidi .")</f>
        <v>Good decision Cong. Pidi .</v>
      </c>
      <c r="F388" s="1">
        <f>IFERROR(__xludf.DUMMYFUNCTION("""COMPUTED_VALUE"""),1.0)</f>
        <v>1</v>
      </c>
      <c r="G388" s="1" t="str">
        <f>IFERROR(__xludf.DUMMYFUNCTION("""COMPUTED_VALUE"""),"3 mos")</f>
        <v>3 mos</v>
      </c>
      <c r="H388" s="1" t="str">
        <f>IFERROR(__xludf.DUMMYFUNCTION("""COMPUTED_VALUE"""),"comment")</f>
        <v>comment</v>
      </c>
      <c r="I388" s="2" t="str">
        <f>IFERROR(__xludf.DUMMYFUNCTION("""COMPUTED_VALUE"""),"https://www.facebook.com/rapplerdotcom/photos/a.317154781638645/5597612220259515/")</f>
        <v>https://www.facebook.com/rapplerdotcom/photos/a.317154781638645/5597612220259515/</v>
      </c>
      <c r="J388" s="1" t="str">
        <f>IFERROR(__xludf.DUMMYFUNCTION("""COMPUTED_VALUE"""),"2022-07-04T11:12:03.022Z")</f>
        <v>2022-07-04T11:12:03.022Z</v>
      </c>
      <c r="K388" s="1"/>
    </row>
    <row r="389">
      <c r="A389" s="2" t="str">
        <f>IFERROR(__xludf.DUMMYFUNCTION("""COMPUTED_VALUE"""),"https://www.facebook.com/sarah.mae.lopez")</f>
        <v>https://www.facebook.com/sarah.mae.lopez</v>
      </c>
      <c r="B389" s="1" t="str">
        <f>IFERROR(__xludf.DUMMYFUNCTION("""COMPUTED_VALUE"""),"Sarah Lopez")</f>
        <v>Sarah Lopez</v>
      </c>
      <c r="C389" s="1" t="str">
        <f>IFERROR(__xludf.DUMMYFUNCTION("""COMPUTED_VALUE"""),"Sarah")</f>
        <v>Sarah</v>
      </c>
      <c r="D389" s="1" t="str">
        <f>IFERROR(__xludf.DUMMYFUNCTION("""COMPUTED_VALUE"""),"Lopez")</f>
        <v>Lopez</v>
      </c>
      <c r="E389" s="1" t="str">
        <f>IFERROR(__xludf.DUMMYFUNCTION("""COMPUTED_VALUE"""),"Fearless 💗 Salamat Congressman Barsaga! 🌸  #LeniKiko2022")</f>
        <v>Fearless 💗 Salamat Congressman Barsaga! 🌸  #LeniKiko2022</v>
      </c>
      <c r="F389" s="1"/>
      <c r="G389" s="1" t="str">
        <f>IFERROR(__xludf.DUMMYFUNCTION("""COMPUTED_VALUE"""),"3 mos")</f>
        <v>3 mos</v>
      </c>
      <c r="H389" s="1" t="str">
        <f>IFERROR(__xludf.DUMMYFUNCTION("""COMPUTED_VALUE"""),"comment")</f>
        <v>comment</v>
      </c>
      <c r="I389" s="2" t="str">
        <f>IFERROR(__xludf.DUMMYFUNCTION("""COMPUTED_VALUE"""),"https://www.facebook.com/rapplerdotcom/photos/a.317154781638645/5597612220259515/")</f>
        <v>https://www.facebook.com/rapplerdotcom/photos/a.317154781638645/5597612220259515/</v>
      </c>
      <c r="J389" s="1" t="str">
        <f>IFERROR(__xludf.DUMMYFUNCTION("""COMPUTED_VALUE"""),"2022-07-04T11:12:03.022Z")</f>
        <v>2022-07-04T11:12:03.022Z</v>
      </c>
      <c r="K389" s="1"/>
    </row>
    <row r="390">
      <c r="A390" s="2" t="str">
        <f>IFERROR(__xludf.DUMMYFUNCTION("""COMPUTED_VALUE"""),"https://www.facebook.com/merlyn.lachica.96")</f>
        <v>https://www.facebook.com/merlyn.lachica.96</v>
      </c>
      <c r="B390" s="1" t="str">
        <f>IFERROR(__xludf.DUMMYFUNCTION("""COMPUTED_VALUE"""),"Merlyn Salda Lachica")</f>
        <v>Merlyn Salda Lachica</v>
      </c>
      <c r="C390" s="1" t="str">
        <f>IFERROR(__xludf.DUMMYFUNCTION("""COMPUTED_VALUE"""),"Merlyn")</f>
        <v>Merlyn</v>
      </c>
      <c r="D390" s="1" t="str">
        <f>IFERROR(__xludf.DUMMYFUNCTION("""COMPUTED_VALUE"""),"Salda Lachica")</f>
        <v>Salda Lachica</v>
      </c>
      <c r="E390" s="1" t="str">
        <f>IFERROR(__xludf.DUMMYFUNCTION("""COMPUTED_VALUE"""),"Mbhy ka sir you decide very well gidbless")</f>
        <v>Mbhy ka sir you decide very well gidbless</v>
      </c>
      <c r="F390" s="1"/>
      <c r="G390" s="1" t="str">
        <f>IFERROR(__xludf.DUMMYFUNCTION("""COMPUTED_VALUE"""),"3 mos")</f>
        <v>3 mos</v>
      </c>
      <c r="H390" s="1" t="str">
        <f>IFERROR(__xludf.DUMMYFUNCTION("""COMPUTED_VALUE"""),"comment")</f>
        <v>comment</v>
      </c>
      <c r="I390" s="2" t="str">
        <f>IFERROR(__xludf.DUMMYFUNCTION("""COMPUTED_VALUE"""),"https://www.facebook.com/rapplerdotcom/photos/a.317154781638645/5597612220259515/")</f>
        <v>https://www.facebook.com/rapplerdotcom/photos/a.317154781638645/5597612220259515/</v>
      </c>
      <c r="J390" s="1" t="str">
        <f>IFERROR(__xludf.DUMMYFUNCTION("""COMPUTED_VALUE"""),"2022-07-04T11:12:03.022Z")</f>
        <v>2022-07-04T11:12:03.022Z</v>
      </c>
      <c r="K390" s="1"/>
    </row>
    <row r="391">
      <c r="A391" s="2" t="str">
        <f>IFERROR(__xludf.DUMMYFUNCTION("""COMPUTED_VALUE"""),"https://www.facebook.com/reynaldo.villarama")</f>
        <v>https://www.facebook.com/reynaldo.villarama</v>
      </c>
      <c r="B391" s="1" t="str">
        <f>IFERROR(__xludf.DUMMYFUNCTION("""COMPUTED_VALUE"""),"Rey Villarama")</f>
        <v>Rey Villarama</v>
      </c>
      <c r="C391" s="1" t="str">
        <f>IFERROR(__xludf.DUMMYFUNCTION("""COMPUTED_VALUE"""),"Rey")</f>
        <v>Rey</v>
      </c>
      <c r="D391" s="1" t="str">
        <f>IFERROR(__xludf.DUMMYFUNCTION("""COMPUTED_VALUE"""),"Villarama")</f>
        <v>Villarama</v>
      </c>
      <c r="E391" s="1" t="str">
        <f>IFERROR(__xludf.DUMMYFUNCTION("""COMPUTED_VALUE"""),"good decision")</f>
        <v>good decision</v>
      </c>
      <c r="F391" s="1">
        <f>IFERROR(__xludf.DUMMYFUNCTION("""COMPUTED_VALUE"""),2.0)</f>
        <v>2</v>
      </c>
      <c r="G391" s="1" t="str">
        <f>IFERROR(__xludf.DUMMYFUNCTION("""COMPUTED_VALUE"""),"3 mos")</f>
        <v>3 mos</v>
      </c>
      <c r="H391" s="1" t="str">
        <f>IFERROR(__xludf.DUMMYFUNCTION("""COMPUTED_VALUE"""),"comment")</f>
        <v>comment</v>
      </c>
      <c r="I391" s="2" t="str">
        <f>IFERROR(__xludf.DUMMYFUNCTION("""COMPUTED_VALUE"""),"https://www.facebook.com/rapplerdotcom/photos/a.317154781638645/5597612220259515/")</f>
        <v>https://www.facebook.com/rapplerdotcom/photos/a.317154781638645/5597612220259515/</v>
      </c>
      <c r="J391" s="1" t="str">
        <f>IFERROR(__xludf.DUMMYFUNCTION("""COMPUTED_VALUE"""),"2022-07-04T11:12:03.022Z")</f>
        <v>2022-07-04T11:12:03.022Z</v>
      </c>
      <c r="K391" s="1"/>
    </row>
    <row r="392">
      <c r="A392" s="2" t="str">
        <f>IFERROR(__xludf.DUMMYFUNCTION("""COMPUTED_VALUE"""),"https://www.facebook.com/jorge.devenecia")</f>
        <v>https://www.facebook.com/jorge.devenecia</v>
      </c>
      <c r="B392" s="1" t="str">
        <f>IFERROR(__xludf.DUMMYFUNCTION("""COMPUTED_VALUE"""),"Jorge de Venecia")</f>
        <v>Jorge de Venecia</v>
      </c>
      <c r="C392" s="1" t="str">
        <f>IFERROR(__xludf.DUMMYFUNCTION("""COMPUTED_VALUE"""),"Jorge")</f>
        <v>Jorge</v>
      </c>
      <c r="D392" s="1" t="str">
        <f>IFERROR(__xludf.DUMMYFUNCTION("""COMPUTED_VALUE"""),"de Venecia")</f>
        <v>de Venecia</v>
      </c>
      <c r="E392" s="1" t="str">
        <f>IFERROR(__xludf.DUMMYFUNCTION("""COMPUTED_VALUE"""),"Good for our country cong.Barsaga! Mabuhay ka🙏")</f>
        <v>Good for our country cong.Barsaga! Mabuhay ka🙏</v>
      </c>
      <c r="F392" s="1"/>
      <c r="G392" s="1" t="str">
        <f>IFERROR(__xludf.DUMMYFUNCTION("""COMPUTED_VALUE"""),"3 mos")</f>
        <v>3 mos</v>
      </c>
      <c r="H392" s="1" t="str">
        <f>IFERROR(__xludf.DUMMYFUNCTION("""COMPUTED_VALUE"""),"comment")</f>
        <v>comment</v>
      </c>
      <c r="I392" s="2" t="str">
        <f>IFERROR(__xludf.DUMMYFUNCTION("""COMPUTED_VALUE"""),"https://www.facebook.com/rapplerdotcom/photos/a.317154781638645/5597612220259515/")</f>
        <v>https://www.facebook.com/rapplerdotcom/photos/a.317154781638645/5597612220259515/</v>
      </c>
      <c r="J392" s="1" t="str">
        <f>IFERROR(__xludf.DUMMYFUNCTION("""COMPUTED_VALUE"""),"2022-07-04T11:12:03.022Z")</f>
        <v>2022-07-04T11:12:03.022Z</v>
      </c>
      <c r="K392" s="1"/>
    </row>
    <row r="393">
      <c r="A393" s="2" t="str">
        <f>IFERROR(__xludf.DUMMYFUNCTION("""COMPUTED_VALUE"""),"https://www.facebook.com/bagie.macalalad")</f>
        <v>https://www.facebook.com/bagie.macalalad</v>
      </c>
      <c r="B393" s="1" t="str">
        <f>IFERROR(__xludf.DUMMYFUNCTION("""COMPUTED_VALUE"""),"Maria Formento Macalalad")</f>
        <v>Maria Formento Macalalad</v>
      </c>
      <c r="C393" s="1" t="str">
        <f>IFERROR(__xludf.DUMMYFUNCTION("""COMPUTED_VALUE"""),"Maria")</f>
        <v>Maria</v>
      </c>
      <c r="D393" s="1" t="str">
        <f>IFERROR(__xludf.DUMMYFUNCTION("""COMPUTED_VALUE"""),"Formento Macalalad")</f>
        <v>Formento Macalalad</v>
      </c>
      <c r="E393" s="1" t="str">
        <f>IFERROR(__xludf.DUMMYFUNCTION("""COMPUTED_VALUE"""),"Salamat po!")</f>
        <v>Salamat po!</v>
      </c>
      <c r="F393" s="1"/>
      <c r="G393" s="1" t="str">
        <f>IFERROR(__xludf.DUMMYFUNCTION("""COMPUTED_VALUE"""),"3 mos")</f>
        <v>3 mos</v>
      </c>
      <c r="H393" s="1" t="str">
        <f>IFERROR(__xludf.DUMMYFUNCTION("""COMPUTED_VALUE"""),"comment")</f>
        <v>comment</v>
      </c>
      <c r="I393" s="2" t="str">
        <f>IFERROR(__xludf.DUMMYFUNCTION("""COMPUTED_VALUE"""),"https://www.facebook.com/rapplerdotcom/photos/a.317154781638645/5597612220259515/")</f>
        <v>https://www.facebook.com/rapplerdotcom/photos/a.317154781638645/5597612220259515/</v>
      </c>
      <c r="J393" s="1" t="str">
        <f>IFERROR(__xludf.DUMMYFUNCTION("""COMPUTED_VALUE"""),"2022-07-04T11:12:03.022Z")</f>
        <v>2022-07-04T11:12:03.022Z</v>
      </c>
      <c r="K393" s="1"/>
    </row>
    <row r="394">
      <c r="A394" s="2" t="str">
        <f>IFERROR(__xludf.DUMMYFUNCTION("""COMPUTED_VALUE"""),"https://www.facebook.com/simeona.stevens")</f>
        <v>https://www.facebook.com/simeona.stevens</v>
      </c>
      <c r="B394" s="1" t="str">
        <f>IFERROR(__xludf.DUMMYFUNCTION("""COMPUTED_VALUE"""),"Simeona Stevens")</f>
        <v>Simeona Stevens</v>
      </c>
      <c r="C394" s="1" t="str">
        <f>IFERROR(__xludf.DUMMYFUNCTION("""COMPUTED_VALUE"""),"Simeona")</f>
        <v>Simeona</v>
      </c>
      <c r="D394" s="1" t="str">
        <f>IFERROR(__xludf.DUMMYFUNCTION("""COMPUTED_VALUE"""),"Stevens")</f>
        <v>Stevens</v>
      </c>
      <c r="E394" s="1" t="str">
        <f>IFERROR(__xludf.DUMMYFUNCTION("""COMPUTED_VALUE"""),"Thank you sir #RosasAng Kulay Ng Bukas")</f>
        <v>Thank you sir #RosasAng Kulay Ng Bukas</v>
      </c>
      <c r="F394" s="1"/>
      <c r="G394" s="1" t="str">
        <f>IFERROR(__xludf.DUMMYFUNCTION("""COMPUTED_VALUE"""),"3 mos")</f>
        <v>3 mos</v>
      </c>
      <c r="H394" s="1" t="str">
        <f>IFERROR(__xludf.DUMMYFUNCTION("""COMPUTED_VALUE"""),"comment")</f>
        <v>comment</v>
      </c>
      <c r="I394" s="2" t="str">
        <f>IFERROR(__xludf.DUMMYFUNCTION("""COMPUTED_VALUE"""),"https://www.facebook.com/rapplerdotcom/photos/a.317154781638645/5597612220259515/")</f>
        <v>https://www.facebook.com/rapplerdotcom/photos/a.317154781638645/5597612220259515/</v>
      </c>
      <c r="J394" s="1" t="str">
        <f>IFERROR(__xludf.DUMMYFUNCTION("""COMPUTED_VALUE"""),"2022-07-04T11:12:03.022Z")</f>
        <v>2022-07-04T11:12:03.022Z</v>
      </c>
      <c r="K394" s="1"/>
    </row>
    <row r="395">
      <c r="A395" s="2" t="str">
        <f>IFERROR(__xludf.DUMMYFUNCTION("""COMPUTED_VALUE"""),"https://www.facebook.com/egtic.anton")</f>
        <v>https://www.facebook.com/egtic.anton</v>
      </c>
      <c r="B395" s="1" t="str">
        <f>IFERROR(__xludf.DUMMYFUNCTION("""COMPUTED_VALUE"""),"Egtic Anton")</f>
        <v>Egtic Anton</v>
      </c>
      <c r="C395" s="1" t="str">
        <f>IFERROR(__xludf.DUMMYFUNCTION("""COMPUTED_VALUE"""),"Egtic")</f>
        <v>Egtic</v>
      </c>
      <c r="D395" s="1" t="str">
        <f>IFERROR(__xludf.DUMMYFUNCTION("""COMPUTED_VALUE"""),"Anton")</f>
        <v>Anton</v>
      </c>
      <c r="E395" s="1" t="str">
        <f>IFERROR(__xludf.DUMMYFUNCTION("""COMPUTED_VALUE"""),"Go Cong.Barzaga")</f>
        <v>Go Cong.Barzaga</v>
      </c>
      <c r="F395" s="1"/>
      <c r="G395" s="1" t="str">
        <f>IFERROR(__xludf.DUMMYFUNCTION("""COMPUTED_VALUE"""),"3 mos")</f>
        <v>3 mos</v>
      </c>
      <c r="H395" s="1" t="str">
        <f>IFERROR(__xludf.DUMMYFUNCTION("""COMPUTED_VALUE"""),"comment")</f>
        <v>comment</v>
      </c>
      <c r="I395" s="2" t="str">
        <f>IFERROR(__xludf.DUMMYFUNCTION("""COMPUTED_VALUE"""),"https://www.facebook.com/rapplerdotcom/photos/a.317154781638645/5597612220259515/")</f>
        <v>https://www.facebook.com/rapplerdotcom/photos/a.317154781638645/5597612220259515/</v>
      </c>
      <c r="J395" s="1" t="str">
        <f>IFERROR(__xludf.DUMMYFUNCTION("""COMPUTED_VALUE"""),"2022-07-04T11:12:03.022Z")</f>
        <v>2022-07-04T11:12:03.022Z</v>
      </c>
      <c r="K395" s="1"/>
    </row>
    <row r="396">
      <c r="A396" s="2" t="str">
        <f>IFERROR(__xludf.DUMMYFUNCTION("""COMPUTED_VALUE"""),"https://www.facebook.com/isidro.rentoy.5")</f>
        <v>https://www.facebook.com/isidro.rentoy.5</v>
      </c>
      <c r="B396" s="1" t="str">
        <f>IFERROR(__xludf.DUMMYFUNCTION("""COMPUTED_VALUE"""),"Idr Rentoy")</f>
        <v>Idr Rentoy</v>
      </c>
      <c r="C396" s="1" t="str">
        <f>IFERROR(__xludf.DUMMYFUNCTION("""COMPUTED_VALUE"""),"Idr")</f>
        <v>Idr</v>
      </c>
      <c r="D396" s="1" t="str">
        <f>IFERROR(__xludf.DUMMYFUNCTION("""COMPUTED_VALUE"""),"Rentoy")</f>
        <v>Rentoy</v>
      </c>
      <c r="E396" s="1" t="str">
        <f>IFERROR(__xludf.DUMMYFUNCTION("""COMPUTED_VALUE"""),"Yan  ang dasmarinenyo may utak ay makabayan kya gumaganda ang dasmarinas city gobyernong tapat salute mayor jenny barzaga at cong pidi CPA N LAWYER P")</f>
        <v>Yan  ang dasmarinenyo may utak ay makabayan kya gumaganda ang dasmarinas city gobyernong tapat salute mayor jenny barzaga at cong pidi CPA N LAWYER P</v>
      </c>
      <c r="F396" s="1">
        <f>IFERROR(__xludf.DUMMYFUNCTION("""COMPUTED_VALUE"""),2.0)</f>
        <v>2</v>
      </c>
      <c r="G396" s="1" t="str">
        <f>IFERROR(__xludf.DUMMYFUNCTION("""COMPUTED_VALUE"""),"3 mos")</f>
        <v>3 mos</v>
      </c>
      <c r="H396" s="1" t="str">
        <f>IFERROR(__xludf.DUMMYFUNCTION("""COMPUTED_VALUE"""),"comment")</f>
        <v>comment</v>
      </c>
      <c r="I396" s="2" t="str">
        <f>IFERROR(__xludf.DUMMYFUNCTION("""COMPUTED_VALUE"""),"https://www.facebook.com/rapplerdotcom/photos/a.317154781638645/5597612220259515/")</f>
        <v>https://www.facebook.com/rapplerdotcom/photos/a.317154781638645/5597612220259515/</v>
      </c>
      <c r="J396" s="1" t="str">
        <f>IFERROR(__xludf.DUMMYFUNCTION("""COMPUTED_VALUE"""),"2022-07-04T11:12:03.022Z")</f>
        <v>2022-07-04T11:12:03.022Z</v>
      </c>
      <c r="K396" s="1"/>
    </row>
    <row r="397">
      <c r="A397" s="2" t="str">
        <f>IFERROR(__xludf.DUMMYFUNCTION("""COMPUTED_VALUE"""),"https://www.facebook.com/romeo.serrano.39")</f>
        <v>https://www.facebook.com/romeo.serrano.39</v>
      </c>
      <c r="B397" s="1" t="str">
        <f>IFERROR(__xludf.DUMMYFUNCTION("""COMPUTED_VALUE"""),"Romeo Serrano")</f>
        <v>Romeo Serrano</v>
      </c>
      <c r="C397" s="1" t="str">
        <f>IFERROR(__xludf.DUMMYFUNCTION("""COMPUTED_VALUE"""),"Romeo")</f>
        <v>Romeo</v>
      </c>
      <c r="D397" s="1" t="str">
        <f>IFERROR(__xludf.DUMMYFUNCTION("""COMPUTED_VALUE"""),"Serrano")</f>
        <v>Serrano</v>
      </c>
      <c r="E397" s="1" t="str">
        <f>IFERROR(__xludf.DUMMYFUNCTION("""COMPUTED_VALUE"""),"Salute sir... Hindi ka bulag sa katotohanan")</f>
        <v>Salute sir... Hindi ka bulag sa katotohanan</v>
      </c>
      <c r="F397" s="1">
        <f>IFERROR(__xludf.DUMMYFUNCTION("""COMPUTED_VALUE"""),3.0)</f>
        <v>3</v>
      </c>
      <c r="G397" s="1" t="str">
        <f>IFERROR(__xludf.DUMMYFUNCTION("""COMPUTED_VALUE"""),"3 mos")</f>
        <v>3 mos</v>
      </c>
      <c r="H397" s="1" t="str">
        <f>IFERROR(__xludf.DUMMYFUNCTION("""COMPUTED_VALUE"""),"comment")</f>
        <v>comment</v>
      </c>
      <c r="I397" s="2" t="str">
        <f>IFERROR(__xludf.DUMMYFUNCTION("""COMPUTED_VALUE"""),"https://www.facebook.com/rapplerdotcom/photos/a.317154781638645/5597612220259515/")</f>
        <v>https://www.facebook.com/rapplerdotcom/photos/a.317154781638645/5597612220259515/</v>
      </c>
      <c r="J397" s="1" t="str">
        <f>IFERROR(__xludf.DUMMYFUNCTION("""COMPUTED_VALUE"""),"2022-07-04T11:12:03.022Z")</f>
        <v>2022-07-04T11:12:03.022Z</v>
      </c>
      <c r="K397" s="1"/>
    </row>
    <row r="398">
      <c r="A398" s="2" t="str">
        <f>IFERROR(__xludf.DUMMYFUNCTION("""COMPUTED_VALUE"""),"https://www.facebook.com/RogeJrJobLaura")</f>
        <v>https://www.facebook.com/RogeJrJobLaura</v>
      </c>
      <c r="B398" s="1" t="str">
        <f>IFERROR(__xludf.DUMMYFUNCTION("""COMPUTED_VALUE"""),"Roge Jr Job Laura")</f>
        <v>Roge Jr Job Laura</v>
      </c>
      <c r="C398" s="1" t="str">
        <f>IFERROR(__xludf.DUMMYFUNCTION("""COMPUTED_VALUE"""),"Roge")</f>
        <v>Roge</v>
      </c>
      <c r="D398" s="1" t="str">
        <f>IFERROR(__xludf.DUMMYFUNCTION("""COMPUTED_VALUE"""),"Jr Job Laura")</f>
        <v>Jr Job Laura</v>
      </c>
      <c r="E398" s="1" t="str">
        <f>IFERROR(__xludf.DUMMYFUNCTION("""COMPUTED_VALUE"""),"Dito mo makikita tama nga si pareng Ted Failon ""Your choice reflects your values"" mapalad yong may mga  provinces, city, town na may government Officials na Good Governance ang main goal sa gobyerno.")</f>
        <v>Dito mo makikita tama nga si pareng Ted Failon "Your choice reflects your values" mapalad yong may mga  provinces, city, town na may government Officials na Good Governance ang main goal sa gobyerno.</v>
      </c>
      <c r="F398" s="1"/>
      <c r="G398" s="1" t="str">
        <f>IFERROR(__xludf.DUMMYFUNCTION("""COMPUTED_VALUE"""),"3 mos")</f>
        <v>3 mos</v>
      </c>
      <c r="H398" s="1" t="str">
        <f>IFERROR(__xludf.DUMMYFUNCTION("""COMPUTED_VALUE"""),"comment")</f>
        <v>comment</v>
      </c>
      <c r="I398" s="2" t="str">
        <f>IFERROR(__xludf.DUMMYFUNCTION("""COMPUTED_VALUE"""),"https://www.facebook.com/rapplerdotcom/photos/a.317154781638645/5597612220259515/")</f>
        <v>https://www.facebook.com/rapplerdotcom/photos/a.317154781638645/5597612220259515/</v>
      </c>
      <c r="J398" s="1" t="str">
        <f>IFERROR(__xludf.DUMMYFUNCTION("""COMPUTED_VALUE"""),"2022-07-04T11:12:03.022Z")</f>
        <v>2022-07-04T11:12:03.022Z</v>
      </c>
      <c r="K398" s="1"/>
    </row>
    <row r="399">
      <c r="A399" s="2" t="str">
        <f>IFERROR(__xludf.DUMMYFUNCTION("""COMPUTED_VALUE"""),"https://www.facebook.com/melinda.santelices")</f>
        <v>https://www.facebook.com/melinda.santelices</v>
      </c>
      <c r="B399" s="1" t="str">
        <f>IFERROR(__xludf.DUMMYFUNCTION("""COMPUTED_VALUE"""),"Melinda Santelices")</f>
        <v>Melinda Santelices</v>
      </c>
      <c r="C399" s="1" t="str">
        <f>IFERROR(__xludf.DUMMYFUNCTION("""COMPUTED_VALUE"""),"Melinda")</f>
        <v>Melinda</v>
      </c>
      <c r="D399" s="1" t="str">
        <f>IFERROR(__xludf.DUMMYFUNCTION("""COMPUTED_VALUE"""),"Santelices")</f>
        <v>Santelices</v>
      </c>
      <c r="E399" s="1" t="str">
        <f>IFERROR(__xludf.DUMMYFUNCTION("""COMPUTED_VALUE"""),"Thank you po Sir, Tama PO Ang ginawa nyo...good job PO.")</f>
        <v>Thank you po Sir, Tama PO Ang ginawa nyo...good job PO.</v>
      </c>
      <c r="F399" s="1">
        <f>IFERROR(__xludf.DUMMYFUNCTION("""COMPUTED_VALUE"""),2.0)</f>
        <v>2</v>
      </c>
      <c r="G399" s="1" t="str">
        <f>IFERROR(__xludf.DUMMYFUNCTION("""COMPUTED_VALUE"""),"3 mos")</f>
        <v>3 mos</v>
      </c>
      <c r="H399" s="1" t="str">
        <f>IFERROR(__xludf.DUMMYFUNCTION("""COMPUTED_VALUE"""),"comment")</f>
        <v>comment</v>
      </c>
      <c r="I399" s="2" t="str">
        <f>IFERROR(__xludf.DUMMYFUNCTION("""COMPUTED_VALUE"""),"https://www.facebook.com/rapplerdotcom/photos/a.317154781638645/5597612220259515/")</f>
        <v>https://www.facebook.com/rapplerdotcom/photos/a.317154781638645/5597612220259515/</v>
      </c>
      <c r="J399" s="1" t="str">
        <f>IFERROR(__xludf.DUMMYFUNCTION("""COMPUTED_VALUE"""),"2022-07-04T11:12:03.022Z")</f>
        <v>2022-07-04T11:12:03.022Z</v>
      </c>
      <c r="K399" s="1"/>
    </row>
    <row r="400">
      <c r="A400" s="2" t="str">
        <f>IFERROR(__xludf.DUMMYFUNCTION("""COMPUTED_VALUE"""),"https://www.facebook.com/joebeth.egenias")</f>
        <v>https://www.facebook.com/joebeth.egenias</v>
      </c>
      <c r="B400" s="1" t="str">
        <f>IFERROR(__xludf.DUMMYFUNCTION("""COMPUTED_VALUE"""),"Lizabeth Egenias Cariño")</f>
        <v>Lizabeth Egenias Cariño</v>
      </c>
      <c r="C400" s="1" t="str">
        <f>IFERROR(__xludf.DUMMYFUNCTION("""COMPUTED_VALUE"""),"Lizabeth")</f>
        <v>Lizabeth</v>
      </c>
      <c r="D400" s="1" t="str">
        <f>IFERROR(__xludf.DUMMYFUNCTION("""COMPUTED_VALUE"""),"Egenias Cariño")</f>
        <v>Egenias Cariño</v>
      </c>
      <c r="E400" s="1" t="str">
        <f>IFERROR(__xludf.DUMMYFUNCTION("""COMPUTED_VALUE"""),"SAlamat po Cong.Barzaga")</f>
        <v>SAlamat po Cong.Barzaga</v>
      </c>
      <c r="F400" s="1"/>
      <c r="G400" s="1" t="str">
        <f>IFERROR(__xludf.DUMMYFUNCTION("""COMPUTED_VALUE"""),"3 mos")</f>
        <v>3 mos</v>
      </c>
      <c r="H400" s="1" t="str">
        <f>IFERROR(__xludf.DUMMYFUNCTION("""COMPUTED_VALUE"""),"comment")</f>
        <v>comment</v>
      </c>
      <c r="I400" s="2" t="str">
        <f>IFERROR(__xludf.DUMMYFUNCTION("""COMPUTED_VALUE"""),"https://www.facebook.com/rapplerdotcom/photos/a.317154781638645/5597612220259515/")</f>
        <v>https://www.facebook.com/rapplerdotcom/photos/a.317154781638645/5597612220259515/</v>
      </c>
      <c r="J400" s="1" t="str">
        <f>IFERROR(__xludf.DUMMYFUNCTION("""COMPUTED_VALUE"""),"2022-07-04T11:12:03.022Z")</f>
        <v>2022-07-04T11:12:03.022Z</v>
      </c>
      <c r="K400" s="1"/>
    </row>
    <row r="401">
      <c r="A401" s="2" t="str">
        <f>IFERROR(__xludf.DUMMYFUNCTION("""COMPUTED_VALUE"""),"https://www.facebook.com/marizz.monzoncordova")</f>
        <v>https://www.facebook.com/marizz.monzoncordova</v>
      </c>
      <c r="B401" s="1" t="str">
        <f>IFERROR(__xludf.DUMMYFUNCTION("""COMPUTED_VALUE"""),"Marizz Monzon-Cordova")</f>
        <v>Marizz Monzon-Cordova</v>
      </c>
      <c r="C401" s="1" t="str">
        <f>IFERROR(__xludf.DUMMYFUNCTION("""COMPUTED_VALUE"""),"Marizz")</f>
        <v>Marizz</v>
      </c>
      <c r="D401" s="1" t="str">
        <f>IFERROR(__xludf.DUMMYFUNCTION("""COMPUTED_VALUE"""),"Monzon-Cordova")</f>
        <v>Monzon-Cordova</v>
      </c>
      <c r="E401" s="1" t="str">
        <f>IFERROR(__xludf.DUMMYFUNCTION("""COMPUTED_VALUE"""),"Thank you po for the support 💗 indeed Kulay Rosas ang Bukas🌸 #LeniKiko2022")</f>
        <v>Thank you po for the support 💗 indeed Kulay Rosas ang Bukas🌸 #LeniKiko2022</v>
      </c>
      <c r="F401" s="1">
        <f>IFERROR(__xludf.DUMMYFUNCTION("""COMPUTED_VALUE"""),1.0)</f>
        <v>1</v>
      </c>
      <c r="G401" s="1" t="str">
        <f>IFERROR(__xludf.DUMMYFUNCTION("""COMPUTED_VALUE"""),"3 mos")</f>
        <v>3 mos</v>
      </c>
      <c r="H401" s="1" t="str">
        <f>IFERROR(__xludf.DUMMYFUNCTION("""COMPUTED_VALUE"""),"comment")</f>
        <v>comment</v>
      </c>
      <c r="I401" s="2" t="str">
        <f>IFERROR(__xludf.DUMMYFUNCTION("""COMPUTED_VALUE"""),"https://www.facebook.com/rapplerdotcom/photos/a.317154781638645/5597612220259515/")</f>
        <v>https://www.facebook.com/rapplerdotcom/photos/a.317154781638645/5597612220259515/</v>
      </c>
      <c r="J401" s="1" t="str">
        <f>IFERROR(__xludf.DUMMYFUNCTION("""COMPUTED_VALUE"""),"2022-07-04T11:12:03.022Z")</f>
        <v>2022-07-04T11:12:03.022Z</v>
      </c>
      <c r="K401" s="1"/>
    </row>
    <row r="402">
      <c r="A402" s="2" t="str">
        <f>IFERROR(__xludf.DUMMYFUNCTION("""COMPUTED_VALUE"""),"https://www.facebook.com/ramon.juario")</f>
        <v>https://www.facebook.com/ramon.juario</v>
      </c>
      <c r="B402" s="1" t="str">
        <f>IFERROR(__xludf.DUMMYFUNCTION("""COMPUTED_VALUE"""),"Ramon Juario")</f>
        <v>Ramon Juario</v>
      </c>
      <c r="C402" s="1" t="str">
        <f>IFERROR(__xludf.DUMMYFUNCTION("""COMPUTED_VALUE"""),"Ramon")</f>
        <v>Ramon</v>
      </c>
      <c r="D402" s="1" t="str">
        <f>IFERROR(__xludf.DUMMYFUNCTION("""COMPUTED_VALUE"""),"Juario")</f>
        <v>Juario</v>
      </c>
      <c r="E402" s="1" t="str">
        <f>IFERROR(__xludf.DUMMYFUNCTION("""COMPUTED_VALUE"""),"Tama po ang paglipat ninyo sa pink color Congressman at tiyak nasa tama po Dereksyon ninyo.")</f>
        <v>Tama po ang paglipat ninyo sa pink color Congressman at tiyak nasa tama po Dereksyon ninyo.</v>
      </c>
      <c r="F402" s="1">
        <f>IFERROR(__xludf.DUMMYFUNCTION("""COMPUTED_VALUE"""),2.0)</f>
        <v>2</v>
      </c>
      <c r="G402" s="1" t="str">
        <f>IFERROR(__xludf.DUMMYFUNCTION("""COMPUTED_VALUE"""),"3 mos")</f>
        <v>3 mos</v>
      </c>
      <c r="H402" s="1" t="str">
        <f>IFERROR(__xludf.DUMMYFUNCTION("""COMPUTED_VALUE"""),"comment")</f>
        <v>comment</v>
      </c>
      <c r="I402" s="2" t="str">
        <f>IFERROR(__xludf.DUMMYFUNCTION("""COMPUTED_VALUE"""),"https://www.facebook.com/rapplerdotcom/photos/a.317154781638645/5597612220259515/")</f>
        <v>https://www.facebook.com/rapplerdotcom/photos/a.317154781638645/5597612220259515/</v>
      </c>
      <c r="J402" s="1" t="str">
        <f>IFERROR(__xludf.DUMMYFUNCTION("""COMPUTED_VALUE"""),"2022-07-04T11:12:03.022Z")</f>
        <v>2022-07-04T11:12:03.022Z</v>
      </c>
      <c r="K402" s="1"/>
    </row>
    <row r="403">
      <c r="A403" s="2" t="str">
        <f>IFERROR(__xludf.DUMMYFUNCTION("""COMPUTED_VALUE"""),"https://www.facebook.com/lourdes.tobias.16")</f>
        <v>https://www.facebook.com/lourdes.tobias.16</v>
      </c>
      <c r="B403" s="1" t="str">
        <f>IFERROR(__xludf.DUMMYFUNCTION("""COMPUTED_VALUE"""),"Lourdes Tobias")</f>
        <v>Lourdes Tobias</v>
      </c>
      <c r="C403" s="1" t="str">
        <f>IFERROR(__xludf.DUMMYFUNCTION("""COMPUTED_VALUE"""),"Lourdes")</f>
        <v>Lourdes</v>
      </c>
      <c r="D403" s="1" t="str">
        <f>IFERROR(__xludf.DUMMYFUNCTION("""COMPUTED_VALUE"""),"Tobias")</f>
        <v>Tobias</v>
      </c>
      <c r="E403" s="1" t="str">
        <f>IFERROR(__xludf.DUMMYFUNCTION("""COMPUTED_VALUE"""),"Salamat po")</f>
        <v>Salamat po</v>
      </c>
      <c r="F403" s="1">
        <f>IFERROR(__xludf.DUMMYFUNCTION("""COMPUTED_VALUE"""),1.0)</f>
        <v>1</v>
      </c>
      <c r="G403" s="1" t="str">
        <f>IFERROR(__xludf.DUMMYFUNCTION("""COMPUTED_VALUE"""),"3 mos")</f>
        <v>3 mos</v>
      </c>
      <c r="H403" s="1" t="str">
        <f>IFERROR(__xludf.DUMMYFUNCTION("""COMPUTED_VALUE"""),"comment")</f>
        <v>comment</v>
      </c>
      <c r="I403" s="2" t="str">
        <f>IFERROR(__xludf.DUMMYFUNCTION("""COMPUTED_VALUE"""),"https://www.facebook.com/rapplerdotcom/photos/a.317154781638645/5597612220259515/")</f>
        <v>https://www.facebook.com/rapplerdotcom/photos/a.317154781638645/5597612220259515/</v>
      </c>
      <c r="J403" s="1" t="str">
        <f>IFERROR(__xludf.DUMMYFUNCTION("""COMPUTED_VALUE"""),"2022-07-04T11:12:03.022Z")</f>
        <v>2022-07-04T11:12:03.022Z</v>
      </c>
      <c r="K403" s="1"/>
    </row>
    <row r="404">
      <c r="A404" s="2" t="str">
        <f>IFERROR(__xludf.DUMMYFUNCTION("""COMPUTED_VALUE"""),"https://www.facebook.com/angela.romanos.14")</f>
        <v>https://www.facebook.com/angela.romanos.14</v>
      </c>
      <c r="B404" s="1" t="str">
        <f>IFERROR(__xludf.DUMMYFUNCTION("""COMPUTED_VALUE"""),"Angela Romanos")</f>
        <v>Angela Romanos</v>
      </c>
      <c r="C404" s="1" t="str">
        <f>IFERROR(__xludf.DUMMYFUNCTION("""COMPUTED_VALUE"""),"Angela")</f>
        <v>Angela</v>
      </c>
      <c r="D404" s="1" t="str">
        <f>IFERROR(__xludf.DUMMYFUNCTION("""COMPUTED_VALUE"""),"Romanos")</f>
        <v>Romanos</v>
      </c>
      <c r="E404" s="1" t="str">
        <f>IFERROR(__xludf.DUMMYFUNCTION("""COMPUTED_VALUE"""),"Maraming salamat sa pagtindig at pag panig  sa marangal at karapatdapat...")</f>
        <v>Maraming salamat sa pagtindig at pag panig  sa marangal at karapatdapat...</v>
      </c>
      <c r="F404" s="1">
        <f>IFERROR(__xludf.DUMMYFUNCTION("""COMPUTED_VALUE"""),1.0)</f>
        <v>1</v>
      </c>
      <c r="G404" s="1" t="str">
        <f>IFERROR(__xludf.DUMMYFUNCTION("""COMPUTED_VALUE"""),"3 mos")</f>
        <v>3 mos</v>
      </c>
      <c r="H404" s="1" t="str">
        <f>IFERROR(__xludf.DUMMYFUNCTION("""COMPUTED_VALUE"""),"comment")</f>
        <v>comment</v>
      </c>
      <c r="I404" s="2" t="str">
        <f>IFERROR(__xludf.DUMMYFUNCTION("""COMPUTED_VALUE"""),"https://www.facebook.com/rapplerdotcom/photos/a.317154781638645/5597612220259515/")</f>
        <v>https://www.facebook.com/rapplerdotcom/photos/a.317154781638645/5597612220259515/</v>
      </c>
      <c r="J404" s="1" t="str">
        <f>IFERROR(__xludf.DUMMYFUNCTION("""COMPUTED_VALUE"""),"2022-07-04T11:12:03.022Z")</f>
        <v>2022-07-04T11:12:03.022Z</v>
      </c>
      <c r="K404" s="1"/>
    </row>
    <row r="405">
      <c r="A405" s="2" t="str">
        <f>IFERROR(__xludf.DUMMYFUNCTION("""COMPUTED_VALUE"""),"https://www.facebook.com/divina.callado")</f>
        <v>https://www.facebook.com/divina.callado</v>
      </c>
      <c r="B405" s="1" t="str">
        <f>IFERROR(__xludf.DUMMYFUNCTION("""COMPUTED_VALUE"""),"Divina Olanio Callado")</f>
        <v>Divina Olanio Callado</v>
      </c>
      <c r="C405" s="1" t="str">
        <f>IFERROR(__xludf.DUMMYFUNCTION("""COMPUTED_VALUE"""),"Divina")</f>
        <v>Divina</v>
      </c>
      <c r="D405" s="1" t="str">
        <f>IFERROR(__xludf.DUMMYFUNCTION("""COMPUTED_VALUE"""),"Olanio Callado")</f>
        <v>Olanio Callado</v>
      </c>
      <c r="E405" s="1" t="str">
        <f>IFERROR(__xludf.DUMMYFUNCTION("""COMPUTED_VALUE"""),"Good for you Mr Elpidio Barzaga. Mabuhay po kayo 💖")</f>
        <v>Good for you Mr Elpidio Barzaga. Mabuhay po kayo 💖</v>
      </c>
      <c r="F405" s="1"/>
      <c r="G405" s="1" t="str">
        <f>IFERROR(__xludf.DUMMYFUNCTION("""COMPUTED_VALUE"""),"3 mos")</f>
        <v>3 mos</v>
      </c>
      <c r="H405" s="1" t="str">
        <f>IFERROR(__xludf.DUMMYFUNCTION("""COMPUTED_VALUE"""),"comment")</f>
        <v>comment</v>
      </c>
      <c r="I405" s="2" t="str">
        <f>IFERROR(__xludf.DUMMYFUNCTION("""COMPUTED_VALUE"""),"https://www.facebook.com/rapplerdotcom/photos/a.317154781638645/5597612220259515/")</f>
        <v>https://www.facebook.com/rapplerdotcom/photos/a.317154781638645/5597612220259515/</v>
      </c>
      <c r="J405" s="1" t="str">
        <f>IFERROR(__xludf.DUMMYFUNCTION("""COMPUTED_VALUE"""),"2022-07-04T11:12:03.022Z")</f>
        <v>2022-07-04T11:12:03.022Z</v>
      </c>
      <c r="K405" s="1"/>
    </row>
    <row r="406">
      <c r="A406" s="2" t="str">
        <f>IFERROR(__xludf.DUMMYFUNCTION("""COMPUTED_VALUE"""),"https://www.facebook.com/racquel.andres.908")</f>
        <v>https://www.facebook.com/racquel.andres.908</v>
      </c>
      <c r="B406" s="1" t="str">
        <f>IFERROR(__xludf.DUMMYFUNCTION("""COMPUTED_VALUE"""),"Racquel Andres")</f>
        <v>Racquel Andres</v>
      </c>
      <c r="C406" s="1" t="str">
        <f>IFERROR(__xludf.DUMMYFUNCTION("""COMPUTED_VALUE"""),"Racquel")</f>
        <v>Racquel</v>
      </c>
      <c r="D406" s="1" t="str">
        <f>IFERROR(__xludf.DUMMYFUNCTION("""COMPUTED_VALUE"""),"Andres")</f>
        <v>Andres</v>
      </c>
      <c r="E406" s="1" t="str">
        <f>IFERROR(__xludf.DUMMYFUNCTION("""COMPUTED_VALUE"""),"Salamat  sa supporta Cong.Barsaga..tama po ang iyong naging decision at mas marami ang kababayan mo ang pabor sa ginawa mo ..kaya sigurado pareho kayong panalo 👍🎀🎀🎀")</f>
        <v>Salamat  sa supporta Cong.Barsaga..tama po ang iyong naging decision at mas marami ang kababayan mo ang pabor sa ginawa mo ..kaya sigurado pareho kayong panalo 👍🎀🎀🎀</v>
      </c>
      <c r="F406" s="1">
        <f>IFERROR(__xludf.DUMMYFUNCTION("""COMPUTED_VALUE"""),24.0)</f>
        <v>24</v>
      </c>
      <c r="G406" s="1" t="str">
        <f>IFERROR(__xludf.DUMMYFUNCTION("""COMPUTED_VALUE"""),"3 mos")</f>
        <v>3 mos</v>
      </c>
      <c r="H406" s="1" t="str">
        <f>IFERROR(__xludf.DUMMYFUNCTION("""COMPUTED_VALUE"""),"comment")</f>
        <v>comment</v>
      </c>
      <c r="I406" s="2" t="str">
        <f>IFERROR(__xludf.DUMMYFUNCTION("""COMPUTED_VALUE"""),"https://www.facebook.com/rapplerdotcom/photos/a.317154781638645/5597612220259515/")</f>
        <v>https://www.facebook.com/rapplerdotcom/photos/a.317154781638645/5597612220259515/</v>
      </c>
      <c r="J406" s="1" t="str">
        <f>IFERROR(__xludf.DUMMYFUNCTION("""COMPUTED_VALUE"""),"2022-07-04T11:12:03.022Z")</f>
        <v>2022-07-04T11:12:03.022Z</v>
      </c>
      <c r="K406" s="1"/>
    </row>
    <row r="407">
      <c r="A407" s="2" t="str">
        <f>IFERROR(__xludf.DUMMYFUNCTION("""COMPUTED_VALUE"""),"https://www.facebook.com/cielo.dupayamendiola")</f>
        <v>https://www.facebook.com/cielo.dupayamendiola</v>
      </c>
      <c r="B407" s="1" t="str">
        <f>IFERROR(__xludf.DUMMYFUNCTION("""COMPUTED_VALUE"""),"Cielo Dupaya Mendiola")</f>
        <v>Cielo Dupaya Mendiola</v>
      </c>
      <c r="C407" s="1" t="str">
        <f>IFERROR(__xludf.DUMMYFUNCTION("""COMPUTED_VALUE"""),"Cielo")</f>
        <v>Cielo</v>
      </c>
      <c r="D407" s="1" t="str">
        <f>IFERROR(__xludf.DUMMYFUNCTION("""COMPUTED_VALUE"""),"Dupaya Mendiola")</f>
        <v>Dupaya Mendiola</v>
      </c>
      <c r="E407" s="1" t="str">
        <f>IFERROR(__xludf.DUMMYFUNCTION("""COMPUTED_VALUE"""),"Yan ang matapang at may paninindigan! Salamat po Sir!🌷🌸🌷")</f>
        <v>Yan ang matapang at may paninindigan! Salamat po Sir!🌷🌸🌷</v>
      </c>
      <c r="F407" s="1"/>
      <c r="G407" s="1" t="str">
        <f>IFERROR(__xludf.DUMMYFUNCTION("""COMPUTED_VALUE"""),"3 mos")</f>
        <v>3 mos</v>
      </c>
      <c r="H407" s="1" t="str">
        <f>IFERROR(__xludf.DUMMYFUNCTION("""COMPUTED_VALUE"""),"comment")</f>
        <v>comment</v>
      </c>
      <c r="I407" s="2" t="str">
        <f>IFERROR(__xludf.DUMMYFUNCTION("""COMPUTED_VALUE"""),"https://www.facebook.com/rapplerdotcom/photos/a.317154781638645/5597612220259515/")</f>
        <v>https://www.facebook.com/rapplerdotcom/photos/a.317154781638645/5597612220259515/</v>
      </c>
      <c r="J407" s="1" t="str">
        <f>IFERROR(__xludf.DUMMYFUNCTION("""COMPUTED_VALUE"""),"2022-07-04T11:12:03.022Z")</f>
        <v>2022-07-04T11:12:03.022Z</v>
      </c>
      <c r="K407" s="1"/>
    </row>
    <row r="408">
      <c r="A408" s="2" t="str">
        <f>IFERROR(__xludf.DUMMYFUNCTION("""COMPUTED_VALUE"""),"https://www.facebook.com/florence.sabado.7")</f>
        <v>https://www.facebook.com/florence.sabado.7</v>
      </c>
      <c r="B408" s="1" t="str">
        <f>IFERROR(__xludf.DUMMYFUNCTION("""COMPUTED_VALUE"""),"Binky Valenzuela Sabado")</f>
        <v>Binky Valenzuela Sabado</v>
      </c>
      <c r="C408" s="1" t="str">
        <f>IFERROR(__xludf.DUMMYFUNCTION("""COMPUTED_VALUE"""),"Binky")</f>
        <v>Binky</v>
      </c>
      <c r="D408" s="1" t="str">
        <f>IFERROR(__xludf.DUMMYFUNCTION("""COMPUTED_VALUE"""),"Valenzuela Sabado")</f>
        <v>Valenzuela Sabado</v>
      </c>
      <c r="E408" s="1" t="str">
        <f>IFERROR(__xludf.DUMMYFUNCTION("""COMPUTED_VALUE"""),"Salamat Po Sir Pidi.")</f>
        <v>Salamat Po Sir Pidi.</v>
      </c>
      <c r="F408" s="1"/>
      <c r="G408" s="1" t="str">
        <f>IFERROR(__xludf.DUMMYFUNCTION("""COMPUTED_VALUE"""),"3 mos")</f>
        <v>3 mos</v>
      </c>
      <c r="H408" s="1" t="str">
        <f>IFERROR(__xludf.DUMMYFUNCTION("""COMPUTED_VALUE"""),"comment")</f>
        <v>comment</v>
      </c>
      <c r="I408" s="2" t="str">
        <f>IFERROR(__xludf.DUMMYFUNCTION("""COMPUTED_VALUE"""),"https://www.facebook.com/rapplerdotcom/photos/a.317154781638645/5597612220259515/")</f>
        <v>https://www.facebook.com/rapplerdotcom/photos/a.317154781638645/5597612220259515/</v>
      </c>
      <c r="J408" s="1" t="str">
        <f>IFERROR(__xludf.DUMMYFUNCTION("""COMPUTED_VALUE"""),"2022-07-04T11:12:03.022Z")</f>
        <v>2022-07-04T11:12:03.022Z</v>
      </c>
      <c r="K408" s="1"/>
    </row>
    <row r="409">
      <c r="A409" s="2" t="str">
        <f>IFERROR(__xludf.DUMMYFUNCTION("""COMPUTED_VALUE"""),"https://www.facebook.com/resi.sitjar.9")</f>
        <v>https://www.facebook.com/resi.sitjar.9</v>
      </c>
      <c r="B409" s="1" t="str">
        <f>IFERROR(__xludf.DUMMYFUNCTION("""COMPUTED_VALUE"""),"Resi Sitjar")</f>
        <v>Resi Sitjar</v>
      </c>
      <c r="C409" s="1" t="str">
        <f>IFERROR(__xludf.DUMMYFUNCTION("""COMPUTED_VALUE"""),"Resi")</f>
        <v>Resi</v>
      </c>
      <c r="D409" s="1" t="str">
        <f>IFERROR(__xludf.DUMMYFUNCTION("""COMPUTED_VALUE"""),"Sitjar")</f>
        <v>Sitjar</v>
      </c>
      <c r="E409" s="1" t="str">
        <f>IFERROR(__xludf.DUMMYFUNCTION("""COMPUTED_VALUE"""),"Saludo kami sa inyo Cong.Pidi ..")</f>
        <v>Saludo kami sa inyo Cong.Pidi ..</v>
      </c>
      <c r="F409" s="1"/>
      <c r="G409" s="1" t="str">
        <f>IFERROR(__xludf.DUMMYFUNCTION("""COMPUTED_VALUE"""),"3 mos")</f>
        <v>3 mos</v>
      </c>
      <c r="H409" s="1" t="str">
        <f>IFERROR(__xludf.DUMMYFUNCTION("""COMPUTED_VALUE"""),"comment")</f>
        <v>comment</v>
      </c>
      <c r="I409" s="2" t="str">
        <f>IFERROR(__xludf.DUMMYFUNCTION("""COMPUTED_VALUE"""),"https://www.facebook.com/rapplerdotcom/photos/a.317154781638645/5597612220259515/")</f>
        <v>https://www.facebook.com/rapplerdotcom/photos/a.317154781638645/5597612220259515/</v>
      </c>
      <c r="J409" s="1" t="str">
        <f>IFERROR(__xludf.DUMMYFUNCTION("""COMPUTED_VALUE"""),"2022-07-04T11:12:03.022Z")</f>
        <v>2022-07-04T11:12:03.022Z</v>
      </c>
      <c r="K409" s="1"/>
    </row>
    <row r="410">
      <c r="A410" s="2" t="str">
        <f>IFERROR(__xludf.DUMMYFUNCTION("""COMPUTED_VALUE"""),"https://www.facebook.com/profile.php?id=100063521917527")</f>
        <v>https://www.facebook.com/profile.php?id=100063521917527</v>
      </c>
      <c r="B410" s="1" t="str">
        <f>IFERROR(__xludf.DUMMYFUNCTION("""COMPUTED_VALUE"""),"Antonio Palacio")</f>
        <v>Antonio Palacio</v>
      </c>
      <c r="C410" s="1" t="str">
        <f>IFERROR(__xludf.DUMMYFUNCTION("""COMPUTED_VALUE"""),"Antonio")</f>
        <v>Antonio</v>
      </c>
      <c r="D410" s="1" t="str">
        <f>IFERROR(__xludf.DUMMYFUNCTION("""COMPUTED_VALUE"""),"Palacio")</f>
        <v>Palacio</v>
      </c>
      <c r="E410" s="1" t="str">
        <f>IFERROR(__xludf.DUMMYFUNCTION("""COMPUTED_VALUE"""),"Godbless sa ating butihing Mayor ng Dasmariñas Mabuhay po kayo. #LetLeniLead2022")</f>
        <v>Godbless sa ating butihing Mayor ng Dasmariñas Mabuhay po kayo. #LetLeniLead2022</v>
      </c>
      <c r="F410" s="1">
        <f>IFERROR(__xludf.DUMMYFUNCTION("""COMPUTED_VALUE"""),1.0)</f>
        <v>1</v>
      </c>
      <c r="G410" s="1" t="str">
        <f>IFERROR(__xludf.DUMMYFUNCTION("""COMPUTED_VALUE"""),"3 mos")</f>
        <v>3 mos</v>
      </c>
      <c r="H410" s="1" t="str">
        <f>IFERROR(__xludf.DUMMYFUNCTION("""COMPUTED_VALUE"""),"comment")</f>
        <v>comment</v>
      </c>
      <c r="I410" s="2" t="str">
        <f>IFERROR(__xludf.DUMMYFUNCTION("""COMPUTED_VALUE"""),"https://www.facebook.com/rapplerdotcom/photos/a.317154781638645/5597612220259515/")</f>
        <v>https://www.facebook.com/rapplerdotcom/photos/a.317154781638645/5597612220259515/</v>
      </c>
      <c r="J410" s="1" t="str">
        <f>IFERROR(__xludf.DUMMYFUNCTION("""COMPUTED_VALUE"""),"2022-07-04T11:12:03.022Z")</f>
        <v>2022-07-04T11:12:03.022Z</v>
      </c>
      <c r="K410" s="1"/>
    </row>
    <row r="411">
      <c r="A411" s="2" t="str">
        <f>IFERROR(__xludf.DUMMYFUNCTION("""COMPUTED_VALUE"""),"https://www.facebook.com/steve.tamayo.18")</f>
        <v>https://www.facebook.com/steve.tamayo.18</v>
      </c>
      <c r="B411" s="1" t="str">
        <f>IFERROR(__xludf.DUMMYFUNCTION("""COMPUTED_VALUE"""),"Steve Tamayo")</f>
        <v>Steve Tamayo</v>
      </c>
      <c r="C411" s="1" t="str">
        <f>IFERROR(__xludf.DUMMYFUNCTION("""COMPUTED_VALUE"""),"Steve")</f>
        <v>Steve</v>
      </c>
      <c r="D411" s="1" t="str">
        <f>IFERROR(__xludf.DUMMYFUNCTION("""COMPUTED_VALUE"""),"Tamayo")</f>
        <v>Tamayo</v>
      </c>
      <c r="E411" s="1" t="str">
        <f>IFERROR(__xludf.DUMMYFUNCTION("""COMPUTED_VALUE"""),"Maraming Salamat Cong sa inyong supporta sa isang #GobyernongTapatAngatBuhayLahat at makulay na #KulayRosasAngBukas")</f>
        <v>Maraming Salamat Cong sa inyong supporta sa isang #GobyernongTapatAngatBuhayLahat at makulay na #KulayRosasAngBukas</v>
      </c>
      <c r="F411" s="1">
        <f>IFERROR(__xludf.DUMMYFUNCTION("""COMPUTED_VALUE"""),20.0)</f>
        <v>20</v>
      </c>
      <c r="G411" s="1" t="str">
        <f>IFERROR(__xludf.DUMMYFUNCTION("""COMPUTED_VALUE"""),"3 mos")</f>
        <v>3 mos</v>
      </c>
      <c r="H411" s="1" t="str">
        <f>IFERROR(__xludf.DUMMYFUNCTION("""COMPUTED_VALUE"""),"comment")</f>
        <v>comment</v>
      </c>
      <c r="I411" s="2" t="str">
        <f>IFERROR(__xludf.DUMMYFUNCTION("""COMPUTED_VALUE"""),"https://www.facebook.com/rapplerdotcom/photos/a.317154781638645/5597612220259515/")</f>
        <v>https://www.facebook.com/rapplerdotcom/photos/a.317154781638645/5597612220259515/</v>
      </c>
      <c r="J411" s="1" t="str">
        <f>IFERROR(__xludf.DUMMYFUNCTION("""COMPUTED_VALUE"""),"2022-07-04T11:12:03.022Z")</f>
        <v>2022-07-04T11:12:03.022Z</v>
      </c>
      <c r="K411" s="1"/>
    </row>
    <row r="412">
      <c r="A412" s="2" t="str">
        <f>IFERROR(__xludf.DUMMYFUNCTION("""COMPUTED_VALUE"""),"https://www.facebook.com/tirso.musa.94")</f>
        <v>https://www.facebook.com/tirso.musa.94</v>
      </c>
      <c r="B412" s="1" t="str">
        <f>IFERROR(__xludf.DUMMYFUNCTION("""COMPUTED_VALUE"""),"Tirso Musa")</f>
        <v>Tirso Musa</v>
      </c>
      <c r="C412" s="1" t="str">
        <f>IFERROR(__xludf.DUMMYFUNCTION("""COMPUTED_VALUE"""),"Tirso")</f>
        <v>Tirso</v>
      </c>
      <c r="D412" s="1" t="str">
        <f>IFERROR(__xludf.DUMMYFUNCTION("""COMPUTED_VALUE"""),"Musa")</f>
        <v>Musa</v>
      </c>
      <c r="E412" s="1" t="str">
        <f>IFERROR(__xludf.DUMMYFUNCTION("""COMPUTED_VALUE"""),"Steve Tamayo Gobyernong Ang magdidikta ay mga oligarchs. ""Salat buhay lahat""")</f>
        <v>Steve Tamayo Gobyernong Ang magdidikta ay mga oligarchs. "Salat buhay lahat"</v>
      </c>
      <c r="F412" s="1"/>
      <c r="G412" s="1" t="str">
        <f>IFERROR(__xludf.DUMMYFUNCTION("""COMPUTED_VALUE"""),"3 mos")</f>
        <v>3 mos</v>
      </c>
      <c r="H412" s="1" t="str">
        <f>IFERROR(__xludf.DUMMYFUNCTION("""COMPUTED_VALUE"""),"reply")</f>
        <v>reply</v>
      </c>
      <c r="I412" s="2" t="str">
        <f>IFERROR(__xludf.DUMMYFUNCTION("""COMPUTED_VALUE"""),"https://www.facebook.com/rapplerdotcom/photos/a.317154781638645/5597612220259515/")</f>
        <v>https://www.facebook.com/rapplerdotcom/photos/a.317154781638645/5597612220259515/</v>
      </c>
      <c r="J412" s="1" t="str">
        <f>IFERROR(__xludf.DUMMYFUNCTION("""COMPUTED_VALUE"""),"2022-07-04T11:12:03.022Z")</f>
        <v>2022-07-04T11:12:03.022Z</v>
      </c>
      <c r="K412" s="1"/>
    </row>
    <row r="413">
      <c r="A413" s="2" t="str">
        <f>IFERROR(__xludf.DUMMYFUNCTION("""COMPUTED_VALUE"""),"https://www.facebook.com/menchu.gamilla")</f>
        <v>https://www.facebook.com/menchu.gamilla</v>
      </c>
      <c r="B413" s="1" t="str">
        <f>IFERROR(__xludf.DUMMYFUNCTION("""COMPUTED_VALUE"""),"Menchu Ledesma Gamilla")</f>
        <v>Menchu Ledesma Gamilla</v>
      </c>
      <c r="C413" s="1" t="str">
        <f>IFERROR(__xludf.DUMMYFUNCTION("""COMPUTED_VALUE"""),"Menchu")</f>
        <v>Menchu</v>
      </c>
      <c r="D413" s="1" t="str">
        <f>IFERROR(__xludf.DUMMYFUNCTION("""COMPUTED_VALUE"""),"Ledesma Gamilla")</f>
        <v>Ledesma Gamilla</v>
      </c>
      <c r="E413" s="1" t="str">
        <f>IFERROR(__xludf.DUMMYFUNCTION("""COMPUTED_VALUE"""),"Mabuhay po kau sa pagpili at pagtindig para sa  tama .")</f>
        <v>Mabuhay po kau sa pagpili at pagtindig para sa  tama .</v>
      </c>
      <c r="F413" s="1">
        <f>IFERROR(__xludf.DUMMYFUNCTION("""COMPUTED_VALUE"""),3.0)</f>
        <v>3</v>
      </c>
      <c r="G413" s="1" t="str">
        <f>IFERROR(__xludf.DUMMYFUNCTION("""COMPUTED_VALUE"""),"3 mos")</f>
        <v>3 mos</v>
      </c>
      <c r="H413" s="1" t="str">
        <f>IFERROR(__xludf.DUMMYFUNCTION("""COMPUTED_VALUE"""),"comment")</f>
        <v>comment</v>
      </c>
      <c r="I413" s="2" t="str">
        <f>IFERROR(__xludf.DUMMYFUNCTION("""COMPUTED_VALUE"""),"https://www.facebook.com/rapplerdotcom/photos/a.317154781638645/5597612220259515/")</f>
        <v>https://www.facebook.com/rapplerdotcom/photos/a.317154781638645/5597612220259515/</v>
      </c>
      <c r="J413" s="1" t="str">
        <f>IFERROR(__xludf.DUMMYFUNCTION("""COMPUTED_VALUE"""),"2022-07-04T11:12:03.022Z")</f>
        <v>2022-07-04T11:12:03.022Z</v>
      </c>
      <c r="K413" s="1"/>
    </row>
    <row r="414">
      <c r="A414" s="2" t="str">
        <f>IFERROR(__xludf.DUMMYFUNCTION("""COMPUTED_VALUE"""),"https://www.facebook.com/jedmichael.ognayon")</f>
        <v>https://www.facebook.com/jedmichael.ognayon</v>
      </c>
      <c r="B414" s="1" t="str">
        <f>IFERROR(__xludf.DUMMYFUNCTION("""COMPUTED_VALUE"""),"Jed Michael Ognayon")</f>
        <v>Jed Michael Ognayon</v>
      </c>
      <c r="C414" s="1" t="str">
        <f>IFERROR(__xludf.DUMMYFUNCTION("""COMPUTED_VALUE"""),"Jed")</f>
        <v>Jed</v>
      </c>
      <c r="D414" s="1" t="str">
        <f>IFERROR(__xludf.DUMMYFUNCTION("""COMPUTED_VALUE"""),"Michael Ognayon")</f>
        <v>Michael Ognayon</v>
      </c>
      <c r="E414" s="1" t="str">
        <f>IFERROR(__xludf.DUMMYFUNCTION("""COMPUTED_VALUE"""),"Okay maraming salamat sa supporta sir")</f>
        <v>Okay maraming salamat sa supporta sir</v>
      </c>
      <c r="F414" s="1">
        <f>IFERROR(__xludf.DUMMYFUNCTION("""COMPUTED_VALUE"""),2.0)</f>
        <v>2</v>
      </c>
      <c r="G414" s="1" t="str">
        <f>IFERROR(__xludf.DUMMYFUNCTION("""COMPUTED_VALUE"""),"3 mos")</f>
        <v>3 mos</v>
      </c>
      <c r="H414" s="1" t="str">
        <f>IFERROR(__xludf.DUMMYFUNCTION("""COMPUTED_VALUE"""),"comment")</f>
        <v>comment</v>
      </c>
      <c r="I414" s="2" t="str">
        <f>IFERROR(__xludf.DUMMYFUNCTION("""COMPUTED_VALUE"""),"https://www.facebook.com/rapplerdotcom/photos/a.317154781638645/5597612220259515/")</f>
        <v>https://www.facebook.com/rapplerdotcom/photos/a.317154781638645/5597612220259515/</v>
      </c>
      <c r="J414" s="1" t="str">
        <f>IFERROR(__xludf.DUMMYFUNCTION("""COMPUTED_VALUE"""),"2022-07-04T11:12:03.022Z")</f>
        <v>2022-07-04T11:12:03.022Z</v>
      </c>
      <c r="K414" s="1"/>
    </row>
    <row r="415">
      <c r="A415" s="2" t="str">
        <f>IFERROR(__xludf.DUMMYFUNCTION("""COMPUTED_VALUE"""),"https://www.facebook.com/noli.collao.3")</f>
        <v>https://www.facebook.com/noli.collao.3</v>
      </c>
      <c r="B415" s="1" t="str">
        <f>IFERROR(__xludf.DUMMYFUNCTION("""COMPUTED_VALUE"""),"Noli Collao")</f>
        <v>Noli Collao</v>
      </c>
      <c r="C415" s="1" t="str">
        <f>IFERROR(__xludf.DUMMYFUNCTION("""COMPUTED_VALUE"""),"Noli")</f>
        <v>Noli</v>
      </c>
      <c r="D415" s="1" t="str">
        <f>IFERROR(__xludf.DUMMYFUNCTION("""COMPUTED_VALUE"""),"Collao")</f>
        <v>Collao</v>
      </c>
      <c r="E415" s="1" t="str">
        <f>IFERROR(__xludf.DUMMYFUNCTION("""COMPUTED_VALUE"""),"Salamat Sir sa supporta  at People choice. Mabuhay ka.")</f>
        <v>Salamat Sir sa supporta  at People choice. Mabuhay ka.</v>
      </c>
      <c r="F415" s="1"/>
      <c r="G415" s="1" t="str">
        <f>IFERROR(__xludf.DUMMYFUNCTION("""COMPUTED_VALUE"""),"3 mos")</f>
        <v>3 mos</v>
      </c>
      <c r="H415" s="1" t="str">
        <f>IFERROR(__xludf.DUMMYFUNCTION("""COMPUTED_VALUE"""),"comment")</f>
        <v>comment</v>
      </c>
      <c r="I415" s="2" t="str">
        <f>IFERROR(__xludf.DUMMYFUNCTION("""COMPUTED_VALUE"""),"https://www.facebook.com/rapplerdotcom/photos/a.317154781638645/5597612220259515/")</f>
        <v>https://www.facebook.com/rapplerdotcom/photos/a.317154781638645/5597612220259515/</v>
      </c>
      <c r="J415" s="1" t="str">
        <f>IFERROR(__xludf.DUMMYFUNCTION("""COMPUTED_VALUE"""),"2022-07-04T11:12:03.022Z")</f>
        <v>2022-07-04T11:12:03.022Z</v>
      </c>
      <c r="K415" s="1"/>
    </row>
    <row r="416">
      <c r="A416" s="2" t="str">
        <f>IFERROR(__xludf.DUMMYFUNCTION("""COMPUTED_VALUE"""),"https://www.facebook.com/duztinethewind")</f>
        <v>https://www.facebook.com/duztinethewind</v>
      </c>
      <c r="B416" s="1" t="str">
        <f>IFERROR(__xludf.DUMMYFUNCTION("""COMPUTED_VALUE"""),"Duz Espejo Delos Angeles")</f>
        <v>Duz Espejo Delos Angeles</v>
      </c>
      <c r="C416" s="1" t="str">
        <f>IFERROR(__xludf.DUMMYFUNCTION("""COMPUTED_VALUE"""),"Duz")</f>
        <v>Duz</v>
      </c>
      <c r="D416" s="1" t="str">
        <f>IFERROR(__xludf.DUMMYFUNCTION("""COMPUTED_VALUE"""),"Espejo Delos Angeles")</f>
        <v>Espejo Delos Angeles</v>
      </c>
      <c r="E416" s="1" t="str">
        <f>IFERROR(__xludf.DUMMYFUNCTION("""COMPUTED_VALUE"""),"Salamat sa tapang!")</f>
        <v>Salamat sa tapang!</v>
      </c>
      <c r="F416" s="1">
        <f>IFERROR(__xludf.DUMMYFUNCTION("""COMPUTED_VALUE"""),2.0)</f>
        <v>2</v>
      </c>
      <c r="G416" s="1" t="str">
        <f>IFERROR(__xludf.DUMMYFUNCTION("""COMPUTED_VALUE"""),"3 mos")</f>
        <v>3 mos</v>
      </c>
      <c r="H416" s="1" t="str">
        <f>IFERROR(__xludf.DUMMYFUNCTION("""COMPUTED_VALUE"""),"comment")</f>
        <v>comment</v>
      </c>
      <c r="I416" s="2" t="str">
        <f>IFERROR(__xludf.DUMMYFUNCTION("""COMPUTED_VALUE"""),"https://www.facebook.com/rapplerdotcom/photos/a.317154781638645/5597612220259515/")</f>
        <v>https://www.facebook.com/rapplerdotcom/photos/a.317154781638645/5597612220259515/</v>
      </c>
      <c r="J416" s="1" t="str">
        <f>IFERROR(__xludf.DUMMYFUNCTION("""COMPUTED_VALUE"""),"2022-07-04T11:12:03.022Z")</f>
        <v>2022-07-04T11:12:03.022Z</v>
      </c>
      <c r="K416" s="1"/>
    </row>
    <row r="417">
      <c r="A417" s="2" t="str">
        <f>IFERROR(__xludf.DUMMYFUNCTION("""COMPUTED_VALUE"""),"https://www.facebook.com/profile.php?id=100073176669689")</f>
        <v>https://www.facebook.com/profile.php?id=100073176669689</v>
      </c>
      <c r="B417" s="1" t="str">
        <f>IFERROR(__xludf.DUMMYFUNCTION("""COMPUTED_VALUE"""),"Manoy Bong Lahid")</f>
        <v>Manoy Bong Lahid</v>
      </c>
      <c r="C417" s="1" t="str">
        <f>IFERROR(__xludf.DUMMYFUNCTION("""COMPUTED_VALUE"""),"Manoy")</f>
        <v>Manoy</v>
      </c>
      <c r="D417" s="1" t="str">
        <f>IFERROR(__xludf.DUMMYFUNCTION("""COMPUTED_VALUE"""),"Bong Lahid")</f>
        <v>Bong Lahid</v>
      </c>
      <c r="E417" s="1" t="str">
        <f>IFERROR(__xludf.DUMMYFUNCTION("""COMPUTED_VALUE"""),"Nice move congressman, salamat sa pagtindig, let's LeniLead in 6 years tyak maraming pilipino makinabang sa serbisyong tapat")</f>
        <v>Nice move congressman, salamat sa pagtindig, let's LeniLead in 6 years tyak maraming pilipino makinabang sa serbisyong tapat</v>
      </c>
      <c r="F417" s="1">
        <f>IFERROR(__xludf.DUMMYFUNCTION("""COMPUTED_VALUE"""),3.0)</f>
        <v>3</v>
      </c>
      <c r="G417" s="1" t="str">
        <f>IFERROR(__xludf.DUMMYFUNCTION("""COMPUTED_VALUE"""),"3 mos")</f>
        <v>3 mos</v>
      </c>
      <c r="H417" s="1" t="str">
        <f>IFERROR(__xludf.DUMMYFUNCTION("""COMPUTED_VALUE"""),"comment")</f>
        <v>comment</v>
      </c>
      <c r="I417" s="2" t="str">
        <f>IFERROR(__xludf.DUMMYFUNCTION("""COMPUTED_VALUE"""),"https://www.facebook.com/rapplerdotcom/photos/a.317154781638645/5597612220259515/")</f>
        <v>https://www.facebook.com/rapplerdotcom/photos/a.317154781638645/5597612220259515/</v>
      </c>
      <c r="J417" s="1" t="str">
        <f>IFERROR(__xludf.DUMMYFUNCTION("""COMPUTED_VALUE"""),"2022-07-04T11:12:03.022Z")</f>
        <v>2022-07-04T11:12:03.022Z</v>
      </c>
      <c r="K417" s="1"/>
    </row>
    <row r="418">
      <c r="A418" s="2" t="str">
        <f>IFERROR(__xludf.DUMMYFUNCTION("""COMPUTED_VALUE"""),"https://www.facebook.com/cesar.d.cueva")</f>
        <v>https://www.facebook.com/cesar.d.cueva</v>
      </c>
      <c r="B418" s="1" t="str">
        <f>IFERROR(__xludf.DUMMYFUNCTION("""COMPUTED_VALUE"""),"Cesar Daganzo Cueva")</f>
        <v>Cesar Daganzo Cueva</v>
      </c>
      <c r="C418" s="1" t="str">
        <f>IFERROR(__xludf.DUMMYFUNCTION("""COMPUTED_VALUE"""),"Cesar")</f>
        <v>Cesar</v>
      </c>
      <c r="D418" s="1" t="str">
        <f>IFERROR(__xludf.DUMMYFUNCTION("""COMPUTED_VALUE"""),"Daganzo Cueva")</f>
        <v>Daganzo Cueva</v>
      </c>
      <c r="E418" s="1" t="str">
        <f>IFERROR(__xludf.DUMMYFUNCTION("""COMPUTED_VALUE"""),"Good man,Mabuhay ka Cong.Barsaga!👏👏")</f>
        <v>Good man,Mabuhay ka Cong.Barsaga!👏👏</v>
      </c>
      <c r="F418" s="1">
        <f>IFERROR(__xludf.DUMMYFUNCTION("""COMPUTED_VALUE"""),4.0)</f>
        <v>4</v>
      </c>
      <c r="G418" s="1" t="str">
        <f>IFERROR(__xludf.DUMMYFUNCTION("""COMPUTED_VALUE"""),"3 mos")</f>
        <v>3 mos</v>
      </c>
      <c r="H418" s="1" t="str">
        <f>IFERROR(__xludf.DUMMYFUNCTION("""COMPUTED_VALUE"""),"comment")</f>
        <v>comment</v>
      </c>
      <c r="I418" s="2" t="str">
        <f>IFERROR(__xludf.DUMMYFUNCTION("""COMPUTED_VALUE"""),"https://www.facebook.com/rapplerdotcom/photos/a.317154781638645/5597612220259515/")</f>
        <v>https://www.facebook.com/rapplerdotcom/photos/a.317154781638645/5597612220259515/</v>
      </c>
      <c r="J418" s="1" t="str">
        <f>IFERROR(__xludf.DUMMYFUNCTION("""COMPUTED_VALUE"""),"2022-07-04T11:12:03.022Z")</f>
        <v>2022-07-04T11:12:03.022Z</v>
      </c>
      <c r="K418" s="1"/>
    </row>
    <row r="419">
      <c r="A419" s="2" t="str">
        <f>IFERROR(__xludf.DUMMYFUNCTION("""COMPUTED_VALUE"""),"https://www.facebook.com/miguel.lambino.75")</f>
        <v>https://www.facebook.com/miguel.lambino.75</v>
      </c>
      <c r="B419" s="1" t="str">
        <f>IFERROR(__xludf.DUMMYFUNCTION("""COMPUTED_VALUE"""),"Miguel Lambino")</f>
        <v>Miguel Lambino</v>
      </c>
      <c r="C419" s="1" t="str">
        <f>IFERROR(__xludf.DUMMYFUNCTION("""COMPUTED_VALUE"""),"Miguel")</f>
        <v>Miguel</v>
      </c>
      <c r="D419" s="1" t="str">
        <f>IFERROR(__xludf.DUMMYFUNCTION("""COMPUTED_VALUE"""),"Lambino")</f>
        <v>Lambino</v>
      </c>
      <c r="E419" s="1" t="str">
        <f>IFERROR(__xludf.DUMMYFUNCTION("""COMPUTED_VALUE"""),"Nag iisip. Matapang. Pagpalain!!!")</f>
        <v>Nag iisip. Matapang. Pagpalain!!!</v>
      </c>
      <c r="F419" s="1"/>
      <c r="G419" s="1" t="str">
        <f>IFERROR(__xludf.DUMMYFUNCTION("""COMPUTED_VALUE"""),"3 mos")</f>
        <v>3 mos</v>
      </c>
      <c r="H419" s="1" t="str">
        <f>IFERROR(__xludf.DUMMYFUNCTION("""COMPUTED_VALUE"""),"comment")</f>
        <v>comment</v>
      </c>
      <c r="I419" s="2" t="str">
        <f>IFERROR(__xludf.DUMMYFUNCTION("""COMPUTED_VALUE"""),"https://www.facebook.com/rapplerdotcom/photos/a.317154781638645/5597612220259515/")</f>
        <v>https://www.facebook.com/rapplerdotcom/photos/a.317154781638645/5597612220259515/</v>
      </c>
      <c r="J419" s="1" t="str">
        <f>IFERROR(__xludf.DUMMYFUNCTION("""COMPUTED_VALUE"""),"2022-07-04T11:12:03.022Z")</f>
        <v>2022-07-04T11:12:03.022Z</v>
      </c>
      <c r="K419" s="1"/>
    </row>
    <row r="420">
      <c r="A420" s="2" t="str">
        <f>IFERROR(__xludf.DUMMYFUNCTION("""COMPUTED_VALUE"""),"https://www.facebook.com/matotubo")</f>
        <v>https://www.facebook.com/matotubo</v>
      </c>
      <c r="B420" s="1" t="str">
        <f>IFERROR(__xludf.DUMMYFUNCTION("""COMPUTED_VALUE"""),"Manolito Atotubo")</f>
        <v>Manolito Atotubo</v>
      </c>
      <c r="C420" s="1" t="str">
        <f>IFERROR(__xludf.DUMMYFUNCTION("""COMPUTED_VALUE"""),"Manolito")</f>
        <v>Manolito</v>
      </c>
      <c r="D420" s="1" t="str">
        <f>IFERROR(__xludf.DUMMYFUNCTION("""COMPUTED_VALUE"""),"Atotubo")</f>
        <v>Atotubo</v>
      </c>
      <c r="E420" s="1" t="str">
        <f>IFERROR(__xludf.DUMMYFUNCTION("""COMPUTED_VALUE"""),"At least mayroon din sa cavite na nagmamahal sa bayan na pulitiko. The likes of Revilla &amp; Remulla tainted the integrity of cavite voters. Sana never again.")</f>
        <v>At least mayroon din sa cavite na nagmamahal sa bayan na pulitiko. The likes of Revilla &amp; Remulla tainted the integrity of cavite voters. Sana never again.</v>
      </c>
      <c r="F420" s="1">
        <f>IFERROR(__xludf.DUMMYFUNCTION("""COMPUTED_VALUE"""),23.0)</f>
        <v>23</v>
      </c>
      <c r="G420" s="1" t="str">
        <f>IFERROR(__xludf.DUMMYFUNCTION("""COMPUTED_VALUE"""),"3 mos")</f>
        <v>3 mos</v>
      </c>
      <c r="H420" s="1" t="str">
        <f>IFERROR(__xludf.DUMMYFUNCTION("""COMPUTED_VALUE"""),"comment")</f>
        <v>comment</v>
      </c>
      <c r="I420" s="2" t="str">
        <f>IFERROR(__xludf.DUMMYFUNCTION("""COMPUTED_VALUE"""),"https://www.facebook.com/rapplerdotcom/photos/a.317154781638645/5597612220259515/")</f>
        <v>https://www.facebook.com/rapplerdotcom/photos/a.317154781638645/5597612220259515/</v>
      </c>
      <c r="J420" s="1" t="str">
        <f>IFERROR(__xludf.DUMMYFUNCTION("""COMPUTED_VALUE"""),"2022-07-04T11:12:03.022Z")</f>
        <v>2022-07-04T11:12:03.022Z</v>
      </c>
      <c r="K420" s="1"/>
    </row>
    <row r="421">
      <c r="A421" s="2" t="str">
        <f>IFERROR(__xludf.DUMMYFUNCTION("""COMPUTED_VALUE"""),"https://www.facebook.com/aidalegarci")</f>
        <v>https://www.facebook.com/aidalegarci</v>
      </c>
      <c r="B421" s="1" t="str">
        <f>IFERROR(__xludf.DUMMYFUNCTION("""COMPUTED_VALUE"""),"Aidale Garcia")</f>
        <v>Aidale Garcia</v>
      </c>
      <c r="C421" s="1" t="str">
        <f>IFERROR(__xludf.DUMMYFUNCTION("""COMPUTED_VALUE"""),"Aidale")</f>
        <v>Aidale</v>
      </c>
      <c r="D421" s="1" t="str">
        <f>IFERROR(__xludf.DUMMYFUNCTION("""COMPUTED_VALUE"""),"Garcia")</f>
        <v>Garcia</v>
      </c>
      <c r="E421" s="1" t="str">
        <f>IFERROR(__xludf.DUMMYFUNCTION("""COMPUTED_VALUE"""),"Manolito Atotubo kung sa Revilla din lang palagay ko di makakahatak Ng madami Lalo nagkulong for plunder of billions")</f>
        <v>Manolito Atotubo kung sa Revilla din lang palagay ko di makakahatak Ng madami Lalo nagkulong for plunder of billions</v>
      </c>
      <c r="F421" s="1">
        <f>IFERROR(__xludf.DUMMYFUNCTION("""COMPUTED_VALUE"""),1.0)</f>
        <v>1</v>
      </c>
      <c r="G421" s="1" t="str">
        <f>IFERROR(__xludf.DUMMYFUNCTION("""COMPUTED_VALUE"""),"3 mos")</f>
        <v>3 mos</v>
      </c>
      <c r="H421" s="1" t="str">
        <f>IFERROR(__xludf.DUMMYFUNCTION("""COMPUTED_VALUE"""),"reply")</f>
        <v>reply</v>
      </c>
      <c r="I421" s="2" t="str">
        <f>IFERROR(__xludf.DUMMYFUNCTION("""COMPUTED_VALUE"""),"https://www.facebook.com/rapplerdotcom/photos/a.317154781638645/5597612220259515/")</f>
        <v>https://www.facebook.com/rapplerdotcom/photos/a.317154781638645/5597612220259515/</v>
      </c>
      <c r="J421" s="1" t="str">
        <f>IFERROR(__xludf.DUMMYFUNCTION("""COMPUTED_VALUE"""),"2022-07-04T11:12:03.022Z")</f>
        <v>2022-07-04T11:12:03.022Z</v>
      </c>
      <c r="K421" s="1"/>
    </row>
    <row r="422">
      <c r="A422" s="2" t="str">
        <f>IFERROR(__xludf.DUMMYFUNCTION("""COMPUTED_VALUE"""),"https://www.facebook.com/merlaflores.bendicion")</f>
        <v>https://www.facebook.com/merlaflores.bendicion</v>
      </c>
      <c r="B422" s="1" t="str">
        <f>IFERROR(__xludf.DUMMYFUNCTION("""COMPUTED_VALUE"""),"Merla Flores Bendicion")</f>
        <v>Merla Flores Bendicion</v>
      </c>
      <c r="C422" s="1" t="str">
        <f>IFERROR(__xludf.DUMMYFUNCTION("""COMPUTED_VALUE"""),"Merla")</f>
        <v>Merla</v>
      </c>
      <c r="D422" s="1" t="str">
        <f>IFERROR(__xludf.DUMMYFUNCTION("""COMPUTED_VALUE"""),"Flores Bendicion")</f>
        <v>Flores Bendicion</v>
      </c>
      <c r="E422" s="1" t="str">
        <f>IFERROR(__xludf.DUMMYFUNCTION("""COMPUTED_VALUE"""),"Bravo cong. Barzaga.")</f>
        <v>Bravo cong. Barzaga.</v>
      </c>
      <c r="F422" s="1"/>
      <c r="G422" s="1" t="str">
        <f>IFERROR(__xludf.DUMMYFUNCTION("""COMPUTED_VALUE"""),"3 mos")</f>
        <v>3 mos</v>
      </c>
      <c r="H422" s="1" t="str">
        <f>IFERROR(__xludf.DUMMYFUNCTION("""COMPUTED_VALUE"""),"comment")</f>
        <v>comment</v>
      </c>
      <c r="I422" s="2" t="str">
        <f>IFERROR(__xludf.DUMMYFUNCTION("""COMPUTED_VALUE"""),"https://www.facebook.com/rapplerdotcom/photos/a.317154781638645/5597612220259515/")</f>
        <v>https://www.facebook.com/rapplerdotcom/photos/a.317154781638645/5597612220259515/</v>
      </c>
      <c r="J422" s="1" t="str">
        <f>IFERROR(__xludf.DUMMYFUNCTION("""COMPUTED_VALUE"""),"2022-07-04T11:12:03.022Z")</f>
        <v>2022-07-04T11:12:03.022Z</v>
      </c>
      <c r="K422" s="1"/>
    </row>
    <row r="423">
      <c r="A423" s="2" t="str">
        <f>IFERROR(__xludf.DUMMYFUNCTION("""COMPUTED_VALUE"""),"https://www.facebook.com/mxile")</f>
        <v>https://www.facebook.com/mxile</v>
      </c>
      <c r="B423" s="1" t="str">
        <f>IFERROR(__xludf.DUMMYFUNCTION("""COMPUTED_VALUE"""),"Carl Gregorio")</f>
        <v>Carl Gregorio</v>
      </c>
      <c r="C423" s="1" t="str">
        <f>IFERROR(__xludf.DUMMYFUNCTION("""COMPUTED_VALUE"""),"Carl")</f>
        <v>Carl</v>
      </c>
      <c r="D423" s="1" t="str">
        <f>IFERROR(__xludf.DUMMYFUNCTION("""COMPUTED_VALUE"""),"Gregorio")</f>
        <v>Gregorio</v>
      </c>
      <c r="E423" s="1" t="str">
        <f>IFERROR(__xludf.DUMMYFUNCTION("""COMPUTED_VALUE"""),"Thanks for making a stand")</f>
        <v>Thanks for making a stand</v>
      </c>
      <c r="F423" s="1"/>
      <c r="G423" s="1" t="str">
        <f>IFERROR(__xludf.DUMMYFUNCTION("""COMPUTED_VALUE"""),"3 mos")</f>
        <v>3 mos</v>
      </c>
      <c r="H423" s="1" t="str">
        <f>IFERROR(__xludf.DUMMYFUNCTION("""COMPUTED_VALUE"""),"comment")</f>
        <v>comment</v>
      </c>
      <c r="I423" s="2" t="str">
        <f>IFERROR(__xludf.DUMMYFUNCTION("""COMPUTED_VALUE"""),"https://www.facebook.com/rapplerdotcom/photos/a.317154781638645/5597612220259515/")</f>
        <v>https://www.facebook.com/rapplerdotcom/photos/a.317154781638645/5597612220259515/</v>
      </c>
      <c r="J423" s="1" t="str">
        <f>IFERROR(__xludf.DUMMYFUNCTION("""COMPUTED_VALUE"""),"2022-07-04T11:12:03.022Z")</f>
        <v>2022-07-04T11:12:03.022Z</v>
      </c>
      <c r="K423" s="1"/>
    </row>
    <row r="424">
      <c r="A424" s="2" t="str">
        <f>IFERROR(__xludf.DUMMYFUNCTION("""COMPUTED_VALUE"""),"https://www.facebook.com/factolerin.e")</f>
        <v>https://www.facebook.com/factolerin.e</v>
      </c>
      <c r="B424" s="1" t="str">
        <f>IFERROR(__xludf.DUMMYFUNCTION("""COMPUTED_VALUE"""),"Ishie Factolerin")</f>
        <v>Ishie Factolerin</v>
      </c>
      <c r="C424" s="1" t="str">
        <f>IFERROR(__xludf.DUMMYFUNCTION("""COMPUTED_VALUE"""),"Ishie")</f>
        <v>Ishie</v>
      </c>
      <c r="D424" s="1" t="str">
        <f>IFERROR(__xludf.DUMMYFUNCTION("""COMPUTED_VALUE"""),"Factolerin")</f>
        <v>Factolerin</v>
      </c>
      <c r="E424" s="1" t="str">
        <f>IFERROR(__xludf.DUMMYFUNCTION("""COMPUTED_VALUE"""),"salamat!")</f>
        <v>salamat!</v>
      </c>
      <c r="F424" s="1"/>
      <c r="G424" s="1" t="str">
        <f>IFERROR(__xludf.DUMMYFUNCTION("""COMPUTED_VALUE"""),"3 mos")</f>
        <v>3 mos</v>
      </c>
      <c r="H424" s="1" t="str">
        <f>IFERROR(__xludf.DUMMYFUNCTION("""COMPUTED_VALUE"""),"comment")</f>
        <v>comment</v>
      </c>
      <c r="I424" s="2" t="str">
        <f>IFERROR(__xludf.DUMMYFUNCTION("""COMPUTED_VALUE"""),"https://www.facebook.com/rapplerdotcom/photos/a.317154781638645/5597612220259515/")</f>
        <v>https://www.facebook.com/rapplerdotcom/photos/a.317154781638645/5597612220259515/</v>
      </c>
      <c r="J424" s="1" t="str">
        <f>IFERROR(__xludf.DUMMYFUNCTION("""COMPUTED_VALUE"""),"2022-07-04T11:12:03.022Z")</f>
        <v>2022-07-04T11:12:03.022Z</v>
      </c>
      <c r="K424" s="1"/>
    </row>
    <row r="425">
      <c r="A425" s="2" t="str">
        <f>IFERROR(__xludf.DUMMYFUNCTION("""COMPUTED_VALUE"""),"https://www.facebook.com/josielyn.villafrancamendoza")</f>
        <v>https://www.facebook.com/josielyn.villafrancamendoza</v>
      </c>
      <c r="B425" s="1" t="str">
        <f>IFERROR(__xludf.DUMMYFUNCTION("""COMPUTED_VALUE"""),"Josielyn Villafranca-Mendoza")</f>
        <v>Josielyn Villafranca-Mendoza</v>
      </c>
      <c r="C425" s="1" t="str">
        <f>IFERROR(__xludf.DUMMYFUNCTION("""COMPUTED_VALUE"""),"Josielyn")</f>
        <v>Josielyn</v>
      </c>
      <c r="D425" s="1" t="str">
        <f>IFERROR(__xludf.DUMMYFUNCTION("""COMPUTED_VALUE"""),"Villafranca-Mendoza")</f>
        <v>Villafranca-Mendoza</v>
      </c>
      <c r="E425" s="1" t="str">
        <f>IFERROR(__xludf.DUMMYFUNCTION("""COMPUTED_VALUE"""),"Salamat po Rep. Barzaga!")</f>
        <v>Salamat po Rep. Barzaga!</v>
      </c>
      <c r="F425" s="1"/>
      <c r="G425" s="1" t="str">
        <f>IFERROR(__xludf.DUMMYFUNCTION("""COMPUTED_VALUE"""),"3 mos")</f>
        <v>3 mos</v>
      </c>
      <c r="H425" s="1" t="str">
        <f>IFERROR(__xludf.DUMMYFUNCTION("""COMPUTED_VALUE"""),"comment")</f>
        <v>comment</v>
      </c>
      <c r="I425" s="2" t="str">
        <f>IFERROR(__xludf.DUMMYFUNCTION("""COMPUTED_VALUE"""),"https://www.facebook.com/rapplerdotcom/photos/a.317154781638645/5597612220259515/")</f>
        <v>https://www.facebook.com/rapplerdotcom/photos/a.317154781638645/5597612220259515/</v>
      </c>
      <c r="J425" s="1" t="str">
        <f>IFERROR(__xludf.DUMMYFUNCTION("""COMPUTED_VALUE"""),"2022-07-04T11:12:03.022Z")</f>
        <v>2022-07-04T11:12:03.022Z</v>
      </c>
      <c r="K425" s="1"/>
    </row>
    <row r="426">
      <c r="A426" s="2" t="str">
        <f>IFERROR(__xludf.DUMMYFUNCTION("""COMPUTED_VALUE"""),"https://www.facebook.com/teresita.gonzales.33865854")</f>
        <v>https://www.facebook.com/teresita.gonzales.33865854</v>
      </c>
      <c r="B426" s="1" t="str">
        <f>IFERROR(__xludf.DUMMYFUNCTION("""COMPUTED_VALUE"""),"Teresita Gonzales")</f>
        <v>Teresita Gonzales</v>
      </c>
      <c r="C426" s="1" t="str">
        <f>IFERROR(__xludf.DUMMYFUNCTION("""COMPUTED_VALUE"""),"Teresita")</f>
        <v>Teresita</v>
      </c>
      <c r="D426" s="1" t="str">
        <f>IFERROR(__xludf.DUMMYFUNCTION("""COMPUTED_VALUE"""),"Gonzales")</f>
        <v>Gonzales</v>
      </c>
      <c r="E426" s="1" t="str">
        <f>IFERROR(__xludf.DUMMYFUNCTION("""COMPUTED_VALUE"""),"salamat po Sir s TIWALA! 🙏🙏🙏")</f>
        <v>salamat po Sir s TIWALA! 🙏🙏🙏</v>
      </c>
      <c r="F426" s="1"/>
      <c r="G426" s="1" t="str">
        <f>IFERROR(__xludf.DUMMYFUNCTION("""COMPUTED_VALUE"""),"3 mos")</f>
        <v>3 mos</v>
      </c>
      <c r="H426" s="1" t="str">
        <f>IFERROR(__xludf.DUMMYFUNCTION("""COMPUTED_VALUE"""),"comment")</f>
        <v>comment</v>
      </c>
      <c r="I426" s="2" t="str">
        <f>IFERROR(__xludf.DUMMYFUNCTION("""COMPUTED_VALUE"""),"https://www.facebook.com/rapplerdotcom/photos/a.317154781638645/5597612220259515/")</f>
        <v>https://www.facebook.com/rapplerdotcom/photos/a.317154781638645/5597612220259515/</v>
      </c>
      <c r="J426" s="1" t="str">
        <f>IFERROR(__xludf.DUMMYFUNCTION("""COMPUTED_VALUE"""),"2022-07-04T11:12:03.022Z")</f>
        <v>2022-07-04T11:12:03.022Z</v>
      </c>
      <c r="K426" s="1"/>
    </row>
    <row r="427">
      <c r="A427" s="2" t="str">
        <f>IFERROR(__xludf.DUMMYFUNCTION("""COMPUTED_VALUE"""),"https://www.facebook.com/rogelio.deguzman.73157")</f>
        <v>https://www.facebook.com/rogelio.deguzman.73157</v>
      </c>
      <c r="B427" s="1" t="str">
        <f>IFERROR(__xludf.DUMMYFUNCTION("""COMPUTED_VALUE"""),"Rogelio De Guzman")</f>
        <v>Rogelio De Guzman</v>
      </c>
      <c r="C427" s="1" t="str">
        <f>IFERROR(__xludf.DUMMYFUNCTION("""COMPUTED_VALUE"""),"Rogelio")</f>
        <v>Rogelio</v>
      </c>
      <c r="D427" s="1" t="str">
        <f>IFERROR(__xludf.DUMMYFUNCTION("""COMPUTED_VALUE"""),"De Guzman")</f>
        <v>De Guzman</v>
      </c>
      <c r="E427" s="1" t="str">
        <f>IFERROR(__xludf.DUMMYFUNCTION("""COMPUTED_VALUE"""),"Wag kayong nagagalit sanagbago ng desisyon")</f>
        <v>Wag kayong nagagalit sanagbago ng desisyon</v>
      </c>
      <c r="F427" s="1"/>
      <c r="G427" s="1" t="str">
        <f>IFERROR(__xludf.DUMMYFUNCTION("""COMPUTED_VALUE"""),"3 mos")</f>
        <v>3 mos</v>
      </c>
      <c r="H427" s="1" t="str">
        <f>IFERROR(__xludf.DUMMYFUNCTION("""COMPUTED_VALUE"""),"comment")</f>
        <v>comment</v>
      </c>
      <c r="I427" s="2" t="str">
        <f>IFERROR(__xludf.DUMMYFUNCTION("""COMPUTED_VALUE"""),"https://www.facebook.com/rapplerdotcom/photos/a.317154781638645/5597612220259515/")</f>
        <v>https://www.facebook.com/rapplerdotcom/photos/a.317154781638645/5597612220259515/</v>
      </c>
      <c r="J427" s="1" t="str">
        <f>IFERROR(__xludf.DUMMYFUNCTION("""COMPUTED_VALUE"""),"2022-07-04T11:12:03.022Z")</f>
        <v>2022-07-04T11:12:03.022Z</v>
      </c>
      <c r="K427" s="1"/>
    </row>
    <row r="428">
      <c r="A428" s="2" t="str">
        <f>IFERROR(__xludf.DUMMYFUNCTION("""COMPUTED_VALUE"""),"https://www.facebook.com/asuncion.calayan.9")</f>
        <v>https://www.facebook.com/asuncion.calayan.9</v>
      </c>
      <c r="B428" s="1" t="str">
        <f>IFERROR(__xludf.DUMMYFUNCTION("""COMPUTED_VALUE"""),"Asuncion Obciana Calayan")</f>
        <v>Asuncion Obciana Calayan</v>
      </c>
      <c r="C428" s="1" t="str">
        <f>IFERROR(__xludf.DUMMYFUNCTION("""COMPUTED_VALUE"""),"Asuncion")</f>
        <v>Asuncion</v>
      </c>
      <c r="D428" s="1" t="str">
        <f>IFERROR(__xludf.DUMMYFUNCTION("""COMPUTED_VALUE"""),"Obciana Calayan")</f>
        <v>Obciana Calayan</v>
      </c>
      <c r="E428" s="1" t="str">
        <f>IFERROR(__xludf.DUMMYFUNCTION("""COMPUTED_VALUE"""),"Mabuhay ka po!")</f>
        <v>Mabuhay ka po!</v>
      </c>
      <c r="F428" s="1"/>
      <c r="G428" s="1" t="str">
        <f>IFERROR(__xludf.DUMMYFUNCTION("""COMPUTED_VALUE"""),"3 mos")</f>
        <v>3 mos</v>
      </c>
      <c r="H428" s="1" t="str">
        <f>IFERROR(__xludf.DUMMYFUNCTION("""COMPUTED_VALUE"""),"comment")</f>
        <v>comment</v>
      </c>
      <c r="I428" s="2" t="str">
        <f>IFERROR(__xludf.DUMMYFUNCTION("""COMPUTED_VALUE"""),"https://www.facebook.com/rapplerdotcom/photos/a.317154781638645/5597612220259515/")</f>
        <v>https://www.facebook.com/rapplerdotcom/photos/a.317154781638645/5597612220259515/</v>
      </c>
      <c r="J428" s="1" t="str">
        <f>IFERROR(__xludf.DUMMYFUNCTION("""COMPUTED_VALUE"""),"2022-07-04T11:12:03.022Z")</f>
        <v>2022-07-04T11:12:03.022Z</v>
      </c>
      <c r="K428" s="1"/>
    </row>
    <row r="429">
      <c r="A429" s="2" t="str">
        <f>IFERROR(__xludf.DUMMYFUNCTION("""COMPUTED_VALUE"""),"https://www.facebook.com/profile.php?id=100074950725815")</f>
        <v>https://www.facebook.com/profile.php?id=100074950725815</v>
      </c>
      <c r="B429" s="1" t="str">
        <f>IFERROR(__xludf.DUMMYFUNCTION("""COMPUTED_VALUE"""),"Ledesma Rowelynjai")</f>
        <v>Ledesma Rowelynjai</v>
      </c>
      <c r="C429" s="1" t="str">
        <f>IFERROR(__xludf.DUMMYFUNCTION("""COMPUTED_VALUE"""),"Ledesma")</f>
        <v>Ledesma</v>
      </c>
      <c r="D429" s="1" t="str">
        <f>IFERROR(__xludf.DUMMYFUNCTION("""COMPUTED_VALUE"""),"Rowelynjai")</f>
        <v>Rowelynjai</v>
      </c>
      <c r="E429" s="1" t="str">
        <f>IFERROR(__xludf.DUMMYFUNCTION("""COMPUTED_VALUE"""),"very good matalino")</f>
        <v>very good matalino</v>
      </c>
      <c r="F429" s="1"/>
      <c r="G429" s="1" t="str">
        <f>IFERROR(__xludf.DUMMYFUNCTION("""COMPUTED_VALUE"""),"3 mos")</f>
        <v>3 mos</v>
      </c>
      <c r="H429" s="1" t="str">
        <f>IFERROR(__xludf.DUMMYFUNCTION("""COMPUTED_VALUE"""),"comment")</f>
        <v>comment</v>
      </c>
      <c r="I429" s="2" t="str">
        <f>IFERROR(__xludf.DUMMYFUNCTION("""COMPUTED_VALUE"""),"https://www.facebook.com/rapplerdotcom/photos/a.317154781638645/5597612220259515/")</f>
        <v>https://www.facebook.com/rapplerdotcom/photos/a.317154781638645/5597612220259515/</v>
      </c>
      <c r="J429" s="1" t="str">
        <f>IFERROR(__xludf.DUMMYFUNCTION("""COMPUTED_VALUE"""),"2022-07-04T11:12:03.022Z")</f>
        <v>2022-07-04T11:12:03.022Z</v>
      </c>
      <c r="K429" s="1"/>
    </row>
    <row r="430">
      <c r="A430" s="2" t="str">
        <f>IFERROR(__xludf.DUMMYFUNCTION("""COMPUTED_VALUE"""),"https://www.facebook.com/budz.ky.14")</f>
        <v>https://www.facebook.com/budz.ky.14</v>
      </c>
      <c r="B430" s="1" t="str">
        <f>IFERROR(__xludf.DUMMYFUNCTION("""COMPUTED_VALUE"""),"Ruby Kristine Olaño")</f>
        <v>Ruby Kristine Olaño</v>
      </c>
      <c r="C430" s="1" t="str">
        <f>IFERROR(__xludf.DUMMYFUNCTION("""COMPUTED_VALUE"""),"Ruby")</f>
        <v>Ruby</v>
      </c>
      <c r="D430" s="1" t="str">
        <f>IFERROR(__xludf.DUMMYFUNCTION("""COMPUTED_VALUE"""),"Kristine Olaño")</f>
        <v>Kristine Olaño</v>
      </c>
      <c r="E430" s="1" t="str">
        <f>IFERROR(__xludf.DUMMYFUNCTION("""COMPUTED_VALUE"""),"That’s what you call puede naman maging uso ang pumanig sa tuwid. All we need is to inspire others.")</f>
        <v>That’s what you call puede naman maging uso ang pumanig sa tuwid. All we need is to inspire others.</v>
      </c>
      <c r="F430" s="1">
        <f>IFERROR(__xludf.DUMMYFUNCTION("""COMPUTED_VALUE"""),1.0)</f>
        <v>1</v>
      </c>
      <c r="G430" s="1" t="str">
        <f>IFERROR(__xludf.DUMMYFUNCTION("""COMPUTED_VALUE"""),"3 mos")</f>
        <v>3 mos</v>
      </c>
      <c r="H430" s="1" t="str">
        <f>IFERROR(__xludf.DUMMYFUNCTION("""COMPUTED_VALUE"""),"comment")</f>
        <v>comment</v>
      </c>
      <c r="I430" s="2" t="str">
        <f>IFERROR(__xludf.DUMMYFUNCTION("""COMPUTED_VALUE"""),"https://www.facebook.com/rapplerdotcom/photos/a.317154781638645/5597612220259515/")</f>
        <v>https://www.facebook.com/rapplerdotcom/photos/a.317154781638645/5597612220259515/</v>
      </c>
      <c r="J430" s="1" t="str">
        <f>IFERROR(__xludf.DUMMYFUNCTION("""COMPUTED_VALUE"""),"2022-07-04T11:12:03.022Z")</f>
        <v>2022-07-04T11:12:03.022Z</v>
      </c>
      <c r="K430" s="1"/>
    </row>
    <row r="431">
      <c r="A431" s="2" t="str">
        <f>IFERROR(__xludf.DUMMYFUNCTION("""COMPUTED_VALUE"""),"https://www.facebook.com/McNolram")</f>
        <v>https://www.facebook.com/McNolram</v>
      </c>
      <c r="B431" s="1" t="str">
        <f>IFERROR(__xludf.DUMMYFUNCTION("""COMPUTED_VALUE"""),"Mc Nolram")</f>
        <v>Mc Nolram</v>
      </c>
      <c r="C431" s="1" t="str">
        <f>IFERROR(__xludf.DUMMYFUNCTION("""COMPUTED_VALUE"""),"Mc")</f>
        <v>Mc</v>
      </c>
      <c r="D431" s="1" t="str">
        <f>IFERROR(__xludf.DUMMYFUNCTION("""COMPUTED_VALUE"""),"Nolram")</f>
        <v>Nolram</v>
      </c>
      <c r="E431" s="1" t="str">
        <f>IFERROR(__xludf.DUMMYFUNCTION("""COMPUTED_VALUE"""),"NICE Cong. Pidi... salamat sa tulong mo sa akin nung namatay brother ko , kahit di mo ako kilala ng personal at ni hindi ako taga dasma.. mabuhay po kayu.")</f>
        <v>NICE Cong. Pidi... salamat sa tulong mo sa akin nung namatay brother ko , kahit di mo ako kilala ng personal at ni hindi ako taga dasma.. mabuhay po kayu.</v>
      </c>
      <c r="F431" s="1">
        <f>IFERROR(__xludf.DUMMYFUNCTION("""COMPUTED_VALUE"""),3.0)</f>
        <v>3</v>
      </c>
      <c r="G431" s="1" t="str">
        <f>IFERROR(__xludf.DUMMYFUNCTION("""COMPUTED_VALUE"""),"3 mos")</f>
        <v>3 mos</v>
      </c>
      <c r="H431" s="1" t="str">
        <f>IFERROR(__xludf.DUMMYFUNCTION("""COMPUTED_VALUE"""),"comment")</f>
        <v>comment</v>
      </c>
      <c r="I431" s="2" t="str">
        <f>IFERROR(__xludf.DUMMYFUNCTION("""COMPUTED_VALUE"""),"https://www.facebook.com/rapplerdotcom/photos/a.317154781638645/5597612220259515/")</f>
        <v>https://www.facebook.com/rapplerdotcom/photos/a.317154781638645/5597612220259515/</v>
      </c>
      <c r="J431" s="1" t="str">
        <f>IFERROR(__xludf.DUMMYFUNCTION("""COMPUTED_VALUE"""),"2022-07-04T11:12:03.023Z")</f>
        <v>2022-07-04T11:12:03.023Z</v>
      </c>
      <c r="K431" s="1"/>
    </row>
    <row r="432">
      <c r="A432" s="2" t="str">
        <f>IFERROR(__xludf.DUMMYFUNCTION("""COMPUTED_VALUE"""),"https://www.facebook.com/michelle.delosnieves")</f>
        <v>https://www.facebook.com/michelle.delosnieves</v>
      </c>
      <c r="B432" s="1" t="str">
        <f>IFERROR(__xludf.DUMMYFUNCTION("""COMPUTED_VALUE"""),"Michelle De los Nieves")</f>
        <v>Michelle De los Nieves</v>
      </c>
      <c r="C432" s="1" t="str">
        <f>IFERROR(__xludf.DUMMYFUNCTION("""COMPUTED_VALUE"""),"Michelle")</f>
        <v>Michelle</v>
      </c>
      <c r="D432" s="1" t="str">
        <f>IFERROR(__xludf.DUMMYFUNCTION("""COMPUTED_VALUE"""),"De los Nieves")</f>
        <v>De los Nieves</v>
      </c>
      <c r="E432" s="1" t="str">
        <f>IFERROR(__xludf.DUMMYFUNCTION("""COMPUTED_VALUE"""),"Mabuhay!!!!  Tara #IpanaloNaNa10To")</f>
        <v>Mabuhay!!!!  Tara #IpanaloNaNa10To</v>
      </c>
      <c r="F432" s="1">
        <f>IFERROR(__xludf.DUMMYFUNCTION("""COMPUTED_VALUE"""),3.0)</f>
        <v>3</v>
      </c>
      <c r="G432" s="1" t="str">
        <f>IFERROR(__xludf.DUMMYFUNCTION("""COMPUTED_VALUE"""),"3 mos")</f>
        <v>3 mos</v>
      </c>
      <c r="H432" s="1" t="str">
        <f>IFERROR(__xludf.DUMMYFUNCTION("""COMPUTED_VALUE"""),"comment")</f>
        <v>comment</v>
      </c>
      <c r="I432" s="2" t="str">
        <f>IFERROR(__xludf.DUMMYFUNCTION("""COMPUTED_VALUE"""),"https://www.facebook.com/rapplerdotcom/photos/a.317154781638645/5597612220259515/")</f>
        <v>https://www.facebook.com/rapplerdotcom/photos/a.317154781638645/5597612220259515/</v>
      </c>
      <c r="J432" s="1" t="str">
        <f>IFERROR(__xludf.DUMMYFUNCTION("""COMPUTED_VALUE"""),"2022-07-04T11:12:03.023Z")</f>
        <v>2022-07-04T11:12:03.023Z</v>
      </c>
      <c r="K432" s="1"/>
    </row>
    <row r="433">
      <c r="A433" s="2" t="str">
        <f>IFERROR(__xludf.DUMMYFUNCTION("""COMPUTED_VALUE"""),"https://www.facebook.com/jordan.santos.5667")</f>
        <v>https://www.facebook.com/jordan.santos.5667</v>
      </c>
      <c r="B433" s="1" t="str">
        <f>IFERROR(__xludf.DUMMYFUNCTION("""COMPUTED_VALUE"""),"Jordan Santos")</f>
        <v>Jordan Santos</v>
      </c>
      <c r="C433" s="1" t="str">
        <f>IFERROR(__xludf.DUMMYFUNCTION("""COMPUTED_VALUE"""),"Jordan")</f>
        <v>Jordan</v>
      </c>
      <c r="D433" s="1" t="str">
        <f>IFERROR(__xludf.DUMMYFUNCTION("""COMPUTED_VALUE"""),"Santos")</f>
        <v>Santos</v>
      </c>
      <c r="E433" s="1" t="str">
        <f>IFERROR(__xludf.DUMMYFUNCTION("""COMPUTED_VALUE"""),"⬆️ Nag-iisang Tiyak sa sanlibong Duda. Maraming Salamat po sa pagTindig! ✊🏻🌷")</f>
        <v>⬆️ Nag-iisang Tiyak sa sanlibong Duda. Maraming Salamat po sa pagTindig! ✊🏻🌷</v>
      </c>
      <c r="F433" s="1">
        <f>IFERROR(__xludf.DUMMYFUNCTION("""COMPUTED_VALUE"""),52.0)</f>
        <v>52</v>
      </c>
      <c r="G433" s="1" t="str">
        <f>IFERROR(__xludf.DUMMYFUNCTION("""COMPUTED_VALUE"""),"3 mos")</f>
        <v>3 mos</v>
      </c>
      <c r="H433" s="1" t="str">
        <f>IFERROR(__xludf.DUMMYFUNCTION("""COMPUTED_VALUE"""),"comment")</f>
        <v>comment</v>
      </c>
      <c r="I433" s="2" t="str">
        <f>IFERROR(__xludf.DUMMYFUNCTION("""COMPUTED_VALUE"""),"https://www.facebook.com/rapplerdotcom/photos/a.317154781638645/5597612220259515/")</f>
        <v>https://www.facebook.com/rapplerdotcom/photos/a.317154781638645/5597612220259515/</v>
      </c>
      <c r="J433" s="1" t="str">
        <f>IFERROR(__xludf.DUMMYFUNCTION("""COMPUTED_VALUE"""),"2022-07-04T11:12:03.023Z")</f>
        <v>2022-07-04T11:12:03.023Z</v>
      </c>
      <c r="K433" s="1"/>
    </row>
    <row r="434">
      <c r="A434" s="2" t="str">
        <f>IFERROR(__xludf.DUMMYFUNCTION("""COMPUTED_VALUE"""),"https://www.facebook.com/iamnoelricardo")</f>
        <v>https://www.facebook.com/iamnoelricardo</v>
      </c>
      <c r="B434" s="1" t="str">
        <f>IFERROR(__xludf.DUMMYFUNCTION("""COMPUTED_VALUE"""),"Noellie RiRi")</f>
        <v>Noellie RiRi</v>
      </c>
      <c r="C434" s="1" t="str">
        <f>IFERROR(__xludf.DUMMYFUNCTION("""COMPUTED_VALUE"""),"Noellie")</f>
        <v>Noellie</v>
      </c>
      <c r="D434" s="1" t="str">
        <f>IFERROR(__xludf.DUMMYFUNCTION("""COMPUTED_VALUE"""),"RiRi")</f>
        <v>RiRi</v>
      </c>
      <c r="E434" s="1" t="str">
        <f>IFERROR(__xludf.DUMMYFUNCTION("""COMPUTED_VALUE"""),"Jordan Santos 💖")</f>
        <v>Jordan Santos 💖</v>
      </c>
      <c r="F434" s="1"/>
      <c r="G434" s="1" t="str">
        <f>IFERROR(__xludf.DUMMYFUNCTION("""COMPUTED_VALUE"""),"3 mos")</f>
        <v>3 mos</v>
      </c>
      <c r="H434" s="1" t="str">
        <f>IFERROR(__xludf.DUMMYFUNCTION("""COMPUTED_VALUE"""),"reply")</f>
        <v>reply</v>
      </c>
      <c r="I434" s="2" t="str">
        <f>IFERROR(__xludf.DUMMYFUNCTION("""COMPUTED_VALUE"""),"https://www.facebook.com/rapplerdotcom/photos/a.317154781638645/5597612220259515/")</f>
        <v>https://www.facebook.com/rapplerdotcom/photos/a.317154781638645/5597612220259515/</v>
      </c>
      <c r="J434" s="1" t="str">
        <f>IFERROR(__xludf.DUMMYFUNCTION("""COMPUTED_VALUE"""),"2022-07-04T11:12:03.023Z")</f>
        <v>2022-07-04T11:12:03.023Z</v>
      </c>
      <c r="K434" s="1"/>
    </row>
    <row r="435">
      <c r="A435" s="2" t="str">
        <f>IFERROR(__xludf.DUMMYFUNCTION("""COMPUTED_VALUE"""),"https://www.facebook.com/factolerin.e")</f>
        <v>https://www.facebook.com/factolerin.e</v>
      </c>
      <c r="B435" s="1" t="str">
        <f>IFERROR(__xludf.DUMMYFUNCTION("""COMPUTED_VALUE"""),"Ishie Factolerin")</f>
        <v>Ishie Factolerin</v>
      </c>
      <c r="C435" s="1" t="str">
        <f>IFERROR(__xludf.DUMMYFUNCTION("""COMPUTED_VALUE"""),"Ishie")</f>
        <v>Ishie</v>
      </c>
      <c r="D435" s="1" t="str">
        <f>IFERROR(__xludf.DUMMYFUNCTION("""COMPUTED_VALUE"""),"Factolerin")</f>
        <v>Factolerin</v>
      </c>
      <c r="E435" s="1" t="str">
        <f>IFERROR(__xludf.DUMMYFUNCTION("""COMPUTED_VALUE"""),"up")</f>
        <v>up</v>
      </c>
      <c r="F435" s="1"/>
      <c r="G435" s="1" t="str">
        <f>IFERROR(__xludf.DUMMYFUNCTION("""COMPUTED_VALUE"""),"3 mos")</f>
        <v>3 mos</v>
      </c>
      <c r="H435" s="1" t="str">
        <f>IFERROR(__xludf.DUMMYFUNCTION("""COMPUTED_VALUE"""),"comment")</f>
        <v>comment</v>
      </c>
      <c r="I435" s="2" t="str">
        <f>IFERROR(__xludf.DUMMYFUNCTION("""COMPUTED_VALUE"""),"https://www.facebook.com/rapplerdotcom/photos/a.317154781638645/5597612220259515/")</f>
        <v>https://www.facebook.com/rapplerdotcom/photos/a.317154781638645/5597612220259515/</v>
      </c>
      <c r="J435" s="1" t="str">
        <f>IFERROR(__xludf.DUMMYFUNCTION("""COMPUTED_VALUE"""),"2022-07-04T11:12:03.023Z")</f>
        <v>2022-07-04T11:12:03.023Z</v>
      </c>
      <c r="K435" s="1"/>
    </row>
    <row r="436">
      <c r="A436" s="2" t="str">
        <f>IFERROR(__xludf.DUMMYFUNCTION("""COMPUTED_VALUE"""),"https://www.facebook.com/dubchaetzu1230")</f>
        <v>https://www.facebook.com/dubchaetzu1230</v>
      </c>
      <c r="B436" s="1" t="str">
        <f>IFERROR(__xludf.DUMMYFUNCTION("""COMPUTED_VALUE"""),"Matthew Zarate")</f>
        <v>Matthew Zarate</v>
      </c>
      <c r="C436" s="1" t="str">
        <f>IFERROR(__xludf.DUMMYFUNCTION("""COMPUTED_VALUE"""),"Matthew")</f>
        <v>Matthew</v>
      </c>
      <c r="D436" s="1" t="str">
        <f>IFERROR(__xludf.DUMMYFUNCTION("""COMPUTED_VALUE"""),"Zarate")</f>
        <v>Zarate</v>
      </c>
      <c r="E436" s="1" t="str">
        <f>IFERROR(__xludf.DUMMYFUNCTION("""COMPUTED_VALUE"""),"Thank you po cong and mayora... Ewan ko na lang sa anak niyo 🙄")</f>
        <v>Thank you po cong and mayora... Ewan ko na lang sa anak niyo 🙄</v>
      </c>
      <c r="F436" s="1">
        <f>IFERROR(__xludf.DUMMYFUNCTION("""COMPUTED_VALUE"""),1.0)</f>
        <v>1</v>
      </c>
      <c r="G436" s="1" t="str">
        <f>IFERROR(__xludf.DUMMYFUNCTION("""COMPUTED_VALUE"""),"3 mos")</f>
        <v>3 mos</v>
      </c>
      <c r="H436" s="1" t="str">
        <f>IFERROR(__xludf.DUMMYFUNCTION("""COMPUTED_VALUE"""),"comment")</f>
        <v>comment</v>
      </c>
      <c r="I436" s="2" t="str">
        <f>IFERROR(__xludf.DUMMYFUNCTION("""COMPUTED_VALUE"""),"https://www.facebook.com/rapplerdotcom/photos/a.317154781638645/5597612220259515/")</f>
        <v>https://www.facebook.com/rapplerdotcom/photos/a.317154781638645/5597612220259515/</v>
      </c>
      <c r="J436" s="1" t="str">
        <f>IFERROR(__xludf.DUMMYFUNCTION("""COMPUTED_VALUE"""),"2022-07-04T11:12:03.023Z")</f>
        <v>2022-07-04T11:12:03.023Z</v>
      </c>
      <c r="K436" s="1"/>
    </row>
    <row r="437">
      <c r="A437" s="2" t="str">
        <f>IFERROR(__xludf.DUMMYFUNCTION("""COMPUTED_VALUE"""),"https://www.facebook.com/jonel.c.sandiego")</f>
        <v>https://www.facebook.com/jonel.c.sandiego</v>
      </c>
      <c r="B437" s="1" t="str">
        <f>IFERROR(__xludf.DUMMYFUNCTION("""COMPUTED_VALUE"""),"Lenoj Onirac Ogeidnas")</f>
        <v>Lenoj Onirac Ogeidnas</v>
      </c>
      <c r="C437" s="1" t="str">
        <f>IFERROR(__xludf.DUMMYFUNCTION("""COMPUTED_VALUE"""),"Lenoj")</f>
        <v>Lenoj</v>
      </c>
      <c r="D437" s="1" t="str">
        <f>IFERROR(__xludf.DUMMYFUNCTION("""COMPUTED_VALUE"""),"Onirac Ogeidnas")</f>
        <v>Onirac Ogeidnas</v>
      </c>
      <c r="E437" s="1" t="str">
        <f>IFERROR(__xludf.DUMMYFUNCTION("""COMPUTED_VALUE"""),"SalAmat")</f>
        <v>SalAmat</v>
      </c>
      <c r="F437" s="1"/>
      <c r="G437" s="1" t="str">
        <f>IFERROR(__xludf.DUMMYFUNCTION("""COMPUTED_VALUE"""),"3 mos")</f>
        <v>3 mos</v>
      </c>
      <c r="H437" s="1" t="str">
        <f>IFERROR(__xludf.DUMMYFUNCTION("""COMPUTED_VALUE"""),"comment")</f>
        <v>comment</v>
      </c>
      <c r="I437" s="2" t="str">
        <f>IFERROR(__xludf.DUMMYFUNCTION("""COMPUTED_VALUE"""),"https://www.facebook.com/rapplerdotcom/photos/a.317154781638645/5597612220259515/")</f>
        <v>https://www.facebook.com/rapplerdotcom/photos/a.317154781638645/5597612220259515/</v>
      </c>
      <c r="J437" s="1" t="str">
        <f>IFERROR(__xludf.DUMMYFUNCTION("""COMPUTED_VALUE"""),"2022-07-04T11:12:03.023Z")</f>
        <v>2022-07-04T11:12:03.023Z</v>
      </c>
      <c r="K437" s="1"/>
    </row>
    <row r="438">
      <c r="A438" s="2" t="str">
        <f>IFERROR(__xludf.DUMMYFUNCTION("""COMPUTED_VALUE"""),"https://www.facebook.com/factolerin.e")</f>
        <v>https://www.facebook.com/factolerin.e</v>
      </c>
      <c r="B438" s="1" t="str">
        <f>IFERROR(__xludf.DUMMYFUNCTION("""COMPUTED_VALUE"""),"Ishie Factolerin")</f>
        <v>Ishie Factolerin</v>
      </c>
      <c r="C438" s="1" t="str">
        <f>IFERROR(__xludf.DUMMYFUNCTION("""COMPUTED_VALUE"""),"Ishie")</f>
        <v>Ishie</v>
      </c>
      <c r="D438" s="1" t="str">
        <f>IFERROR(__xludf.DUMMYFUNCTION("""COMPUTED_VALUE"""),"Factolerin")</f>
        <v>Factolerin</v>
      </c>
      <c r="E438" s="1" t="str">
        <f>IFERROR(__xludf.DUMMYFUNCTION("""COMPUTED_VALUE"""),"up")</f>
        <v>up</v>
      </c>
      <c r="F438" s="1"/>
      <c r="G438" s="1" t="str">
        <f>IFERROR(__xludf.DUMMYFUNCTION("""COMPUTED_VALUE"""),"3 mos")</f>
        <v>3 mos</v>
      </c>
      <c r="H438" s="1" t="str">
        <f>IFERROR(__xludf.DUMMYFUNCTION("""COMPUTED_VALUE"""),"comment")</f>
        <v>comment</v>
      </c>
      <c r="I438" s="2" t="str">
        <f>IFERROR(__xludf.DUMMYFUNCTION("""COMPUTED_VALUE"""),"https://www.facebook.com/rapplerdotcom/photos/a.317154781638645/5597612220259515/")</f>
        <v>https://www.facebook.com/rapplerdotcom/photos/a.317154781638645/5597612220259515/</v>
      </c>
      <c r="J438" s="1" t="str">
        <f>IFERROR(__xludf.DUMMYFUNCTION("""COMPUTED_VALUE"""),"2022-07-04T11:12:03.023Z")</f>
        <v>2022-07-04T11:12:03.023Z</v>
      </c>
      <c r="K438" s="1"/>
    </row>
    <row r="439">
      <c r="A439" s="2" t="str">
        <f>IFERROR(__xludf.DUMMYFUNCTION("""COMPUTED_VALUE"""),"https://www.facebook.com/factolerin.e")</f>
        <v>https://www.facebook.com/factolerin.e</v>
      </c>
      <c r="B439" s="1" t="str">
        <f>IFERROR(__xludf.DUMMYFUNCTION("""COMPUTED_VALUE"""),"Ishie Factolerin")</f>
        <v>Ishie Factolerin</v>
      </c>
      <c r="C439" s="1" t="str">
        <f>IFERROR(__xludf.DUMMYFUNCTION("""COMPUTED_VALUE"""),"Ishie")</f>
        <v>Ishie</v>
      </c>
      <c r="D439" s="1" t="str">
        <f>IFERROR(__xludf.DUMMYFUNCTION("""COMPUTED_VALUE"""),"Factolerin")</f>
        <v>Factolerin</v>
      </c>
      <c r="E439" s="1" t="str">
        <f>IFERROR(__xludf.DUMMYFUNCTION("""COMPUTED_VALUE"""),"up")</f>
        <v>up</v>
      </c>
      <c r="F439" s="1"/>
      <c r="G439" s="1" t="str">
        <f>IFERROR(__xludf.DUMMYFUNCTION("""COMPUTED_VALUE"""),"3 mos")</f>
        <v>3 mos</v>
      </c>
      <c r="H439" s="1" t="str">
        <f>IFERROR(__xludf.DUMMYFUNCTION("""COMPUTED_VALUE"""),"comment")</f>
        <v>comment</v>
      </c>
      <c r="I439" s="2" t="str">
        <f>IFERROR(__xludf.DUMMYFUNCTION("""COMPUTED_VALUE"""),"https://www.facebook.com/rapplerdotcom/photos/a.317154781638645/5597612220259515/")</f>
        <v>https://www.facebook.com/rapplerdotcom/photos/a.317154781638645/5597612220259515/</v>
      </c>
      <c r="J439" s="1" t="str">
        <f>IFERROR(__xludf.DUMMYFUNCTION("""COMPUTED_VALUE"""),"2022-07-04T11:12:03.023Z")</f>
        <v>2022-07-04T11:12:03.023Z</v>
      </c>
      <c r="K439" s="1"/>
    </row>
    <row r="440">
      <c r="A440" s="2" t="str">
        <f>IFERROR(__xludf.DUMMYFUNCTION("""COMPUTED_VALUE"""),"https://www.facebook.com/factolerin.e")</f>
        <v>https://www.facebook.com/factolerin.e</v>
      </c>
      <c r="B440" s="1" t="str">
        <f>IFERROR(__xludf.DUMMYFUNCTION("""COMPUTED_VALUE"""),"Ishie Factolerin")</f>
        <v>Ishie Factolerin</v>
      </c>
      <c r="C440" s="1" t="str">
        <f>IFERROR(__xludf.DUMMYFUNCTION("""COMPUTED_VALUE"""),"Ishie")</f>
        <v>Ishie</v>
      </c>
      <c r="D440" s="1" t="str">
        <f>IFERROR(__xludf.DUMMYFUNCTION("""COMPUTED_VALUE"""),"Factolerin")</f>
        <v>Factolerin</v>
      </c>
      <c r="E440" s="1" t="str">
        <f>IFERROR(__xludf.DUMMYFUNCTION("""COMPUTED_VALUE"""),"up")</f>
        <v>up</v>
      </c>
      <c r="F440" s="1"/>
      <c r="G440" s="1" t="str">
        <f>IFERROR(__xludf.DUMMYFUNCTION("""COMPUTED_VALUE"""),"3 mos")</f>
        <v>3 mos</v>
      </c>
      <c r="H440" s="1" t="str">
        <f>IFERROR(__xludf.DUMMYFUNCTION("""COMPUTED_VALUE"""),"comment")</f>
        <v>comment</v>
      </c>
      <c r="I440" s="2" t="str">
        <f>IFERROR(__xludf.DUMMYFUNCTION("""COMPUTED_VALUE"""),"https://www.facebook.com/rapplerdotcom/photos/a.317154781638645/5597612220259515/")</f>
        <v>https://www.facebook.com/rapplerdotcom/photos/a.317154781638645/5597612220259515/</v>
      </c>
      <c r="J440" s="1" t="str">
        <f>IFERROR(__xludf.DUMMYFUNCTION("""COMPUTED_VALUE"""),"2022-07-04T11:12:03.023Z")</f>
        <v>2022-07-04T11:12:03.023Z</v>
      </c>
      <c r="K440" s="1"/>
    </row>
    <row r="441">
      <c r="A441" s="2" t="str">
        <f>IFERROR(__xludf.DUMMYFUNCTION("""COMPUTED_VALUE"""),"https://www.facebook.com/debbie.garcia.71216141")</f>
        <v>https://www.facebook.com/debbie.garcia.71216141</v>
      </c>
      <c r="B441" s="1" t="str">
        <f>IFERROR(__xludf.DUMMYFUNCTION("""COMPUTED_VALUE"""),"Debbie Garcia")</f>
        <v>Debbie Garcia</v>
      </c>
      <c r="C441" s="1" t="str">
        <f>IFERROR(__xludf.DUMMYFUNCTION("""COMPUTED_VALUE"""),"Debbie")</f>
        <v>Debbie</v>
      </c>
      <c r="D441" s="1" t="str">
        <f>IFERROR(__xludf.DUMMYFUNCTION("""COMPUTED_VALUE"""),"Garcia")</f>
        <v>Garcia</v>
      </c>
      <c r="E441" s="1" t="str">
        <f>IFERROR(__xludf.DUMMYFUNCTION("""COMPUTED_VALUE"""),"Laban sir💗💗💗💗✊✊✊✊🙏🙏🙏🙏")</f>
        <v>Laban sir💗💗💗💗✊✊✊✊🙏🙏🙏🙏</v>
      </c>
      <c r="F441" s="1"/>
      <c r="G441" s="1" t="str">
        <f>IFERROR(__xludf.DUMMYFUNCTION("""COMPUTED_VALUE"""),"3 mos")</f>
        <v>3 mos</v>
      </c>
      <c r="H441" s="1" t="str">
        <f>IFERROR(__xludf.DUMMYFUNCTION("""COMPUTED_VALUE"""),"comment")</f>
        <v>comment</v>
      </c>
      <c r="I441" s="2" t="str">
        <f>IFERROR(__xludf.DUMMYFUNCTION("""COMPUTED_VALUE"""),"https://www.facebook.com/rapplerdotcom/photos/a.317154781638645/5597612220259515/")</f>
        <v>https://www.facebook.com/rapplerdotcom/photos/a.317154781638645/5597612220259515/</v>
      </c>
      <c r="J441" s="1" t="str">
        <f>IFERROR(__xludf.DUMMYFUNCTION("""COMPUTED_VALUE"""),"2022-07-04T11:12:03.023Z")</f>
        <v>2022-07-04T11:12:03.023Z</v>
      </c>
      <c r="K441" s="1"/>
    </row>
    <row r="442">
      <c r="A442" s="2" t="str">
        <f>IFERROR(__xludf.DUMMYFUNCTION("""COMPUTED_VALUE"""),"https://www.facebook.com/profile.php?id=100009913030847")</f>
        <v>https://www.facebook.com/profile.php?id=100009913030847</v>
      </c>
      <c r="B442" s="1" t="str">
        <f>IFERROR(__xludf.DUMMYFUNCTION("""COMPUTED_VALUE"""),"Jimmy Lagunda")</f>
        <v>Jimmy Lagunda</v>
      </c>
      <c r="C442" s="1" t="str">
        <f>IFERROR(__xludf.DUMMYFUNCTION("""COMPUTED_VALUE"""),"Jimmy")</f>
        <v>Jimmy</v>
      </c>
      <c r="D442" s="1" t="str">
        <f>IFERROR(__xludf.DUMMYFUNCTION("""COMPUTED_VALUE"""),"Lagunda")</f>
        <v>Lagunda</v>
      </c>
      <c r="E442" s="1" t="str">
        <f>IFERROR(__xludf.DUMMYFUNCTION("""COMPUTED_VALUE"""),"Mabuhay k")</f>
        <v>Mabuhay k</v>
      </c>
      <c r="F442" s="1"/>
      <c r="G442" s="1" t="str">
        <f>IFERROR(__xludf.DUMMYFUNCTION("""COMPUTED_VALUE"""),"3 mos")</f>
        <v>3 mos</v>
      </c>
      <c r="H442" s="1" t="str">
        <f>IFERROR(__xludf.DUMMYFUNCTION("""COMPUTED_VALUE"""),"comment")</f>
        <v>comment</v>
      </c>
      <c r="I442" s="2" t="str">
        <f>IFERROR(__xludf.DUMMYFUNCTION("""COMPUTED_VALUE"""),"https://www.facebook.com/rapplerdotcom/photos/a.317154781638645/5597612220259515/")</f>
        <v>https://www.facebook.com/rapplerdotcom/photos/a.317154781638645/5597612220259515/</v>
      </c>
      <c r="J442" s="1" t="str">
        <f>IFERROR(__xludf.DUMMYFUNCTION("""COMPUTED_VALUE"""),"2022-07-04T11:12:03.023Z")</f>
        <v>2022-07-04T11:12:03.023Z</v>
      </c>
      <c r="K442" s="1"/>
    </row>
    <row r="443">
      <c r="A443" s="2" t="str">
        <f>IFERROR(__xludf.DUMMYFUNCTION("""COMPUTED_VALUE"""),"https://www.facebook.com/dean.loreto")</f>
        <v>https://www.facebook.com/dean.loreto</v>
      </c>
      <c r="B443" s="1" t="str">
        <f>IFERROR(__xludf.DUMMYFUNCTION("""COMPUTED_VALUE"""),"Dean Loreto")</f>
        <v>Dean Loreto</v>
      </c>
      <c r="C443" s="1" t="str">
        <f>IFERROR(__xludf.DUMMYFUNCTION("""COMPUTED_VALUE"""),"Dean")</f>
        <v>Dean</v>
      </c>
      <c r="D443" s="1" t="str">
        <f>IFERROR(__xludf.DUMMYFUNCTION("""COMPUTED_VALUE"""),"Loreto")</f>
        <v>Loreto</v>
      </c>
      <c r="E443" s="1" t="str">
        <f>IFERROR(__xludf.DUMMYFUNCTION("""COMPUTED_VALUE"""),"Prinsipyo ba o need ng boto?")</f>
        <v>Prinsipyo ba o need ng boto?</v>
      </c>
      <c r="F443" s="1"/>
      <c r="G443" s="1" t="str">
        <f>IFERROR(__xludf.DUMMYFUNCTION("""COMPUTED_VALUE"""),"3 mos")</f>
        <v>3 mos</v>
      </c>
      <c r="H443" s="1" t="str">
        <f>IFERROR(__xludf.DUMMYFUNCTION("""COMPUTED_VALUE"""),"comment")</f>
        <v>comment</v>
      </c>
      <c r="I443" s="2" t="str">
        <f>IFERROR(__xludf.DUMMYFUNCTION("""COMPUTED_VALUE"""),"https://www.facebook.com/rapplerdotcom/photos/a.317154781638645/5597612220259515/")</f>
        <v>https://www.facebook.com/rapplerdotcom/photos/a.317154781638645/5597612220259515/</v>
      </c>
      <c r="J443" s="1" t="str">
        <f>IFERROR(__xludf.DUMMYFUNCTION("""COMPUTED_VALUE"""),"2022-07-04T11:12:03.023Z")</f>
        <v>2022-07-04T11:12:03.023Z</v>
      </c>
      <c r="K443" s="1"/>
    </row>
    <row r="444">
      <c r="A444" s="2" t="str">
        <f>IFERROR(__xludf.DUMMYFUNCTION("""COMPUTED_VALUE"""),"https://www.facebook.com/ricardo.arayata")</f>
        <v>https://www.facebook.com/ricardo.arayata</v>
      </c>
      <c r="B444" s="1" t="str">
        <f>IFERROR(__xludf.DUMMYFUNCTION("""COMPUTED_VALUE"""),"Ricardo Arayata")</f>
        <v>Ricardo Arayata</v>
      </c>
      <c r="C444" s="1" t="str">
        <f>IFERROR(__xludf.DUMMYFUNCTION("""COMPUTED_VALUE"""),"Ricardo")</f>
        <v>Ricardo</v>
      </c>
      <c r="D444" s="1" t="str">
        <f>IFERROR(__xludf.DUMMYFUNCTION("""COMPUTED_VALUE"""),"Arayata")</f>
        <v>Arayata</v>
      </c>
      <c r="E444" s="1" t="str">
        <f>IFERROR(__xludf.DUMMYFUNCTION("""COMPUTED_VALUE"""),"Umpisa na ng pag talon ng political party or alliances 😊.  Isang sign ito na mas malakas ang partidong sinapian.")</f>
        <v>Umpisa na ng pag talon ng political party or alliances 😊.  Isang sign ito na mas malakas ang partidong sinapian.</v>
      </c>
      <c r="F444" s="1"/>
      <c r="G444" s="1" t="str">
        <f>IFERROR(__xludf.DUMMYFUNCTION("""COMPUTED_VALUE"""),"3 mos")</f>
        <v>3 mos</v>
      </c>
      <c r="H444" s="1" t="str">
        <f>IFERROR(__xludf.DUMMYFUNCTION("""COMPUTED_VALUE"""),"comment")</f>
        <v>comment</v>
      </c>
      <c r="I444" s="2" t="str">
        <f>IFERROR(__xludf.DUMMYFUNCTION("""COMPUTED_VALUE"""),"https://www.facebook.com/rapplerdotcom/photos/a.317154781638645/5597612220259515/")</f>
        <v>https://www.facebook.com/rapplerdotcom/photos/a.317154781638645/5597612220259515/</v>
      </c>
      <c r="J444" s="1" t="str">
        <f>IFERROR(__xludf.DUMMYFUNCTION("""COMPUTED_VALUE"""),"2022-07-04T11:12:03.023Z")</f>
        <v>2022-07-04T11:12:03.023Z</v>
      </c>
      <c r="K444" s="1"/>
    </row>
    <row r="445">
      <c r="A445" s="2" t="str">
        <f>IFERROR(__xludf.DUMMYFUNCTION("""COMPUTED_VALUE"""),"https://www.facebook.com/rey.magsayo.399")</f>
        <v>https://www.facebook.com/rey.magsayo.399</v>
      </c>
      <c r="B445" s="1" t="str">
        <f>IFERROR(__xludf.DUMMYFUNCTION("""COMPUTED_VALUE"""),"Rey Magsayo")</f>
        <v>Rey Magsayo</v>
      </c>
      <c r="C445" s="1" t="str">
        <f>IFERROR(__xludf.DUMMYFUNCTION("""COMPUTED_VALUE"""),"Rey")</f>
        <v>Rey</v>
      </c>
      <c r="D445" s="1" t="str">
        <f>IFERROR(__xludf.DUMMYFUNCTION("""COMPUTED_VALUE"""),"Magsayo")</f>
        <v>Magsayo</v>
      </c>
      <c r="E445" s="1" t="str">
        <f>IFERROR(__xludf.DUMMYFUNCTION("""COMPUTED_VALUE"""),"Balimbing🤣🤣🤣🤣🤣")</f>
        <v>Balimbing🤣🤣🤣🤣🤣</v>
      </c>
      <c r="F445" s="1">
        <f>IFERROR(__xludf.DUMMYFUNCTION("""COMPUTED_VALUE"""),1.0)</f>
        <v>1</v>
      </c>
      <c r="G445" s="1" t="str">
        <f>IFERROR(__xludf.DUMMYFUNCTION("""COMPUTED_VALUE"""),"3 mos")</f>
        <v>3 mos</v>
      </c>
      <c r="H445" s="1" t="str">
        <f>IFERROR(__xludf.DUMMYFUNCTION("""COMPUTED_VALUE"""),"comment")</f>
        <v>comment</v>
      </c>
      <c r="I445" s="2" t="str">
        <f>IFERROR(__xludf.DUMMYFUNCTION("""COMPUTED_VALUE"""),"https://www.facebook.com/rapplerdotcom/photos/a.317154781638645/5597612220259515/")</f>
        <v>https://www.facebook.com/rapplerdotcom/photos/a.317154781638645/5597612220259515/</v>
      </c>
      <c r="J445" s="1" t="str">
        <f>IFERROR(__xludf.DUMMYFUNCTION("""COMPUTED_VALUE"""),"2022-07-04T11:12:03.023Z")</f>
        <v>2022-07-04T11:12:03.023Z</v>
      </c>
      <c r="K445" s="1"/>
    </row>
    <row r="446">
      <c r="A446" s="2" t="str">
        <f>IFERROR(__xludf.DUMMYFUNCTION("""COMPUTED_VALUE"""),"https://www.facebook.com/gladys.lazo.31")</f>
        <v>https://www.facebook.com/gladys.lazo.31</v>
      </c>
      <c r="B446" s="1" t="str">
        <f>IFERROR(__xludf.DUMMYFUNCTION("""COMPUTED_VALUE"""),"Lazo Gladys")</f>
        <v>Lazo Gladys</v>
      </c>
      <c r="C446" s="1" t="str">
        <f>IFERROR(__xludf.DUMMYFUNCTION("""COMPUTED_VALUE"""),"Lazo")</f>
        <v>Lazo</v>
      </c>
      <c r="D446" s="1" t="str">
        <f>IFERROR(__xludf.DUMMYFUNCTION("""COMPUTED_VALUE"""),"Gladys")</f>
        <v>Gladys</v>
      </c>
      <c r="E446" s="1" t="str">
        <f>IFERROR(__xludf.DUMMYFUNCTION("""COMPUTED_VALUE"""),"Junvic and Boying left  the group. Sana HINDI lng playing safe ang pamilya nila.")</f>
        <v>Junvic and Boying left  the group. Sana HINDI lng playing safe ang pamilya nila.</v>
      </c>
      <c r="F446" s="1">
        <f>IFERROR(__xludf.DUMMYFUNCTION("""COMPUTED_VALUE"""),1.0)</f>
        <v>1</v>
      </c>
      <c r="G446" s="1" t="str">
        <f>IFERROR(__xludf.DUMMYFUNCTION("""COMPUTED_VALUE"""),"3 mos")</f>
        <v>3 mos</v>
      </c>
      <c r="H446" s="1" t="str">
        <f>IFERROR(__xludf.DUMMYFUNCTION("""COMPUTED_VALUE"""),"comment")</f>
        <v>comment</v>
      </c>
      <c r="I446" s="2" t="str">
        <f>IFERROR(__xludf.DUMMYFUNCTION("""COMPUTED_VALUE"""),"https://www.facebook.com/rapplerdotcom/photos/a.317154781638645/5597612220259515/")</f>
        <v>https://www.facebook.com/rapplerdotcom/photos/a.317154781638645/5597612220259515/</v>
      </c>
      <c r="J446" s="1" t="str">
        <f>IFERROR(__xludf.DUMMYFUNCTION("""COMPUTED_VALUE"""),"2022-07-04T11:12:03.023Z")</f>
        <v>2022-07-04T11:12:03.023Z</v>
      </c>
      <c r="K446" s="1"/>
    </row>
    <row r="447">
      <c r="A447" s="2" t="str">
        <f>IFERROR(__xludf.DUMMYFUNCTION("""COMPUTED_VALUE"""),"https://www.facebook.com/profile.php?id=100010227300304")</f>
        <v>https://www.facebook.com/profile.php?id=100010227300304</v>
      </c>
      <c r="B447" s="1" t="str">
        <f>IFERROR(__xludf.DUMMYFUNCTION("""COMPUTED_VALUE"""),"Ador Cabalbag")</f>
        <v>Ador Cabalbag</v>
      </c>
      <c r="C447" s="1" t="str">
        <f>IFERROR(__xludf.DUMMYFUNCTION("""COMPUTED_VALUE"""),"Ador")</f>
        <v>Ador</v>
      </c>
      <c r="D447" s="1" t="str">
        <f>IFERROR(__xludf.DUMMYFUNCTION("""COMPUTED_VALUE"""),"Cabalbag")</f>
        <v>Cabalbag</v>
      </c>
      <c r="E447" s="1" t="str">
        <f>IFERROR(__xludf.DUMMYFUNCTION("""COMPUTED_VALUE"""),"Lazo Gladys ung anak nya na si Kiko Barzaga ay apologist. Siguro parang may divide din sa family nila, maliban sa fragmentation sa NUP.")</f>
        <v>Lazo Gladys ung anak nya na si Kiko Barzaga ay apologist. Siguro parang may divide din sa family nila, maliban sa fragmentation sa NUP.</v>
      </c>
      <c r="F447" s="1"/>
      <c r="G447" s="1" t="str">
        <f>IFERROR(__xludf.DUMMYFUNCTION("""COMPUTED_VALUE"""),"3 mos")</f>
        <v>3 mos</v>
      </c>
      <c r="H447" s="1" t="str">
        <f>IFERROR(__xludf.DUMMYFUNCTION("""COMPUTED_VALUE"""),"reply")</f>
        <v>reply</v>
      </c>
      <c r="I447" s="2" t="str">
        <f>IFERROR(__xludf.DUMMYFUNCTION("""COMPUTED_VALUE"""),"https://www.facebook.com/rapplerdotcom/photos/a.317154781638645/5597612220259515/")</f>
        <v>https://www.facebook.com/rapplerdotcom/photos/a.317154781638645/5597612220259515/</v>
      </c>
      <c r="J447" s="1" t="str">
        <f>IFERROR(__xludf.DUMMYFUNCTION("""COMPUTED_VALUE"""),"2022-07-04T11:12:03.023Z")</f>
        <v>2022-07-04T11:12:03.023Z</v>
      </c>
      <c r="K447" s="1"/>
    </row>
    <row r="448">
      <c r="A448" s="2" t="str">
        <f>IFERROR(__xludf.DUMMYFUNCTION("""COMPUTED_VALUE"""),"https://www.facebook.com/profile.php?id=100009810850262")</f>
        <v>https://www.facebook.com/profile.php?id=100009810850262</v>
      </c>
      <c r="B448" s="1" t="str">
        <f>IFERROR(__xludf.DUMMYFUNCTION("""COMPUTED_VALUE"""),"Nelson Concepcion")</f>
        <v>Nelson Concepcion</v>
      </c>
      <c r="C448" s="1" t="str">
        <f>IFERROR(__xludf.DUMMYFUNCTION("""COMPUTED_VALUE"""),"Nelson")</f>
        <v>Nelson</v>
      </c>
      <c r="D448" s="1" t="str">
        <f>IFERROR(__xludf.DUMMYFUNCTION("""COMPUTED_VALUE"""),"Concepcion")</f>
        <v>Concepcion</v>
      </c>
      <c r="E448" s="1" t="str">
        <f>IFERROR(__xludf.DUMMYFUNCTION("""COMPUTED_VALUE"""),"May mali ata, ang ""Magkaisa o Unity"" napupunta sa sa Pink😂🤣😂")</f>
        <v>May mali ata, ang "Magkaisa o Unity" napupunta sa sa Pink😂🤣😂</v>
      </c>
      <c r="F448" s="1"/>
      <c r="G448" s="1" t="str">
        <f>IFERROR(__xludf.DUMMYFUNCTION("""COMPUTED_VALUE"""),"3 mos")</f>
        <v>3 mos</v>
      </c>
      <c r="H448" s="1" t="str">
        <f>IFERROR(__xludf.DUMMYFUNCTION("""COMPUTED_VALUE"""),"comment")</f>
        <v>comment</v>
      </c>
      <c r="I448" s="2" t="str">
        <f>IFERROR(__xludf.DUMMYFUNCTION("""COMPUTED_VALUE"""),"https://www.facebook.com/rapplerdotcom/photos/a.317154781638645/5597612220259515/")</f>
        <v>https://www.facebook.com/rapplerdotcom/photos/a.317154781638645/5597612220259515/</v>
      </c>
      <c r="J448" s="1" t="str">
        <f>IFERROR(__xludf.DUMMYFUNCTION("""COMPUTED_VALUE"""),"2022-07-04T11:12:03.023Z")</f>
        <v>2022-07-04T11:12:03.023Z</v>
      </c>
      <c r="K448" s="1"/>
    </row>
    <row r="449">
      <c r="A449" s="2" t="str">
        <f>IFERROR(__xludf.DUMMYFUNCTION("""COMPUTED_VALUE"""),"https://www.facebook.com/nextnehszph")</f>
        <v>https://www.facebook.com/nextnehszph</v>
      </c>
      <c r="B449" s="1" t="str">
        <f>IFERROR(__xludf.DUMMYFUNCTION("""COMPUTED_VALUE"""),"Nehsz Gi")</f>
        <v>Nehsz Gi</v>
      </c>
      <c r="C449" s="1" t="str">
        <f>IFERROR(__xludf.DUMMYFUNCTION("""COMPUTED_VALUE"""),"Nehsz")</f>
        <v>Nehsz</v>
      </c>
      <c r="D449" s="1" t="str">
        <f>IFERROR(__xludf.DUMMYFUNCTION("""COMPUTED_VALUE"""),"Gi")</f>
        <v>Gi</v>
      </c>
      <c r="E449" s="1" t="str">
        <f>IFERROR(__xludf.DUMMYFUNCTION("""COMPUTED_VALUE"""),"Kamusta po ung anak nyong konsi na walang plataporma 🌷🤘")</f>
        <v>Kamusta po ung anak nyong konsi na walang plataporma 🌷🤘</v>
      </c>
      <c r="F449" s="1"/>
      <c r="G449" s="1" t="str">
        <f>IFERROR(__xludf.DUMMYFUNCTION("""COMPUTED_VALUE"""),"3 mos")</f>
        <v>3 mos</v>
      </c>
      <c r="H449" s="1" t="str">
        <f>IFERROR(__xludf.DUMMYFUNCTION("""COMPUTED_VALUE"""),"comment")</f>
        <v>comment</v>
      </c>
      <c r="I449" s="2" t="str">
        <f>IFERROR(__xludf.DUMMYFUNCTION("""COMPUTED_VALUE"""),"https://www.facebook.com/rapplerdotcom/photos/a.317154781638645/5597612220259515/")</f>
        <v>https://www.facebook.com/rapplerdotcom/photos/a.317154781638645/5597612220259515/</v>
      </c>
      <c r="J449" s="1" t="str">
        <f>IFERROR(__xludf.DUMMYFUNCTION("""COMPUTED_VALUE"""),"2022-07-04T11:12:03.023Z")</f>
        <v>2022-07-04T11:12:03.023Z</v>
      </c>
      <c r="K449" s="1"/>
    </row>
    <row r="450">
      <c r="A450" s="2" t="str">
        <f>IFERROR(__xludf.DUMMYFUNCTION("""COMPUTED_VALUE"""),"https://www.facebook.com/bmarichue")</f>
        <v>https://www.facebook.com/bmarichue</v>
      </c>
      <c r="B450" s="1" t="str">
        <f>IFERROR(__xludf.DUMMYFUNCTION("""COMPUTED_VALUE"""),"Marichu Bartolaba")</f>
        <v>Marichu Bartolaba</v>
      </c>
      <c r="C450" s="1" t="str">
        <f>IFERROR(__xludf.DUMMYFUNCTION("""COMPUTED_VALUE"""),"Marichu")</f>
        <v>Marichu</v>
      </c>
      <c r="D450" s="1" t="str">
        <f>IFERROR(__xludf.DUMMYFUNCTION("""COMPUTED_VALUE"""),"Bartolaba")</f>
        <v>Bartolaba</v>
      </c>
      <c r="E450" s="1" t="str">
        <f>IFERROR(__xludf.DUMMYFUNCTION("""COMPUTED_VALUE"""),"Zero vote for UniThieves and Duwag!")</f>
        <v>Zero vote for UniThieves and Duwag!</v>
      </c>
      <c r="F450" s="1">
        <f>IFERROR(__xludf.DUMMYFUNCTION("""COMPUTED_VALUE"""),47.0)</f>
        <v>47</v>
      </c>
      <c r="G450" s="1" t="str">
        <f>IFERROR(__xludf.DUMMYFUNCTION("""COMPUTED_VALUE"""),"3 mos")</f>
        <v>3 mos</v>
      </c>
      <c r="H450" s="1" t="str">
        <f>IFERROR(__xludf.DUMMYFUNCTION("""COMPUTED_VALUE"""),"comment")</f>
        <v>comment</v>
      </c>
      <c r="I450" s="2" t="str">
        <f>IFERROR(__xludf.DUMMYFUNCTION("""COMPUTED_VALUE"""),"https://www.facebook.com/rapplerdotcom/photos/a.317154781638645/5597592673594803/")</f>
        <v>https://www.facebook.com/rapplerdotcom/photos/a.317154781638645/5597592673594803/</v>
      </c>
      <c r="J450" s="1" t="str">
        <f>IFERROR(__xludf.DUMMYFUNCTION("""COMPUTED_VALUE"""),"2022-07-04T11:12:52.612Z")</f>
        <v>2022-07-04T11:12:52.612Z</v>
      </c>
      <c r="K450" s="1"/>
    </row>
    <row r="451">
      <c r="A451" s="2" t="str">
        <f>IFERROR(__xludf.DUMMYFUNCTION("""COMPUTED_VALUE"""),"https://www.facebook.com/ninovincent.dbollino.3")</f>
        <v>https://www.facebook.com/ninovincent.dbollino.3</v>
      </c>
      <c r="B451" s="1" t="str">
        <f>IFERROR(__xludf.DUMMYFUNCTION("""COMPUTED_VALUE"""),"Nino Vincent DBollino")</f>
        <v>Nino Vincent DBollino</v>
      </c>
      <c r="C451" s="1" t="str">
        <f>IFERROR(__xludf.DUMMYFUNCTION("""COMPUTED_VALUE"""),"Nino")</f>
        <v>Nino</v>
      </c>
      <c r="D451" s="1" t="str">
        <f>IFERROR(__xludf.DUMMYFUNCTION("""COMPUTED_VALUE"""),"Vincent DBollino")</f>
        <v>Vincent DBollino</v>
      </c>
      <c r="E451" s="1" t="str">
        <f>IFERROR(__xludf.DUMMYFUNCTION("""COMPUTED_VALUE"""),"Marichu Bartolaba zero impossible KAAYO madam.💪🇵🇭✌️")</f>
        <v>Marichu Bartolaba zero impossible KAAYO madam.💪🇵🇭✌️</v>
      </c>
      <c r="F451" s="1">
        <f>IFERROR(__xludf.DUMMYFUNCTION("""COMPUTED_VALUE"""),1.0)</f>
        <v>1</v>
      </c>
      <c r="G451" s="1" t="str">
        <f>IFERROR(__xludf.DUMMYFUNCTION("""COMPUTED_VALUE"""),"3 mos")</f>
        <v>3 mos</v>
      </c>
      <c r="H451" s="1" t="str">
        <f>IFERROR(__xludf.DUMMYFUNCTION("""COMPUTED_VALUE"""),"reply")</f>
        <v>reply</v>
      </c>
      <c r="I451" s="2" t="str">
        <f>IFERROR(__xludf.DUMMYFUNCTION("""COMPUTED_VALUE"""),"https://www.facebook.com/rapplerdotcom/photos/a.317154781638645/5597592673594803/")</f>
        <v>https://www.facebook.com/rapplerdotcom/photos/a.317154781638645/5597592673594803/</v>
      </c>
      <c r="J451" s="1" t="str">
        <f>IFERROR(__xludf.DUMMYFUNCTION("""COMPUTED_VALUE"""),"2022-07-04T11:12:52.612Z")</f>
        <v>2022-07-04T11:12:52.612Z</v>
      </c>
      <c r="K451" s="1"/>
    </row>
    <row r="452">
      <c r="A452" s="2" t="str">
        <f>IFERROR(__xludf.DUMMYFUNCTION("""COMPUTED_VALUE"""),"https://www.facebook.com/tony.deguzman.104")</f>
        <v>https://www.facebook.com/tony.deguzman.104</v>
      </c>
      <c r="B452" s="1" t="str">
        <f>IFERROR(__xludf.DUMMYFUNCTION("""COMPUTED_VALUE"""),"Tony de Guzman")</f>
        <v>Tony de Guzman</v>
      </c>
      <c r="C452" s="1" t="str">
        <f>IFERROR(__xludf.DUMMYFUNCTION("""COMPUTED_VALUE"""),"Tony")</f>
        <v>Tony</v>
      </c>
      <c r="D452" s="1" t="str">
        <f>IFERROR(__xludf.DUMMYFUNCTION("""COMPUTED_VALUE"""),"de Guzman")</f>
        <v>de Guzman</v>
      </c>
      <c r="E452" s="1" t="str">
        <f>IFERROR(__xludf.DUMMYFUNCTION("""COMPUTED_VALUE"""),"Marichu Bartolaba may naduwag din kagabi kay prof. Carlos,😂😂😂😂")</f>
        <v>Marichu Bartolaba may naduwag din kagabi kay prof. Carlos,😂😂😂😂</v>
      </c>
      <c r="F452" s="1">
        <f>IFERROR(__xludf.DUMMYFUNCTION("""COMPUTED_VALUE"""),1.0)</f>
        <v>1</v>
      </c>
      <c r="G452" s="1" t="str">
        <f>IFERROR(__xludf.DUMMYFUNCTION("""COMPUTED_VALUE"""),"3 mos")</f>
        <v>3 mos</v>
      </c>
      <c r="H452" s="1" t="str">
        <f>IFERROR(__xludf.DUMMYFUNCTION("""COMPUTED_VALUE"""),"reply")</f>
        <v>reply</v>
      </c>
      <c r="I452" s="2" t="str">
        <f>IFERROR(__xludf.DUMMYFUNCTION("""COMPUTED_VALUE"""),"https://www.facebook.com/rapplerdotcom/photos/a.317154781638645/5597592673594803/")</f>
        <v>https://www.facebook.com/rapplerdotcom/photos/a.317154781638645/5597592673594803/</v>
      </c>
      <c r="J452" s="1" t="str">
        <f>IFERROR(__xludf.DUMMYFUNCTION("""COMPUTED_VALUE"""),"2022-07-04T11:12:52.612Z")</f>
        <v>2022-07-04T11:12:52.612Z</v>
      </c>
      <c r="K452" s="1"/>
    </row>
    <row r="453">
      <c r="A453" s="2" t="str">
        <f>IFERROR(__xludf.DUMMYFUNCTION("""COMPUTED_VALUE"""),"https://www.facebook.com/Jackbullmastiff")</f>
        <v>https://www.facebook.com/Jackbullmastiff</v>
      </c>
      <c r="B453" s="1" t="str">
        <f>IFERROR(__xludf.DUMMYFUNCTION("""COMPUTED_VALUE"""),"Mann E. Tingpusi")</f>
        <v>Mann E. Tingpusi</v>
      </c>
      <c r="C453" s="1" t="str">
        <f>IFERROR(__xludf.DUMMYFUNCTION("""COMPUTED_VALUE"""),"Mann")</f>
        <v>Mann</v>
      </c>
      <c r="D453" s="1" t="str">
        <f>IFERROR(__xludf.DUMMYFUNCTION("""COMPUTED_VALUE"""),"E. Tingpusi")</f>
        <v>E. Tingpusi</v>
      </c>
      <c r="E453" s="1" t="str">
        <f>IFERROR(__xludf.DUMMYFUNCTION("""COMPUTED_VALUE"""),"ingat sa celpon at wallets paalala lng 500h kapalit sayang..")</f>
        <v>ingat sa celpon at wallets paalala lng 500h kapalit sayang..</v>
      </c>
      <c r="F453" s="1">
        <f>IFERROR(__xludf.DUMMYFUNCTION("""COMPUTED_VALUE"""),4.0)</f>
        <v>4</v>
      </c>
      <c r="G453" s="1" t="str">
        <f>IFERROR(__xludf.DUMMYFUNCTION("""COMPUTED_VALUE"""),"3 mos")</f>
        <v>3 mos</v>
      </c>
      <c r="H453" s="1" t="str">
        <f>IFERROR(__xludf.DUMMYFUNCTION("""COMPUTED_VALUE"""),"reply")</f>
        <v>reply</v>
      </c>
      <c r="I453" s="2" t="str">
        <f>IFERROR(__xludf.DUMMYFUNCTION("""COMPUTED_VALUE"""),"https://www.facebook.com/rapplerdotcom/photos/a.317154781638645/5597592673594803/")</f>
        <v>https://www.facebook.com/rapplerdotcom/photos/a.317154781638645/5597592673594803/</v>
      </c>
      <c r="J453" s="1" t="str">
        <f>IFERROR(__xludf.DUMMYFUNCTION("""COMPUTED_VALUE"""),"2022-07-04T11:12:52.612Z")</f>
        <v>2022-07-04T11:12:52.612Z</v>
      </c>
      <c r="K453" s="1"/>
    </row>
    <row r="454">
      <c r="A454" s="2" t="str">
        <f>IFERROR(__xludf.DUMMYFUNCTION("""COMPUTED_VALUE"""),"https://www.facebook.com/profile.php?id=100076074789897")</f>
        <v>https://www.facebook.com/profile.php?id=100076074789897</v>
      </c>
      <c r="B454" s="1" t="str">
        <f>IFERROR(__xludf.DUMMYFUNCTION("""COMPUTED_VALUE"""),"Jesie Lanie")</f>
        <v>Jesie Lanie</v>
      </c>
      <c r="C454" s="1" t="str">
        <f>IFERROR(__xludf.DUMMYFUNCTION("""COMPUTED_VALUE"""),"Jesie")</f>
        <v>Jesie</v>
      </c>
      <c r="D454" s="1" t="str">
        <f>IFERROR(__xludf.DUMMYFUNCTION("""COMPUTED_VALUE"""),"Lanie")</f>
        <v>Lanie</v>
      </c>
      <c r="E454" s="1" t="str">
        <f>IFERROR(__xludf.DUMMYFUNCTION("""COMPUTED_VALUE"""),"Marichu Bartolaba puro kayo zero vote, halatang walang alam sa dynamics  Sino ulit ang duwag?")</f>
        <v>Marichu Bartolaba puro kayo zero vote, halatang walang alam sa dynamics  Sino ulit ang duwag?</v>
      </c>
      <c r="F454" s="1">
        <f>IFERROR(__xludf.DUMMYFUNCTION("""COMPUTED_VALUE"""),1.0)</f>
        <v>1</v>
      </c>
      <c r="G454" s="1" t="str">
        <f>IFERROR(__xludf.DUMMYFUNCTION("""COMPUTED_VALUE"""),"3 mos")</f>
        <v>3 mos</v>
      </c>
      <c r="H454" s="1" t="str">
        <f>IFERROR(__xludf.DUMMYFUNCTION("""COMPUTED_VALUE"""),"reply")</f>
        <v>reply</v>
      </c>
      <c r="I454" s="2" t="str">
        <f>IFERROR(__xludf.DUMMYFUNCTION("""COMPUTED_VALUE"""),"https://www.facebook.com/rapplerdotcom/photos/a.317154781638645/5597592673594803/")</f>
        <v>https://www.facebook.com/rapplerdotcom/photos/a.317154781638645/5597592673594803/</v>
      </c>
      <c r="J454" s="1" t="str">
        <f>IFERROR(__xludf.DUMMYFUNCTION("""COMPUTED_VALUE"""),"2022-07-04T11:12:52.612Z")</f>
        <v>2022-07-04T11:12:52.612Z</v>
      </c>
      <c r="K454" s="1"/>
    </row>
    <row r="455">
      <c r="A455" s="2" t="str">
        <f>IFERROR(__xludf.DUMMYFUNCTION("""COMPUTED_VALUE"""),"https://www.facebook.com/jeanette6881")</f>
        <v>https://www.facebook.com/jeanette6881</v>
      </c>
      <c r="B455" s="1" t="str">
        <f>IFERROR(__xludf.DUMMYFUNCTION("""COMPUTED_VALUE"""),"Tejano Anette")</f>
        <v>Tejano Anette</v>
      </c>
      <c r="C455" s="1" t="str">
        <f>IFERROR(__xludf.DUMMYFUNCTION("""COMPUTED_VALUE"""),"Tejano")</f>
        <v>Tejano</v>
      </c>
      <c r="D455" s="1" t="str">
        <f>IFERROR(__xludf.DUMMYFUNCTION("""COMPUTED_VALUE"""),"Anette")</f>
        <v>Anette</v>
      </c>
      <c r="E455" s="1" t="str">
        <f>IFERROR(__xludf.DUMMYFUNCTION("""COMPUTED_VALUE"""),"Marichu Bartolaba yong ngang kampo.niyo ang duwag")</f>
        <v>Marichu Bartolaba yong ngang kampo.niyo ang duwag</v>
      </c>
      <c r="F455" s="1"/>
      <c r="G455" s="1" t="str">
        <f>IFERROR(__xludf.DUMMYFUNCTION("""COMPUTED_VALUE"""),"3 mos")</f>
        <v>3 mos</v>
      </c>
      <c r="H455" s="1" t="str">
        <f>IFERROR(__xludf.DUMMYFUNCTION("""COMPUTED_VALUE"""),"reply")</f>
        <v>reply</v>
      </c>
      <c r="I455" s="2" t="str">
        <f>IFERROR(__xludf.DUMMYFUNCTION("""COMPUTED_VALUE"""),"https://www.facebook.com/rapplerdotcom/photos/a.317154781638645/5597592673594803/")</f>
        <v>https://www.facebook.com/rapplerdotcom/photos/a.317154781638645/5597592673594803/</v>
      </c>
      <c r="J455" s="1" t="str">
        <f>IFERROR(__xludf.DUMMYFUNCTION("""COMPUTED_VALUE"""),"2022-07-04T11:12:52.612Z")</f>
        <v>2022-07-04T11:12:52.612Z</v>
      </c>
      <c r="K455" s="1"/>
    </row>
    <row r="456">
      <c r="A456" s="2" t="str">
        <f>IFERROR(__xludf.DUMMYFUNCTION("""COMPUTED_VALUE"""),"https://www.facebook.com/jeth17")</f>
        <v>https://www.facebook.com/jeth17</v>
      </c>
      <c r="B456" s="1" t="str">
        <f>IFERROR(__xludf.DUMMYFUNCTION("""COMPUTED_VALUE"""),"Jeth Nabuya")</f>
        <v>Jeth Nabuya</v>
      </c>
      <c r="C456" s="1" t="str">
        <f>IFERROR(__xludf.DUMMYFUNCTION("""COMPUTED_VALUE"""),"Jeth")</f>
        <v>Jeth</v>
      </c>
      <c r="D456" s="1" t="str">
        <f>IFERROR(__xludf.DUMMYFUNCTION("""COMPUTED_VALUE"""),"Nabuya")</f>
        <v>Nabuya</v>
      </c>
      <c r="E456" s="1" t="str">
        <f>IFERROR(__xludf.DUMMYFUNCTION("""COMPUTED_VALUE"""),"Marichu Bartolaba talaga ba? 😂😂")</f>
        <v>Marichu Bartolaba talaga ba? 😂😂</v>
      </c>
      <c r="F456" s="1"/>
      <c r="G456" s="1" t="str">
        <f>IFERROR(__xludf.DUMMYFUNCTION("""COMPUTED_VALUE"""),"3 mos")</f>
        <v>3 mos</v>
      </c>
      <c r="H456" s="1" t="str">
        <f>IFERROR(__xludf.DUMMYFUNCTION("""COMPUTED_VALUE"""),"reply")</f>
        <v>reply</v>
      </c>
      <c r="I456" s="2" t="str">
        <f>IFERROR(__xludf.DUMMYFUNCTION("""COMPUTED_VALUE"""),"https://www.facebook.com/rapplerdotcom/photos/a.317154781638645/5597592673594803/")</f>
        <v>https://www.facebook.com/rapplerdotcom/photos/a.317154781638645/5597592673594803/</v>
      </c>
      <c r="J456" s="1" t="str">
        <f>IFERROR(__xludf.DUMMYFUNCTION("""COMPUTED_VALUE"""),"2022-07-04T11:12:52.612Z")</f>
        <v>2022-07-04T11:12:52.612Z</v>
      </c>
      <c r="K456" s="1"/>
    </row>
    <row r="457">
      <c r="A457" s="2" t="str">
        <f>IFERROR(__xludf.DUMMYFUNCTION("""COMPUTED_VALUE"""),"https://www.facebook.com/profile.php?id=100078911753810")</f>
        <v>https://www.facebook.com/profile.php?id=100078911753810</v>
      </c>
      <c r="B457" s="1" t="str">
        <f>IFERROR(__xludf.DUMMYFUNCTION("""COMPUTED_VALUE"""),"Asyong Aksaya")</f>
        <v>Asyong Aksaya</v>
      </c>
      <c r="C457" s="1" t="str">
        <f>IFERROR(__xludf.DUMMYFUNCTION("""COMPUTED_VALUE"""),"Asyong")</f>
        <v>Asyong</v>
      </c>
      <c r="D457" s="1" t="str">
        <f>IFERROR(__xludf.DUMMYFUNCTION("""COMPUTED_VALUE"""),"Aksaya")</f>
        <v>Aksaya</v>
      </c>
      <c r="E457" s="1" t="str">
        <f>IFERROR(__xludf.DUMMYFUNCTION("""COMPUTED_VALUE"""),"Marichu Bartolaba mukha mo")</f>
        <v>Marichu Bartolaba mukha mo</v>
      </c>
      <c r="F457" s="1"/>
      <c r="G457" s="1" t="str">
        <f>IFERROR(__xludf.DUMMYFUNCTION("""COMPUTED_VALUE"""),"3 mos")</f>
        <v>3 mos</v>
      </c>
      <c r="H457" s="1" t="str">
        <f>IFERROR(__xludf.DUMMYFUNCTION("""COMPUTED_VALUE"""),"reply")</f>
        <v>reply</v>
      </c>
      <c r="I457" s="2" t="str">
        <f>IFERROR(__xludf.DUMMYFUNCTION("""COMPUTED_VALUE"""),"https://www.facebook.com/rapplerdotcom/photos/a.317154781638645/5597592673594803/")</f>
        <v>https://www.facebook.com/rapplerdotcom/photos/a.317154781638645/5597592673594803/</v>
      </c>
      <c r="J457" s="1" t="str">
        <f>IFERROR(__xludf.DUMMYFUNCTION("""COMPUTED_VALUE"""),"2022-07-04T11:12:52.612Z")</f>
        <v>2022-07-04T11:12:52.612Z</v>
      </c>
      <c r="K457" s="1"/>
    </row>
    <row r="458">
      <c r="A458" s="2" t="str">
        <f>IFERROR(__xludf.DUMMYFUNCTION("""COMPUTED_VALUE"""),"https://www.facebook.com/jantenmoto")</f>
        <v>https://www.facebook.com/jantenmoto</v>
      </c>
      <c r="B458" s="1" t="str">
        <f>IFERROR(__xludf.DUMMYFUNCTION("""COMPUTED_VALUE"""),"Marlon Rondero Concepcion")</f>
        <v>Marlon Rondero Concepcion</v>
      </c>
      <c r="C458" s="1" t="str">
        <f>IFERROR(__xludf.DUMMYFUNCTION("""COMPUTED_VALUE"""),"Marlon")</f>
        <v>Marlon</v>
      </c>
      <c r="D458" s="1" t="str">
        <f>IFERROR(__xludf.DUMMYFUNCTION("""COMPUTED_VALUE"""),"Rondero Concepcion")</f>
        <v>Rondero Concepcion</v>
      </c>
      <c r="E458" s="1" t="str">
        <f>IFERROR(__xludf.DUMMYFUNCTION("""COMPUTED_VALUE"""),"ingatan ang mga wallet at cellphones niyo")</f>
        <v>ingatan ang mga wallet at cellphones niyo</v>
      </c>
      <c r="F458" s="1">
        <f>IFERROR(__xludf.DUMMYFUNCTION("""COMPUTED_VALUE"""),39.0)</f>
        <v>39</v>
      </c>
      <c r="G458" s="1" t="str">
        <f>IFERROR(__xludf.DUMMYFUNCTION("""COMPUTED_VALUE"""),"3 mos")</f>
        <v>3 mos</v>
      </c>
      <c r="H458" s="1" t="str">
        <f>IFERROR(__xludf.DUMMYFUNCTION("""COMPUTED_VALUE"""),"comment")</f>
        <v>comment</v>
      </c>
      <c r="I458" s="2" t="str">
        <f>IFERROR(__xludf.DUMMYFUNCTION("""COMPUTED_VALUE"""),"https://www.facebook.com/rapplerdotcom/photos/a.317154781638645/5597592673594803/")</f>
        <v>https://www.facebook.com/rapplerdotcom/photos/a.317154781638645/5597592673594803/</v>
      </c>
      <c r="J458" s="1" t="str">
        <f>IFERROR(__xludf.DUMMYFUNCTION("""COMPUTED_VALUE"""),"2022-07-04T11:12:52.612Z")</f>
        <v>2022-07-04T11:12:52.612Z</v>
      </c>
      <c r="K458" s="1"/>
    </row>
    <row r="459">
      <c r="A459" s="2" t="str">
        <f>IFERROR(__xludf.DUMMYFUNCTION("""COMPUTED_VALUE"""),"https://www.facebook.com/christian.vicente.104")</f>
        <v>https://www.facebook.com/christian.vicente.104</v>
      </c>
      <c r="B459" s="1" t="str">
        <f>IFERROR(__xludf.DUMMYFUNCTION("""COMPUTED_VALUE"""),"Christian Vicente")</f>
        <v>Christian Vicente</v>
      </c>
      <c r="C459" s="1" t="str">
        <f>IFERROR(__xludf.DUMMYFUNCTION("""COMPUTED_VALUE"""),"Christian")</f>
        <v>Christian</v>
      </c>
      <c r="D459" s="1" t="str">
        <f>IFERROR(__xludf.DUMMYFUNCTION("""COMPUTED_VALUE"""),"Vicente")</f>
        <v>Vicente</v>
      </c>
      <c r="E459" s="1" t="str">
        <f>IFERROR(__xludf.DUMMYFUNCTION("""COMPUTED_VALUE"""),"Marlon Rondero Concepcion wag mo ikumpara lugar nyu dito sa amin! mas maraming mandurukot jan sa inyu kumpara sa lugar namin! ahahahaha")</f>
        <v>Marlon Rondero Concepcion wag mo ikumpara lugar nyu dito sa amin! mas maraming mandurukot jan sa inyu kumpara sa lugar namin! ahahahaha</v>
      </c>
      <c r="F459" s="1">
        <f>IFERROR(__xludf.DUMMYFUNCTION("""COMPUTED_VALUE"""),4.0)</f>
        <v>4</v>
      </c>
      <c r="G459" s="1" t="str">
        <f>IFERROR(__xludf.DUMMYFUNCTION("""COMPUTED_VALUE"""),"3 mos")</f>
        <v>3 mos</v>
      </c>
      <c r="H459" s="1" t="str">
        <f>IFERROR(__xludf.DUMMYFUNCTION("""COMPUTED_VALUE"""),"reply")</f>
        <v>reply</v>
      </c>
      <c r="I459" s="2" t="str">
        <f>IFERROR(__xludf.DUMMYFUNCTION("""COMPUTED_VALUE"""),"https://www.facebook.com/rapplerdotcom/photos/a.317154781638645/5597592673594803/")</f>
        <v>https://www.facebook.com/rapplerdotcom/photos/a.317154781638645/5597592673594803/</v>
      </c>
      <c r="J459" s="1" t="str">
        <f>IFERROR(__xludf.DUMMYFUNCTION("""COMPUTED_VALUE"""),"2022-07-04T11:12:52.612Z")</f>
        <v>2022-07-04T11:12:52.612Z</v>
      </c>
      <c r="K459" s="1"/>
    </row>
    <row r="460">
      <c r="A460" s="2" t="str">
        <f>IFERROR(__xludf.DUMMYFUNCTION("""COMPUTED_VALUE"""),"https://www.facebook.com/angelitoljaojr")</f>
        <v>https://www.facebook.com/angelitoljaojr</v>
      </c>
      <c r="B460" s="1" t="str">
        <f>IFERROR(__xludf.DUMMYFUNCTION("""COMPUTED_VALUE"""),"Angelito Jao Jr.")</f>
        <v>Angelito Jao Jr.</v>
      </c>
      <c r="C460" s="1" t="str">
        <f>IFERROR(__xludf.DUMMYFUNCTION("""COMPUTED_VALUE"""),"Angelito")</f>
        <v>Angelito</v>
      </c>
      <c r="D460" s="1" t="str">
        <f>IFERROR(__xludf.DUMMYFUNCTION("""COMPUTED_VALUE"""),"Jao Jr.")</f>
        <v>Jao Jr.</v>
      </c>
      <c r="E460" s="1" t="str">
        <f>IFERROR(__xludf.DUMMYFUNCTION("""COMPUTED_VALUE"""),"Marlon Rondero Concepcion pre di makakatulong yang mga ganyang comment unless UNITEAM talaga ang pinaglalaban mo")</f>
        <v>Marlon Rondero Concepcion pre di makakatulong yang mga ganyang comment unless UNITEAM talaga ang pinaglalaban mo</v>
      </c>
      <c r="F460" s="1">
        <f>IFERROR(__xludf.DUMMYFUNCTION("""COMPUTED_VALUE"""),1.0)</f>
        <v>1</v>
      </c>
      <c r="G460" s="1" t="str">
        <f>IFERROR(__xludf.DUMMYFUNCTION("""COMPUTED_VALUE"""),"3 mos")</f>
        <v>3 mos</v>
      </c>
      <c r="H460" s="1" t="str">
        <f>IFERROR(__xludf.DUMMYFUNCTION("""COMPUTED_VALUE"""),"reply")</f>
        <v>reply</v>
      </c>
      <c r="I460" s="2" t="str">
        <f>IFERROR(__xludf.DUMMYFUNCTION("""COMPUTED_VALUE"""),"https://www.facebook.com/rapplerdotcom/photos/a.317154781638645/5597592673594803/")</f>
        <v>https://www.facebook.com/rapplerdotcom/photos/a.317154781638645/5597592673594803/</v>
      </c>
      <c r="J460" s="1" t="str">
        <f>IFERROR(__xludf.DUMMYFUNCTION("""COMPUTED_VALUE"""),"2022-07-04T11:12:52.612Z")</f>
        <v>2022-07-04T11:12:52.612Z</v>
      </c>
      <c r="K460" s="1"/>
    </row>
    <row r="461">
      <c r="A461" s="2" t="str">
        <f>IFERROR(__xludf.DUMMYFUNCTION("""COMPUTED_VALUE"""),"https://www.facebook.com/jheilynn.paz")</f>
        <v>https://www.facebook.com/jheilynn.paz</v>
      </c>
      <c r="B461" s="1" t="str">
        <f>IFERROR(__xludf.DUMMYFUNCTION("""COMPUTED_VALUE"""),"Jonalyn Castro Paz Rubenecia")</f>
        <v>Jonalyn Castro Paz Rubenecia</v>
      </c>
      <c r="C461" s="1" t="str">
        <f>IFERROR(__xludf.DUMMYFUNCTION("""COMPUTED_VALUE"""),"Jonalyn")</f>
        <v>Jonalyn</v>
      </c>
      <c r="D461" s="1" t="str">
        <f>IFERROR(__xludf.DUMMYFUNCTION("""COMPUTED_VALUE"""),"Castro Paz Rubenecia")</f>
        <v>Castro Paz Rubenecia</v>
      </c>
      <c r="E461" s="1" t="str">
        <f>IFERROR(__xludf.DUMMYFUNCTION("""COMPUTED_VALUE"""),"Marlon Rondero Concepcion ingatan mo sarili mo.. Baka mamaya masagasaan ka..")</f>
        <v>Marlon Rondero Concepcion ingatan mo sarili mo.. Baka mamaya masagasaan ka..</v>
      </c>
      <c r="F461" s="1">
        <f>IFERROR(__xludf.DUMMYFUNCTION("""COMPUTED_VALUE"""),2.0)</f>
        <v>2</v>
      </c>
      <c r="G461" s="1" t="str">
        <f>IFERROR(__xludf.DUMMYFUNCTION("""COMPUTED_VALUE"""),"3 mos")</f>
        <v>3 mos</v>
      </c>
      <c r="H461" s="1" t="str">
        <f>IFERROR(__xludf.DUMMYFUNCTION("""COMPUTED_VALUE"""),"reply")</f>
        <v>reply</v>
      </c>
      <c r="I461" s="2" t="str">
        <f>IFERROR(__xludf.DUMMYFUNCTION("""COMPUTED_VALUE"""),"https://www.facebook.com/rapplerdotcom/photos/a.317154781638645/5597592673594803/")</f>
        <v>https://www.facebook.com/rapplerdotcom/photos/a.317154781638645/5597592673594803/</v>
      </c>
      <c r="J461" s="1" t="str">
        <f>IFERROR(__xludf.DUMMYFUNCTION("""COMPUTED_VALUE"""),"2022-07-04T11:12:52.612Z")</f>
        <v>2022-07-04T11:12:52.612Z</v>
      </c>
      <c r="K461" s="1"/>
    </row>
    <row r="462">
      <c r="A462" s="2" t="str">
        <f>IFERROR(__xludf.DUMMYFUNCTION("""COMPUTED_VALUE"""),"https://www.facebook.com/paul.a.estrada.5")</f>
        <v>https://www.facebook.com/paul.a.estrada.5</v>
      </c>
      <c r="B462" s="1" t="str">
        <f>IFERROR(__xludf.DUMMYFUNCTION("""COMPUTED_VALUE"""),"Paul A. Estrada")</f>
        <v>Paul A. Estrada</v>
      </c>
      <c r="C462" s="1" t="str">
        <f>IFERROR(__xludf.DUMMYFUNCTION("""COMPUTED_VALUE"""),"Paul")</f>
        <v>Paul</v>
      </c>
      <c r="D462" s="1" t="str">
        <f>IFERROR(__xludf.DUMMYFUNCTION("""COMPUTED_VALUE"""),"A. Estrada")</f>
        <v>A. Estrada</v>
      </c>
      <c r="E462" s="1" t="str">
        <f>IFERROR(__xludf.DUMMYFUNCTION("""COMPUTED_VALUE"""),"Mabuti pa ito'ng mga supporters ng uni-team sa gensan at cotabato, may poise, relaxed &amp; full of confidence sa sinusuportahan nila. Sa camanava para'ng mga pinakawalan sa gubat pati tarpulin kayang takpan ang amazon jungle sa brazil sa laki, para bulagin k"&amp;"a sa pagmumukha ni tarzan &amp; jane.")</f>
        <v>Mabuti pa ito'ng mga supporters ng uni-team sa gensan at cotabato, may poise, relaxed &amp; full of confidence sa sinusuportahan nila. Sa camanava para'ng mga pinakawalan sa gubat pati tarpulin kayang takpan ang amazon jungle sa brazil sa laki, para bulagin ka sa pagmumukha ni tarzan &amp; jane.</v>
      </c>
      <c r="F462" s="1">
        <f>IFERROR(__xludf.DUMMYFUNCTION("""COMPUTED_VALUE"""),16.0)</f>
        <v>16</v>
      </c>
      <c r="G462" s="1" t="str">
        <f>IFERROR(__xludf.DUMMYFUNCTION("""COMPUTED_VALUE"""),"3 mos")</f>
        <v>3 mos</v>
      </c>
      <c r="H462" s="1" t="str">
        <f>IFERROR(__xludf.DUMMYFUNCTION("""COMPUTED_VALUE"""),"comment")</f>
        <v>comment</v>
      </c>
      <c r="I462" s="2" t="str">
        <f>IFERROR(__xludf.DUMMYFUNCTION("""COMPUTED_VALUE"""),"https://www.facebook.com/rapplerdotcom/photos/a.317154781638645/5597592673594803/")</f>
        <v>https://www.facebook.com/rapplerdotcom/photos/a.317154781638645/5597592673594803/</v>
      </c>
      <c r="J462" s="1" t="str">
        <f>IFERROR(__xludf.DUMMYFUNCTION("""COMPUTED_VALUE"""),"2022-07-04T11:12:52.612Z")</f>
        <v>2022-07-04T11:12:52.612Z</v>
      </c>
      <c r="K462" s="1"/>
    </row>
    <row r="463">
      <c r="A463" s="2" t="str">
        <f>IFERROR(__xludf.DUMMYFUNCTION("""COMPUTED_VALUE"""),"https://www.facebook.com/geobert.osma")</f>
        <v>https://www.facebook.com/geobert.osma</v>
      </c>
      <c r="B463" s="1" t="str">
        <f>IFERROR(__xludf.DUMMYFUNCTION("""COMPUTED_VALUE"""),"Geobert Osma")</f>
        <v>Geobert Osma</v>
      </c>
      <c r="C463" s="1" t="str">
        <f>IFERROR(__xludf.DUMMYFUNCTION("""COMPUTED_VALUE"""),"Geobert")</f>
        <v>Geobert</v>
      </c>
      <c r="D463" s="1" t="str">
        <f>IFERROR(__xludf.DUMMYFUNCTION("""COMPUTED_VALUE"""),"Osma")</f>
        <v>Osma</v>
      </c>
      <c r="E463" s="1" t="str">
        <f>IFERROR(__xludf.DUMMYFUNCTION("""COMPUTED_VALUE"""),"Paul A. Estrada Sinasabi mong nonsense?")</f>
        <v>Paul A. Estrada Sinasabi mong nonsense?</v>
      </c>
      <c r="F463" s="1">
        <f>IFERROR(__xludf.DUMMYFUNCTION("""COMPUTED_VALUE"""),2.0)</f>
        <v>2</v>
      </c>
      <c r="G463" s="1" t="str">
        <f>IFERROR(__xludf.DUMMYFUNCTION("""COMPUTED_VALUE"""),"3 mos")</f>
        <v>3 mos</v>
      </c>
      <c r="H463" s="1" t="str">
        <f>IFERROR(__xludf.DUMMYFUNCTION("""COMPUTED_VALUE"""),"reply")</f>
        <v>reply</v>
      </c>
      <c r="I463" s="2" t="str">
        <f>IFERROR(__xludf.DUMMYFUNCTION("""COMPUTED_VALUE"""),"https://www.facebook.com/rapplerdotcom/photos/a.317154781638645/5597592673594803/")</f>
        <v>https://www.facebook.com/rapplerdotcom/photos/a.317154781638645/5597592673594803/</v>
      </c>
      <c r="J463" s="1" t="str">
        <f>IFERROR(__xludf.DUMMYFUNCTION("""COMPUTED_VALUE"""),"2022-07-04T11:12:52.612Z")</f>
        <v>2022-07-04T11:12:52.612Z</v>
      </c>
      <c r="K463" s="1"/>
    </row>
    <row r="464">
      <c r="A464" s="2" t="str">
        <f>IFERROR(__xludf.DUMMYFUNCTION("""COMPUTED_VALUE"""),"https://www.facebook.com/ven.el.9")</f>
        <v>https://www.facebook.com/ven.el.9</v>
      </c>
      <c r="B464" s="1" t="str">
        <f>IFERROR(__xludf.DUMMYFUNCTION("""COMPUTED_VALUE"""),"Ramos Nomer")</f>
        <v>Ramos Nomer</v>
      </c>
      <c r="C464" s="1" t="str">
        <f>IFERROR(__xludf.DUMMYFUNCTION("""COMPUTED_VALUE"""),"Ramos")</f>
        <v>Ramos</v>
      </c>
      <c r="D464" s="1" t="str">
        <f>IFERROR(__xludf.DUMMYFUNCTION("""COMPUTED_VALUE"""),"Nomer")</f>
        <v>Nomer</v>
      </c>
      <c r="E464" s="1" t="str">
        <f>IFERROR(__xludf.DUMMYFUNCTION("""COMPUTED_VALUE"""),"Para kang idol mo, di ma intindihan sinasabi.")</f>
        <v>Para kang idol mo, di ma intindihan sinasabi.</v>
      </c>
      <c r="F464" s="1">
        <f>IFERROR(__xludf.DUMMYFUNCTION("""COMPUTED_VALUE"""),10.0)</f>
        <v>10</v>
      </c>
      <c r="G464" s="1" t="str">
        <f>IFERROR(__xludf.DUMMYFUNCTION("""COMPUTED_VALUE"""),"3 mos")</f>
        <v>3 mos</v>
      </c>
      <c r="H464" s="1" t="str">
        <f>IFERROR(__xludf.DUMMYFUNCTION("""COMPUTED_VALUE"""),"reply")</f>
        <v>reply</v>
      </c>
      <c r="I464" s="2" t="str">
        <f>IFERROR(__xludf.DUMMYFUNCTION("""COMPUTED_VALUE"""),"https://www.facebook.com/rapplerdotcom/photos/a.317154781638645/5597592673594803/")</f>
        <v>https://www.facebook.com/rapplerdotcom/photos/a.317154781638645/5597592673594803/</v>
      </c>
      <c r="J464" s="1" t="str">
        <f>IFERROR(__xludf.DUMMYFUNCTION("""COMPUTED_VALUE"""),"2022-07-04T11:12:52.612Z")</f>
        <v>2022-07-04T11:12:52.612Z</v>
      </c>
      <c r="K464" s="1"/>
    </row>
    <row r="465">
      <c r="A465" s="2" t="str">
        <f>IFERROR(__xludf.DUMMYFUNCTION("""COMPUTED_VALUE"""),"https://www.facebook.com/jonathan.sajo")</f>
        <v>https://www.facebook.com/jonathan.sajo</v>
      </c>
      <c r="B465" s="1" t="str">
        <f>IFERROR(__xludf.DUMMYFUNCTION("""COMPUTED_VALUE"""),"Jonathan Sajo")</f>
        <v>Jonathan Sajo</v>
      </c>
      <c r="C465" s="1" t="str">
        <f>IFERROR(__xludf.DUMMYFUNCTION("""COMPUTED_VALUE"""),"Jonathan")</f>
        <v>Jonathan</v>
      </c>
      <c r="D465" s="1" t="str">
        <f>IFERROR(__xludf.DUMMYFUNCTION("""COMPUTED_VALUE"""),"Sajo")</f>
        <v>Sajo</v>
      </c>
      <c r="E465" s="1" t="str">
        <f>IFERROR(__xludf.DUMMYFUNCTION("""COMPUTED_VALUE"""),"Geobert Osma kulang sa coke iba2 na sinasabi..")</f>
        <v>Geobert Osma kulang sa coke iba2 na sinasabi..</v>
      </c>
      <c r="F465" s="1">
        <f>IFERROR(__xludf.DUMMYFUNCTION("""COMPUTED_VALUE"""),1.0)</f>
        <v>1</v>
      </c>
      <c r="G465" s="1" t="str">
        <f>IFERROR(__xludf.DUMMYFUNCTION("""COMPUTED_VALUE"""),"3 mos")</f>
        <v>3 mos</v>
      </c>
      <c r="H465" s="1" t="str">
        <f>IFERROR(__xludf.DUMMYFUNCTION("""COMPUTED_VALUE"""),"reply")</f>
        <v>reply</v>
      </c>
      <c r="I465" s="2" t="str">
        <f>IFERROR(__xludf.DUMMYFUNCTION("""COMPUTED_VALUE"""),"https://www.facebook.com/rapplerdotcom/photos/a.317154781638645/5597592673594803/")</f>
        <v>https://www.facebook.com/rapplerdotcom/photos/a.317154781638645/5597592673594803/</v>
      </c>
      <c r="J465" s="1" t="str">
        <f>IFERROR(__xludf.DUMMYFUNCTION("""COMPUTED_VALUE"""),"2022-07-04T11:12:52.612Z")</f>
        <v>2022-07-04T11:12:52.612Z</v>
      </c>
      <c r="K465" s="1"/>
    </row>
    <row r="466">
      <c r="A466" s="2" t="str">
        <f>IFERROR(__xludf.DUMMYFUNCTION("""COMPUTED_VALUE"""),"https://www.facebook.com/emeterio.sarvilla")</f>
        <v>https://www.facebook.com/emeterio.sarvilla</v>
      </c>
      <c r="B466" s="1" t="str">
        <f>IFERROR(__xludf.DUMMYFUNCTION("""COMPUTED_VALUE"""),"Emeterio Sarvilla")</f>
        <v>Emeterio Sarvilla</v>
      </c>
      <c r="C466" s="1" t="str">
        <f>IFERROR(__xludf.DUMMYFUNCTION("""COMPUTED_VALUE"""),"Emeterio")</f>
        <v>Emeterio</v>
      </c>
      <c r="D466" s="1" t="str">
        <f>IFERROR(__xludf.DUMMYFUNCTION("""COMPUTED_VALUE"""),"Sarvilla")</f>
        <v>Sarvilla</v>
      </c>
      <c r="E466" s="1" t="str">
        <f>IFERROR(__xludf.DUMMYFUNCTION("""COMPUTED_VALUE"""),"Paul A. Estrada GORILLA NG AMAZON NAGSASALITA NA.")</f>
        <v>Paul A. Estrada GORILLA NG AMAZON NAGSASALITA NA.</v>
      </c>
      <c r="F466" s="1"/>
      <c r="G466" s="1" t="str">
        <f>IFERROR(__xludf.DUMMYFUNCTION("""COMPUTED_VALUE"""),"3 mos")</f>
        <v>3 mos</v>
      </c>
      <c r="H466" s="1" t="str">
        <f>IFERROR(__xludf.DUMMYFUNCTION("""COMPUTED_VALUE"""),"reply")</f>
        <v>reply</v>
      </c>
      <c r="I466" s="2" t="str">
        <f>IFERROR(__xludf.DUMMYFUNCTION("""COMPUTED_VALUE"""),"https://www.facebook.com/rapplerdotcom/photos/a.317154781638645/5597592673594803/")</f>
        <v>https://www.facebook.com/rapplerdotcom/photos/a.317154781638645/5597592673594803/</v>
      </c>
      <c r="J466" s="1" t="str">
        <f>IFERROR(__xludf.DUMMYFUNCTION("""COMPUTED_VALUE"""),"2022-07-04T11:12:52.612Z")</f>
        <v>2022-07-04T11:12:52.612Z</v>
      </c>
      <c r="K466" s="1"/>
    </row>
    <row r="467">
      <c r="A467" s="2" t="str">
        <f>IFERROR(__xludf.DUMMYFUNCTION("""COMPUTED_VALUE"""),"https://www.facebook.com/khali.gab")</f>
        <v>https://www.facebook.com/khali.gab</v>
      </c>
      <c r="B467" s="1" t="str">
        <f>IFERROR(__xludf.DUMMYFUNCTION("""COMPUTED_VALUE"""),"Bangon Pinas")</f>
        <v>Bangon Pinas</v>
      </c>
      <c r="C467" s="1" t="str">
        <f>IFERROR(__xludf.DUMMYFUNCTION("""COMPUTED_VALUE"""),"Bangon")</f>
        <v>Bangon</v>
      </c>
      <c r="D467" s="1" t="str">
        <f>IFERROR(__xludf.DUMMYFUNCTION("""COMPUTED_VALUE"""),"Pinas")</f>
        <v>Pinas</v>
      </c>
      <c r="E467" s="1" t="str">
        <f>IFERROR(__xludf.DUMMYFUNCTION("""COMPUTED_VALUE"""),"Paul A. Estrada walang Bus na naghakot :D puro private cars at pwede pa makisakay mga walang masakyan :D")</f>
        <v>Paul A. Estrada walang Bus na naghakot :D puro private cars at pwede pa makisakay mga walang masakyan :D</v>
      </c>
      <c r="F467" s="1">
        <f>IFERROR(__xludf.DUMMYFUNCTION("""COMPUTED_VALUE"""),2.0)</f>
        <v>2</v>
      </c>
      <c r="G467" s="1" t="str">
        <f>IFERROR(__xludf.DUMMYFUNCTION("""COMPUTED_VALUE"""),"3 mos")</f>
        <v>3 mos</v>
      </c>
      <c r="H467" s="1" t="str">
        <f>IFERROR(__xludf.DUMMYFUNCTION("""COMPUTED_VALUE"""),"reply")</f>
        <v>reply</v>
      </c>
      <c r="I467" s="2" t="str">
        <f>IFERROR(__xludf.DUMMYFUNCTION("""COMPUTED_VALUE"""),"https://www.facebook.com/rapplerdotcom/photos/a.317154781638645/5597592673594803/")</f>
        <v>https://www.facebook.com/rapplerdotcom/photos/a.317154781638645/5597592673594803/</v>
      </c>
      <c r="J467" s="1" t="str">
        <f>IFERROR(__xludf.DUMMYFUNCTION("""COMPUTED_VALUE"""),"2022-07-04T11:12:52.612Z")</f>
        <v>2022-07-04T11:12:52.612Z</v>
      </c>
      <c r="K467" s="1"/>
    </row>
    <row r="468">
      <c r="A468" s="2" t="str">
        <f>IFERROR(__xludf.DUMMYFUNCTION("""COMPUTED_VALUE"""),"https://www.facebook.com/jaredhdown")</f>
        <v>https://www.facebook.com/jaredhdown</v>
      </c>
      <c r="B468" s="1" t="str">
        <f>IFERROR(__xludf.DUMMYFUNCTION("""COMPUTED_VALUE"""),"John Edward Castillo")</f>
        <v>John Edward Castillo</v>
      </c>
      <c r="C468" s="1" t="str">
        <f>IFERROR(__xludf.DUMMYFUNCTION("""COMPUTED_VALUE"""),"John")</f>
        <v>John</v>
      </c>
      <c r="D468" s="1" t="str">
        <f>IFERROR(__xludf.DUMMYFUNCTION("""COMPUTED_VALUE"""),"Edward Castillo")</f>
        <v>Edward Castillo</v>
      </c>
      <c r="E468" s="1" t="str">
        <f>IFERROR(__xludf.DUMMYFUNCTION("""COMPUTED_VALUE"""),"Paul A. Estrada pag inggit, PINK IT!")</f>
        <v>Paul A. Estrada pag inggit, PINK IT!</v>
      </c>
      <c r="F468" s="1">
        <f>IFERROR(__xludf.DUMMYFUNCTION("""COMPUTED_VALUE"""),2.0)</f>
        <v>2</v>
      </c>
      <c r="G468" s="1" t="str">
        <f>IFERROR(__xludf.DUMMYFUNCTION("""COMPUTED_VALUE"""),"3 mos")</f>
        <v>3 mos</v>
      </c>
      <c r="H468" s="1" t="str">
        <f>IFERROR(__xludf.DUMMYFUNCTION("""COMPUTED_VALUE"""),"reply")</f>
        <v>reply</v>
      </c>
      <c r="I468" s="2" t="str">
        <f>IFERROR(__xludf.DUMMYFUNCTION("""COMPUTED_VALUE"""),"https://www.facebook.com/rapplerdotcom/photos/a.317154781638645/5597592673594803/")</f>
        <v>https://www.facebook.com/rapplerdotcom/photos/a.317154781638645/5597592673594803/</v>
      </c>
      <c r="J468" s="1" t="str">
        <f>IFERROR(__xludf.DUMMYFUNCTION("""COMPUTED_VALUE"""),"2022-07-04T11:12:52.612Z")</f>
        <v>2022-07-04T11:12:52.612Z</v>
      </c>
      <c r="K468" s="1"/>
    </row>
    <row r="469">
      <c r="A469" s="2" t="str">
        <f>IFERROR(__xludf.DUMMYFUNCTION("""COMPUTED_VALUE"""),"https://www.facebook.com/zayn.zee.16")</f>
        <v>https://www.facebook.com/zayn.zee.16</v>
      </c>
      <c r="B469" s="1" t="str">
        <f>IFERROR(__xludf.DUMMYFUNCTION("""COMPUTED_VALUE"""),"Xyren Zayn")</f>
        <v>Xyren Zayn</v>
      </c>
      <c r="C469" s="1" t="str">
        <f>IFERROR(__xludf.DUMMYFUNCTION("""COMPUTED_VALUE"""),"Xyren")</f>
        <v>Xyren</v>
      </c>
      <c r="D469" s="1" t="str">
        <f>IFERROR(__xludf.DUMMYFUNCTION("""COMPUTED_VALUE"""),"Zayn")</f>
        <v>Zayn</v>
      </c>
      <c r="E469" s="1" t="str">
        <f>IFERROR(__xludf.DUMMYFUNCTION("""COMPUTED_VALUE"""),"Paul A. Estrada yan nmn ung parang npipilitan lng! whats wrong guys??di pa ngssmula pro prang gusto nyo ng mtapos agad??😂😂😂 pg proud supporters kayo dpat full of energy&amp;excitemnt!😀 tulad nong mga KAKAMPINKS!😂")</f>
        <v>Paul A. Estrada yan nmn ung parang npipilitan lng! whats wrong guys??di pa ngssmula pro prang gusto nyo ng mtapos agad??😂😂😂 pg proud supporters kayo dpat full of energy&amp;excitemnt!😀 tulad nong mga KAKAMPINKS!😂</v>
      </c>
      <c r="F469" s="1">
        <f>IFERROR(__xludf.DUMMYFUNCTION("""COMPUTED_VALUE"""),4.0)</f>
        <v>4</v>
      </c>
      <c r="G469" s="1" t="str">
        <f>IFERROR(__xludf.DUMMYFUNCTION("""COMPUTED_VALUE"""),"3 mos")</f>
        <v>3 mos</v>
      </c>
      <c r="H469" s="1" t="str">
        <f>IFERROR(__xludf.DUMMYFUNCTION("""COMPUTED_VALUE"""),"reply")</f>
        <v>reply</v>
      </c>
      <c r="I469" s="2" t="str">
        <f>IFERROR(__xludf.DUMMYFUNCTION("""COMPUTED_VALUE"""),"https://www.facebook.com/rapplerdotcom/photos/a.317154781638645/5597592673594803/")</f>
        <v>https://www.facebook.com/rapplerdotcom/photos/a.317154781638645/5597592673594803/</v>
      </c>
      <c r="J469" s="1" t="str">
        <f>IFERROR(__xludf.DUMMYFUNCTION("""COMPUTED_VALUE"""),"2022-07-04T11:12:52.612Z")</f>
        <v>2022-07-04T11:12:52.612Z</v>
      </c>
      <c r="K469" s="1"/>
    </row>
    <row r="470">
      <c r="A470" s="2" t="str">
        <f>IFERROR(__xludf.DUMMYFUNCTION("""COMPUTED_VALUE"""),"https://www.facebook.com/denshaw.rios")</f>
        <v>https://www.facebook.com/denshaw.rios</v>
      </c>
      <c r="B470" s="1" t="str">
        <f>IFERROR(__xludf.DUMMYFUNCTION("""COMPUTED_VALUE"""),"Denshaw Rios")</f>
        <v>Denshaw Rios</v>
      </c>
      <c r="C470" s="1" t="str">
        <f>IFERROR(__xludf.DUMMYFUNCTION("""COMPUTED_VALUE"""),"Denshaw")</f>
        <v>Denshaw</v>
      </c>
      <c r="D470" s="1" t="str">
        <f>IFERROR(__xludf.DUMMYFUNCTION("""COMPUTED_VALUE"""),"Rios")</f>
        <v>Rios</v>
      </c>
      <c r="E470" s="1" t="str">
        <f>IFERROR(__xludf.DUMMYFUNCTION("""COMPUTED_VALUE"""),"Paul A. Estrada tabogo ka lang talaga. 🤣")</f>
        <v>Paul A. Estrada tabogo ka lang talaga. 🤣</v>
      </c>
      <c r="F470" s="1"/>
      <c r="G470" s="1" t="str">
        <f>IFERROR(__xludf.DUMMYFUNCTION("""COMPUTED_VALUE"""),"3 mos")</f>
        <v>3 mos</v>
      </c>
      <c r="H470" s="1" t="str">
        <f>IFERROR(__xludf.DUMMYFUNCTION("""COMPUTED_VALUE"""),"reply")</f>
        <v>reply</v>
      </c>
      <c r="I470" s="2" t="str">
        <f>IFERROR(__xludf.DUMMYFUNCTION("""COMPUTED_VALUE"""),"https://www.facebook.com/rapplerdotcom/photos/a.317154781638645/5597592673594803/")</f>
        <v>https://www.facebook.com/rapplerdotcom/photos/a.317154781638645/5597592673594803/</v>
      </c>
      <c r="J470" s="1" t="str">
        <f>IFERROR(__xludf.DUMMYFUNCTION("""COMPUTED_VALUE"""),"2022-07-04T11:12:52.612Z")</f>
        <v>2022-07-04T11:12:52.612Z</v>
      </c>
      <c r="K470" s="1"/>
    </row>
    <row r="471">
      <c r="A471" s="2" t="str">
        <f>IFERROR(__xludf.DUMMYFUNCTION("""COMPUTED_VALUE"""),"https://www.facebook.com/iamlegend41")</f>
        <v>https://www.facebook.com/iamlegend41</v>
      </c>
      <c r="B471" s="1" t="str">
        <f>IFERROR(__xludf.DUMMYFUNCTION("""COMPUTED_VALUE"""),"Alvin San Luis")</f>
        <v>Alvin San Luis</v>
      </c>
      <c r="C471" s="1" t="str">
        <f>IFERROR(__xludf.DUMMYFUNCTION("""COMPUTED_VALUE"""),"Alvin")</f>
        <v>Alvin</v>
      </c>
      <c r="D471" s="1" t="str">
        <f>IFERROR(__xludf.DUMMYFUNCTION("""COMPUTED_VALUE"""),"San Luis")</f>
        <v>San Luis</v>
      </c>
      <c r="E471" s="1" t="str">
        <f>IFERROR(__xludf.DUMMYFUNCTION("""COMPUTED_VALUE"""),"Paul A. Estrada hindi ba tulad nun nag atuhan.ng upuan😂")</f>
        <v>Paul A. Estrada hindi ba tulad nun nag atuhan.ng upuan😂</v>
      </c>
      <c r="F471" s="1"/>
      <c r="G471" s="1" t="str">
        <f>IFERROR(__xludf.DUMMYFUNCTION("""COMPUTED_VALUE"""),"3 mos")</f>
        <v>3 mos</v>
      </c>
      <c r="H471" s="1" t="str">
        <f>IFERROR(__xludf.DUMMYFUNCTION("""COMPUTED_VALUE"""),"reply")</f>
        <v>reply</v>
      </c>
      <c r="I471" s="2" t="str">
        <f>IFERROR(__xludf.DUMMYFUNCTION("""COMPUTED_VALUE"""),"https://www.facebook.com/rapplerdotcom/photos/a.317154781638645/5597592673594803/")</f>
        <v>https://www.facebook.com/rapplerdotcom/photos/a.317154781638645/5597592673594803/</v>
      </c>
      <c r="J471" s="1" t="str">
        <f>IFERROR(__xludf.DUMMYFUNCTION("""COMPUTED_VALUE"""),"2022-07-04T11:12:52.612Z")</f>
        <v>2022-07-04T11:12:52.612Z</v>
      </c>
      <c r="K471" s="1"/>
    </row>
    <row r="472">
      <c r="A472" s="2" t="str">
        <f>IFERROR(__xludf.DUMMYFUNCTION("""COMPUTED_VALUE"""),"https://www.facebook.com/jun.osorio.12")</f>
        <v>https://www.facebook.com/jun.osorio.12</v>
      </c>
      <c r="B472" s="1" t="str">
        <f>IFERROR(__xludf.DUMMYFUNCTION("""COMPUTED_VALUE"""),"Os Minnow-i")</f>
        <v>Os Minnow-i</v>
      </c>
      <c r="C472" s="1" t="str">
        <f>IFERROR(__xludf.DUMMYFUNCTION("""COMPUTED_VALUE"""),"Os")</f>
        <v>Os</v>
      </c>
      <c r="D472" s="1" t="str">
        <f>IFERROR(__xludf.DUMMYFUNCTION("""COMPUTED_VALUE"""),"Minnow-i")</f>
        <v>Minnow-i</v>
      </c>
      <c r="E472" s="1" t="str">
        <f>IFERROR(__xludf.DUMMYFUNCTION("""COMPUTED_VALUE"""),"Paul A. Estrada bakit andun k. O baka naman nakipanuod k. Enjoy nuh. Sarap maging Kakampink")</f>
        <v>Paul A. Estrada bakit andun k. O baka naman nakipanuod k. Enjoy nuh. Sarap maging Kakampink</v>
      </c>
      <c r="F472" s="1">
        <f>IFERROR(__xludf.DUMMYFUNCTION("""COMPUTED_VALUE"""),1.0)</f>
        <v>1</v>
      </c>
      <c r="G472" s="1" t="str">
        <f>IFERROR(__xludf.DUMMYFUNCTION("""COMPUTED_VALUE"""),"3 mos")</f>
        <v>3 mos</v>
      </c>
      <c r="H472" s="1" t="str">
        <f>IFERROR(__xludf.DUMMYFUNCTION("""COMPUTED_VALUE"""),"reply")</f>
        <v>reply</v>
      </c>
      <c r="I472" s="2" t="str">
        <f>IFERROR(__xludf.DUMMYFUNCTION("""COMPUTED_VALUE"""),"https://www.facebook.com/rapplerdotcom/photos/a.317154781638645/5597592673594803/")</f>
        <v>https://www.facebook.com/rapplerdotcom/photos/a.317154781638645/5597592673594803/</v>
      </c>
      <c r="J472" s="1" t="str">
        <f>IFERROR(__xludf.DUMMYFUNCTION("""COMPUTED_VALUE"""),"2022-07-04T11:12:52.612Z")</f>
        <v>2022-07-04T11:12:52.612Z</v>
      </c>
      <c r="K472" s="1"/>
    </row>
    <row r="473">
      <c r="A473" s="2" t="str">
        <f>IFERROR(__xludf.DUMMYFUNCTION("""COMPUTED_VALUE"""),"https://www.facebook.com/marcial.acbang")</f>
        <v>https://www.facebook.com/marcial.acbang</v>
      </c>
      <c r="B473" s="1" t="str">
        <f>IFERROR(__xludf.DUMMYFUNCTION("""COMPUTED_VALUE"""),"Marcial P. Acbang")</f>
        <v>Marcial P. Acbang</v>
      </c>
      <c r="C473" s="1" t="str">
        <f>IFERROR(__xludf.DUMMYFUNCTION("""COMPUTED_VALUE"""),"Marcial")</f>
        <v>Marcial</v>
      </c>
      <c r="D473" s="1" t="str">
        <f>IFERROR(__xludf.DUMMYFUNCTION("""COMPUTED_VALUE"""),"P. Acbang")</f>
        <v>P. Acbang</v>
      </c>
      <c r="E473" s="1" t="str">
        <f>IFERROR(__xludf.DUMMYFUNCTION("""COMPUTED_VALUE"""),"Ngiwi Ann plus monobloc in on the air. Yon ang latest!")</f>
        <v>Ngiwi Ann plus monobloc in on the air. Yon ang latest!</v>
      </c>
      <c r="F473" s="1"/>
      <c r="G473" s="1" t="str">
        <f>IFERROR(__xludf.DUMMYFUNCTION("""COMPUTED_VALUE"""),"3 mos")</f>
        <v>3 mos</v>
      </c>
      <c r="H473" s="1" t="str">
        <f>IFERROR(__xludf.DUMMYFUNCTION("""COMPUTED_VALUE"""),"reply")</f>
        <v>reply</v>
      </c>
      <c r="I473" s="2" t="str">
        <f>IFERROR(__xludf.DUMMYFUNCTION("""COMPUTED_VALUE"""),"https://www.facebook.com/rapplerdotcom/photos/a.317154781638645/5597592673594803/")</f>
        <v>https://www.facebook.com/rapplerdotcom/photos/a.317154781638645/5597592673594803/</v>
      </c>
      <c r="J473" s="1" t="str">
        <f>IFERROR(__xludf.DUMMYFUNCTION("""COMPUTED_VALUE"""),"2022-07-04T11:12:52.612Z")</f>
        <v>2022-07-04T11:12:52.612Z</v>
      </c>
      <c r="K473" s="1"/>
    </row>
    <row r="474">
      <c r="A474" s="2" t="str">
        <f>IFERROR(__xludf.DUMMYFUNCTION("""COMPUTED_VALUE"""),"https://www.facebook.com/einavanie")</f>
        <v>https://www.facebook.com/einavanie</v>
      </c>
      <c r="B474" s="1" t="str">
        <f>IFERROR(__xludf.DUMMYFUNCTION("""COMPUTED_VALUE"""),"Einavanie Bonga")</f>
        <v>Einavanie Bonga</v>
      </c>
      <c r="C474" s="1" t="str">
        <f>IFERROR(__xludf.DUMMYFUNCTION("""COMPUTED_VALUE"""),"Einavanie")</f>
        <v>Einavanie</v>
      </c>
      <c r="D474" s="1" t="str">
        <f>IFERROR(__xludf.DUMMYFUNCTION("""COMPUTED_VALUE"""),"Bonga")</f>
        <v>Bonga</v>
      </c>
      <c r="E474" s="1" t="str">
        <f>IFERROR(__xludf.DUMMYFUNCTION("""COMPUTED_VALUE"""),"Nakakahiya sumoporta sa may bahid ng Corruption at Ill Gotten Wealth mga Kababayan ko. Sana pag isipan nyo yan.")</f>
        <v>Nakakahiya sumoporta sa may bahid ng Corruption at Ill Gotten Wealth mga Kababayan ko. Sana pag isipan nyo yan.</v>
      </c>
      <c r="F474" s="1">
        <f>IFERROR(__xludf.DUMMYFUNCTION("""COMPUTED_VALUE"""),16.0)</f>
        <v>16</v>
      </c>
      <c r="G474" s="1" t="str">
        <f>IFERROR(__xludf.DUMMYFUNCTION("""COMPUTED_VALUE"""),"3 mos")</f>
        <v>3 mos</v>
      </c>
      <c r="H474" s="1" t="str">
        <f>IFERROR(__xludf.DUMMYFUNCTION("""COMPUTED_VALUE"""),"comment")</f>
        <v>comment</v>
      </c>
      <c r="I474" s="2" t="str">
        <f>IFERROR(__xludf.DUMMYFUNCTION("""COMPUTED_VALUE"""),"https://www.facebook.com/rapplerdotcom/photos/a.317154781638645/5597592673594803/")</f>
        <v>https://www.facebook.com/rapplerdotcom/photos/a.317154781638645/5597592673594803/</v>
      </c>
      <c r="J474" s="1" t="str">
        <f>IFERROR(__xludf.DUMMYFUNCTION("""COMPUTED_VALUE"""),"2022-07-04T11:12:52.612Z")</f>
        <v>2022-07-04T11:12:52.612Z</v>
      </c>
      <c r="K474" s="1"/>
    </row>
    <row r="475">
      <c r="A475" s="2" t="str">
        <f>IFERROR(__xludf.DUMMYFUNCTION("""COMPUTED_VALUE"""),"https://www.facebook.com/rechellgastardo.gordonas")</f>
        <v>https://www.facebook.com/rechellgastardo.gordonas</v>
      </c>
      <c r="B475" s="1" t="str">
        <f>IFERROR(__xludf.DUMMYFUNCTION("""COMPUTED_VALUE"""),"Re Chell")</f>
        <v>Re Chell</v>
      </c>
      <c r="C475" s="1" t="str">
        <f>IFERROR(__xludf.DUMMYFUNCTION("""COMPUTED_VALUE"""),"Re")</f>
        <v>Re</v>
      </c>
      <c r="D475" s="1" t="str">
        <f>IFERROR(__xludf.DUMMYFUNCTION("""COMPUTED_VALUE"""),"Chell")</f>
        <v>Chell</v>
      </c>
      <c r="E475" s="1" t="str">
        <f>IFERROR(__xludf.DUMMYFUNCTION("""COMPUTED_VALUE"""),"Einavanie Bonga agree")</f>
        <v>Einavanie Bonga agree</v>
      </c>
      <c r="F475" s="1">
        <f>IFERROR(__xludf.DUMMYFUNCTION("""COMPUTED_VALUE"""),1.0)</f>
        <v>1</v>
      </c>
      <c r="G475" s="1" t="str">
        <f>IFERROR(__xludf.DUMMYFUNCTION("""COMPUTED_VALUE"""),"3 mos")</f>
        <v>3 mos</v>
      </c>
      <c r="H475" s="1" t="str">
        <f>IFERROR(__xludf.DUMMYFUNCTION("""COMPUTED_VALUE"""),"reply")</f>
        <v>reply</v>
      </c>
      <c r="I475" s="2" t="str">
        <f>IFERROR(__xludf.DUMMYFUNCTION("""COMPUTED_VALUE"""),"https://www.facebook.com/rapplerdotcom/photos/a.317154781638645/5597592673594803/")</f>
        <v>https://www.facebook.com/rapplerdotcom/photos/a.317154781638645/5597592673594803/</v>
      </c>
      <c r="J475" s="1" t="str">
        <f>IFERROR(__xludf.DUMMYFUNCTION("""COMPUTED_VALUE"""),"2022-07-04T11:12:52.612Z")</f>
        <v>2022-07-04T11:12:52.612Z</v>
      </c>
      <c r="K475" s="1"/>
    </row>
    <row r="476">
      <c r="A476" s="2" t="str">
        <f>IFERROR(__xludf.DUMMYFUNCTION("""COMPUTED_VALUE"""),"https://www.facebook.com/profile.php?id=100076074789897")</f>
        <v>https://www.facebook.com/profile.php?id=100076074789897</v>
      </c>
      <c r="B476" s="1" t="str">
        <f>IFERROR(__xludf.DUMMYFUNCTION("""COMPUTED_VALUE"""),"Jesie Lanie")</f>
        <v>Jesie Lanie</v>
      </c>
      <c r="C476" s="1" t="str">
        <f>IFERROR(__xludf.DUMMYFUNCTION("""COMPUTED_VALUE"""),"Jesie")</f>
        <v>Jesie</v>
      </c>
      <c r="D476" s="1" t="str">
        <f>IFERROR(__xludf.DUMMYFUNCTION("""COMPUTED_VALUE"""),"Lanie")</f>
        <v>Lanie</v>
      </c>
      <c r="E476" s="1" t="str">
        <f>IFERROR(__xludf.DUMMYFUNCTION("""COMPUTED_VALUE"""),"Einavanie Bonga nakakahiya sumuporta sa kandidatong hinahayaang masira ang pamilya sa ngalan ng pulitika")</f>
        <v>Einavanie Bonga nakakahiya sumuporta sa kandidatong hinahayaang masira ang pamilya sa ngalan ng pulitika</v>
      </c>
      <c r="F476" s="1">
        <f>IFERROR(__xludf.DUMMYFUNCTION("""COMPUTED_VALUE"""),3.0)</f>
        <v>3</v>
      </c>
      <c r="G476" s="1" t="str">
        <f>IFERROR(__xludf.DUMMYFUNCTION("""COMPUTED_VALUE"""),"3 mos")</f>
        <v>3 mos</v>
      </c>
      <c r="H476" s="1" t="str">
        <f>IFERROR(__xludf.DUMMYFUNCTION("""COMPUTED_VALUE"""),"reply")</f>
        <v>reply</v>
      </c>
      <c r="I476" s="2" t="str">
        <f>IFERROR(__xludf.DUMMYFUNCTION("""COMPUTED_VALUE"""),"https://www.facebook.com/rapplerdotcom/photos/a.317154781638645/5597592673594803/")</f>
        <v>https://www.facebook.com/rapplerdotcom/photos/a.317154781638645/5597592673594803/</v>
      </c>
      <c r="J476" s="1" t="str">
        <f>IFERROR(__xludf.DUMMYFUNCTION("""COMPUTED_VALUE"""),"2022-07-04T11:12:52.612Z")</f>
        <v>2022-07-04T11:12:52.612Z</v>
      </c>
      <c r="K476" s="1"/>
    </row>
    <row r="477">
      <c r="A477" s="2" t="str">
        <f>IFERROR(__xludf.DUMMYFUNCTION("""COMPUTED_VALUE"""),"https://www.facebook.com/profile.php?id=100075263366177")</f>
        <v>https://www.facebook.com/profile.php?id=100075263366177</v>
      </c>
      <c r="B477" s="1" t="str">
        <f>IFERROR(__xludf.DUMMYFUNCTION("""COMPUTED_VALUE"""),"Ebeth Quinto")</f>
        <v>Ebeth Quinto</v>
      </c>
      <c r="C477" s="1" t="str">
        <f>IFERROR(__xludf.DUMMYFUNCTION("""COMPUTED_VALUE"""),"Ebeth")</f>
        <v>Ebeth</v>
      </c>
      <c r="D477" s="1" t="str">
        <f>IFERROR(__xludf.DUMMYFUNCTION("""COMPUTED_VALUE"""),"Quinto")</f>
        <v>Quinto</v>
      </c>
      <c r="E477" s="1" t="str">
        <f>IFERROR(__xludf.DUMMYFUNCTION("""COMPUTED_VALUE"""),"Kawawang kabataan, walang Alam itulong sa bayan")</f>
        <v>Kawawang kabataan, walang Alam itulong sa bayan</v>
      </c>
      <c r="F477" s="1">
        <f>IFERROR(__xludf.DUMMYFUNCTION("""COMPUTED_VALUE"""),6.0)</f>
        <v>6</v>
      </c>
      <c r="G477" s="1" t="str">
        <f>IFERROR(__xludf.DUMMYFUNCTION("""COMPUTED_VALUE"""),"3 mos")</f>
        <v>3 mos</v>
      </c>
      <c r="H477" s="1" t="str">
        <f>IFERROR(__xludf.DUMMYFUNCTION("""COMPUTED_VALUE"""),"comment")</f>
        <v>comment</v>
      </c>
      <c r="I477" s="2" t="str">
        <f>IFERROR(__xludf.DUMMYFUNCTION("""COMPUTED_VALUE"""),"https://www.facebook.com/rapplerdotcom/photos/a.317154781638645/5597592673594803/")</f>
        <v>https://www.facebook.com/rapplerdotcom/photos/a.317154781638645/5597592673594803/</v>
      </c>
      <c r="J477" s="1" t="str">
        <f>IFERROR(__xludf.DUMMYFUNCTION("""COMPUTED_VALUE"""),"2022-07-04T11:12:52.612Z")</f>
        <v>2022-07-04T11:12:52.612Z</v>
      </c>
      <c r="K477" s="1"/>
    </row>
    <row r="478">
      <c r="A478" s="2" t="str">
        <f>IFERROR(__xludf.DUMMYFUNCTION("""COMPUTED_VALUE"""),"https://www.facebook.com/joe.biro.1840")</f>
        <v>https://www.facebook.com/joe.biro.1840</v>
      </c>
      <c r="B478" s="1" t="str">
        <f>IFERROR(__xludf.DUMMYFUNCTION("""COMPUTED_VALUE"""),"Joe Biro")</f>
        <v>Joe Biro</v>
      </c>
      <c r="C478" s="1" t="str">
        <f>IFERROR(__xludf.DUMMYFUNCTION("""COMPUTED_VALUE"""),"Joe")</f>
        <v>Joe</v>
      </c>
      <c r="D478" s="1" t="str">
        <f>IFERROR(__xludf.DUMMYFUNCTION("""COMPUTED_VALUE"""),"Biro")</f>
        <v>Biro</v>
      </c>
      <c r="E478" s="1" t="str">
        <f>IFERROR(__xludf.DUMMYFUNCTION("""COMPUTED_VALUE"""),"Good. They have a chance to meet their chosen leaders.")</f>
        <v>Good. They have a chance to meet their chosen leaders.</v>
      </c>
      <c r="F478" s="1">
        <f>IFERROR(__xludf.DUMMYFUNCTION("""COMPUTED_VALUE"""),8.0)</f>
        <v>8</v>
      </c>
      <c r="G478" s="1" t="str">
        <f>IFERROR(__xludf.DUMMYFUNCTION("""COMPUTED_VALUE"""),"3 mos")</f>
        <v>3 mos</v>
      </c>
      <c r="H478" s="1" t="str">
        <f>IFERROR(__xludf.DUMMYFUNCTION("""COMPUTED_VALUE"""),"comment")</f>
        <v>comment</v>
      </c>
      <c r="I478" s="2" t="str">
        <f>IFERROR(__xludf.DUMMYFUNCTION("""COMPUTED_VALUE"""),"https://www.facebook.com/rapplerdotcom/photos/a.317154781638645/5597592673594803/")</f>
        <v>https://www.facebook.com/rapplerdotcom/photos/a.317154781638645/5597592673594803/</v>
      </c>
      <c r="J478" s="1" t="str">
        <f>IFERROR(__xludf.DUMMYFUNCTION("""COMPUTED_VALUE"""),"2022-07-04T11:12:52.612Z")</f>
        <v>2022-07-04T11:12:52.612Z</v>
      </c>
      <c r="K478" s="1"/>
    </row>
    <row r="479">
      <c r="A479" s="2" t="str">
        <f>IFERROR(__xludf.DUMMYFUNCTION("""COMPUTED_VALUE"""),"https://www.facebook.com/joseangelo.ong")</f>
        <v>https://www.facebook.com/joseangelo.ong</v>
      </c>
      <c r="B479" s="1" t="str">
        <f>IFERROR(__xludf.DUMMYFUNCTION("""COMPUTED_VALUE"""),"Jose Angelo Estor Ong")</f>
        <v>Jose Angelo Estor Ong</v>
      </c>
      <c r="C479" s="1" t="str">
        <f>IFERROR(__xludf.DUMMYFUNCTION("""COMPUTED_VALUE"""),"Jose")</f>
        <v>Jose</v>
      </c>
      <c r="D479" s="1" t="str">
        <f>IFERROR(__xludf.DUMMYFUNCTION("""COMPUTED_VALUE"""),"Angelo Estor Ong")</f>
        <v>Angelo Estor Ong</v>
      </c>
      <c r="E479" s="1" t="str">
        <f>IFERROR(__xludf.DUMMYFUNCTION("""COMPUTED_VALUE"""),"🤬🤮 yan ang Unithieves.")</f>
        <v>🤬🤮 yan ang Unithieves.</v>
      </c>
      <c r="F479" s="1">
        <f>IFERROR(__xludf.DUMMYFUNCTION("""COMPUTED_VALUE"""),9.0)</f>
        <v>9</v>
      </c>
      <c r="G479" s="1" t="str">
        <f>IFERROR(__xludf.DUMMYFUNCTION("""COMPUTED_VALUE"""),"3 mos")</f>
        <v>3 mos</v>
      </c>
      <c r="H479" s="1" t="str">
        <f>IFERROR(__xludf.DUMMYFUNCTION("""COMPUTED_VALUE"""),"comment")</f>
        <v>comment</v>
      </c>
      <c r="I479" s="2" t="str">
        <f>IFERROR(__xludf.DUMMYFUNCTION("""COMPUTED_VALUE"""),"https://www.facebook.com/rapplerdotcom/photos/a.317154781638645/5597592673594803/")</f>
        <v>https://www.facebook.com/rapplerdotcom/photos/a.317154781638645/5597592673594803/</v>
      </c>
      <c r="J479" s="1" t="str">
        <f>IFERROR(__xludf.DUMMYFUNCTION("""COMPUTED_VALUE"""),"2022-07-04T11:12:52.612Z")</f>
        <v>2022-07-04T11:12:52.612Z</v>
      </c>
      <c r="K479" s="1"/>
    </row>
    <row r="480">
      <c r="A480" s="2" t="str">
        <f>IFERROR(__xludf.DUMMYFUNCTION("""COMPUTED_VALUE"""),"https://www.facebook.com/rubysegurado.daculan")</f>
        <v>https://www.facebook.com/rubysegurado.daculan</v>
      </c>
      <c r="B480" s="1" t="str">
        <f>IFERROR(__xludf.DUMMYFUNCTION("""COMPUTED_VALUE"""),"Ruby Segurado Daculan")</f>
        <v>Ruby Segurado Daculan</v>
      </c>
      <c r="C480" s="1" t="str">
        <f>IFERROR(__xludf.DUMMYFUNCTION("""COMPUTED_VALUE"""),"Ruby")</f>
        <v>Ruby</v>
      </c>
      <c r="D480" s="1" t="str">
        <f>IFERROR(__xludf.DUMMYFUNCTION("""COMPUTED_VALUE"""),"Segurado Daculan")</f>
        <v>Segurado Daculan</v>
      </c>
      <c r="E480" s="1" t="str">
        <f>IFERROR(__xludf.DUMMYFUNCTION("""COMPUTED_VALUE"""),"Jose Angelo Estor Ong hindi nyo lang matanggap na kahit taga gensan kami part ng mindanao,pero ang support namin para kay UNITEAM....may kanya kanya tayong gusto kaya respetohin natin ang bawat isa,,,hintayin nalang natin ang may 9...at doon malalaman nat"&amp;"in ang tinadhana....may the best candidates win,,,in Gods will...God bless boy...")</f>
        <v>Jose Angelo Estor Ong hindi nyo lang matanggap na kahit taga gensan kami part ng mindanao,pero ang support namin para kay UNITEAM....may kanya kanya tayong gusto kaya respetohin natin ang bawat isa,,,hintayin nalang natin ang may 9...at doon malalaman natin ang tinadhana....may the best candidates win,,,in Gods will...God bless boy...</v>
      </c>
      <c r="F480" s="1">
        <f>IFERROR(__xludf.DUMMYFUNCTION("""COMPUTED_VALUE"""),6.0)</f>
        <v>6</v>
      </c>
      <c r="G480" s="1" t="str">
        <f>IFERROR(__xludf.DUMMYFUNCTION("""COMPUTED_VALUE"""),"3 mos")</f>
        <v>3 mos</v>
      </c>
      <c r="H480" s="1" t="str">
        <f>IFERROR(__xludf.DUMMYFUNCTION("""COMPUTED_VALUE"""),"reply")</f>
        <v>reply</v>
      </c>
      <c r="I480" s="2" t="str">
        <f>IFERROR(__xludf.DUMMYFUNCTION("""COMPUTED_VALUE"""),"https://www.facebook.com/rapplerdotcom/photos/a.317154781638645/5597592673594803/")</f>
        <v>https://www.facebook.com/rapplerdotcom/photos/a.317154781638645/5597592673594803/</v>
      </c>
      <c r="J480" s="1" t="str">
        <f>IFERROR(__xludf.DUMMYFUNCTION("""COMPUTED_VALUE"""),"2022-07-04T11:12:52.612Z")</f>
        <v>2022-07-04T11:12:52.612Z</v>
      </c>
      <c r="K480" s="1"/>
    </row>
    <row r="481">
      <c r="A481" s="2" t="str">
        <f>IFERROR(__xludf.DUMMYFUNCTION("""COMPUTED_VALUE"""),"https://www.facebook.com/shirben.bensurto")</f>
        <v>https://www.facebook.com/shirben.bensurto</v>
      </c>
      <c r="B481" s="1" t="str">
        <f>IFERROR(__xludf.DUMMYFUNCTION("""COMPUTED_VALUE"""),"Shirben Damaso Bensurto")</f>
        <v>Shirben Damaso Bensurto</v>
      </c>
      <c r="C481" s="1" t="str">
        <f>IFERROR(__xludf.DUMMYFUNCTION("""COMPUTED_VALUE"""),"Shirben")</f>
        <v>Shirben</v>
      </c>
      <c r="D481" s="1" t="str">
        <f>IFERROR(__xludf.DUMMYFUNCTION("""COMPUTED_VALUE"""),"Damaso Bensurto")</f>
        <v>Damaso Bensurto</v>
      </c>
      <c r="E481" s="1" t="str">
        <f>IFERROR(__xludf.DUMMYFUNCTION("""COMPUTED_VALUE"""),"Mga 1million to na crowd 💪💪💪")</f>
        <v>Mga 1million to na crowd 💪💪💪</v>
      </c>
      <c r="F481" s="1">
        <f>IFERROR(__xludf.DUMMYFUNCTION("""COMPUTED_VALUE"""),8.0)</f>
        <v>8</v>
      </c>
      <c r="G481" s="1" t="str">
        <f>IFERROR(__xludf.DUMMYFUNCTION("""COMPUTED_VALUE"""),"3 mos")</f>
        <v>3 mos</v>
      </c>
      <c r="H481" s="1" t="str">
        <f>IFERROR(__xludf.DUMMYFUNCTION("""COMPUTED_VALUE"""),"comment")</f>
        <v>comment</v>
      </c>
      <c r="I481" s="2" t="str">
        <f>IFERROR(__xludf.DUMMYFUNCTION("""COMPUTED_VALUE"""),"https://www.facebook.com/rapplerdotcom/photos/a.317154781638645/5597592673594803/")</f>
        <v>https://www.facebook.com/rapplerdotcom/photos/a.317154781638645/5597592673594803/</v>
      </c>
      <c r="J481" s="1" t="str">
        <f>IFERROR(__xludf.DUMMYFUNCTION("""COMPUTED_VALUE"""),"2022-07-04T11:12:52.612Z")</f>
        <v>2022-07-04T11:12:52.612Z</v>
      </c>
      <c r="K481" s="1"/>
    </row>
    <row r="482">
      <c r="A482" s="2" t="str">
        <f>IFERROR(__xludf.DUMMYFUNCTION("""COMPUTED_VALUE"""),"https://www.facebook.com/christian.vicente.104")</f>
        <v>https://www.facebook.com/christian.vicente.104</v>
      </c>
      <c r="B482" s="1" t="str">
        <f>IFERROR(__xludf.DUMMYFUNCTION("""COMPUTED_VALUE"""),"Christian Vicente")</f>
        <v>Christian Vicente</v>
      </c>
      <c r="C482" s="1" t="str">
        <f>IFERROR(__xludf.DUMMYFUNCTION("""COMPUTED_VALUE"""),"Christian")</f>
        <v>Christian</v>
      </c>
      <c r="D482" s="1" t="str">
        <f>IFERROR(__xludf.DUMMYFUNCTION("""COMPUTED_VALUE"""),"Vicente")</f>
        <v>Vicente</v>
      </c>
      <c r="E482" s="1" t="str">
        <f>IFERROR(__xludf.DUMMYFUNCTION("""COMPUTED_VALUE"""),"Shirben Damaso Bensurto true!")</f>
        <v>Shirben Damaso Bensurto true!</v>
      </c>
      <c r="F482" s="1"/>
      <c r="G482" s="1" t="str">
        <f>IFERROR(__xludf.DUMMYFUNCTION("""COMPUTED_VALUE"""),"3 mos")</f>
        <v>3 mos</v>
      </c>
      <c r="H482" s="1" t="str">
        <f>IFERROR(__xludf.DUMMYFUNCTION("""COMPUTED_VALUE"""),"reply")</f>
        <v>reply</v>
      </c>
      <c r="I482" s="2" t="str">
        <f>IFERROR(__xludf.DUMMYFUNCTION("""COMPUTED_VALUE"""),"https://www.facebook.com/rapplerdotcom/photos/a.317154781638645/5597592673594803/")</f>
        <v>https://www.facebook.com/rapplerdotcom/photos/a.317154781638645/5597592673594803/</v>
      </c>
      <c r="J482" s="1" t="str">
        <f>IFERROR(__xludf.DUMMYFUNCTION("""COMPUTED_VALUE"""),"2022-07-04T11:12:52.612Z")</f>
        <v>2022-07-04T11:12:52.612Z</v>
      </c>
      <c r="K482" s="1"/>
    </row>
    <row r="483">
      <c r="A483" s="2" t="str">
        <f>IFERROR(__xludf.DUMMYFUNCTION("""COMPUTED_VALUE"""),"https://www.facebook.com/silvino.lingan")</f>
        <v>https://www.facebook.com/silvino.lingan</v>
      </c>
      <c r="B483" s="1" t="str">
        <f>IFERROR(__xludf.DUMMYFUNCTION("""COMPUTED_VALUE"""),"Silvino Lingan")</f>
        <v>Silvino Lingan</v>
      </c>
      <c r="C483" s="1" t="str">
        <f>IFERROR(__xludf.DUMMYFUNCTION("""COMPUTED_VALUE"""),"Silvino")</f>
        <v>Silvino</v>
      </c>
      <c r="D483" s="1" t="str">
        <f>IFERROR(__xludf.DUMMYFUNCTION("""COMPUTED_VALUE"""),"Lingan")</f>
        <v>Lingan</v>
      </c>
      <c r="E483" s="1" t="str">
        <f>IFERROR(__xludf.DUMMYFUNCTION("""COMPUTED_VALUE"""),"Shirben Damaso Bensurto 203 billions na crowd yan")</f>
        <v>Shirben Damaso Bensurto 203 billions na crowd yan</v>
      </c>
      <c r="F483" s="1">
        <f>IFERROR(__xludf.DUMMYFUNCTION("""COMPUTED_VALUE"""),7.0)</f>
        <v>7</v>
      </c>
      <c r="G483" s="1" t="str">
        <f>IFERROR(__xludf.DUMMYFUNCTION("""COMPUTED_VALUE"""),"3 mos")</f>
        <v>3 mos</v>
      </c>
      <c r="H483" s="1" t="str">
        <f>IFERROR(__xludf.DUMMYFUNCTION("""COMPUTED_VALUE"""),"reply")</f>
        <v>reply</v>
      </c>
      <c r="I483" s="2" t="str">
        <f>IFERROR(__xludf.DUMMYFUNCTION("""COMPUTED_VALUE"""),"https://www.facebook.com/rapplerdotcom/photos/a.317154781638645/5597592673594803/")</f>
        <v>https://www.facebook.com/rapplerdotcom/photos/a.317154781638645/5597592673594803/</v>
      </c>
      <c r="J483" s="1" t="str">
        <f>IFERROR(__xludf.DUMMYFUNCTION("""COMPUTED_VALUE"""),"2022-07-04T11:12:52.612Z")</f>
        <v>2022-07-04T11:12:52.612Z</v>
      </c>
      <c r="K483" s="1"/>
    </row>
    <row r="484">
      <c r="A484" s="2" t="str">
        <f>IFERROR(__xludf.DUMMYFUNCTION("""COMPUTED_VALUE"""),"https://www.facebook.com/jun.pereo")</f>
        <v>https://www.facebook.com/jun.pereo</v>
      </c>
      <c r="B484" s="1" t="str">
        <f>IFERROR(__xludf.DUMMYFUNCTION("""COMPUTED_VALUE"""),"Jay Penia")</f>
        <v>Jay Penia</v>
      </c>
      <c r="C484" s="1" t="str">
        <f>IFERROR(__xludf.DUMMYFUNCTION("""COMPUTED_VALUE"""),"Jay")</f>
        <v>Jay</v>
      </c>
      <c r="D484" s="1" t="str">
        <f>IFERROR(__xludf.DUMMYFUNCTION("""COMPUTED_VALUE"""),"Penia")</f>
        <v>Penia</v>
      </c>
      <c r="E484" s="1" t="str">
        <f>IFERROR(__xludf.DUMMYFUNCTION("""COMPUTED_VALUE"""),"Wag magmukhang 500 pesos isipin nyo ang kinabukasan nyo")</f>
        <v>Wag magmukhang 500 pesos isipin nyo ang kinabukasan nyo</v>
      </c>
      <c r="F484" s="1">
        <f>IFERROR(__xludf.DUMMYFUNCTION("""COMPUTED_VALUE"""),20.0)</f>
        <v>20</v>
      </c>
      <c r="G484" s="1" t="str">
        <f>IFERROR(__xludf.DUMMYFUNCTION("""COMPUTED_VALUE"""),"3 mos")</f>
        <v>3 mos</v>
      </c>
      <c r="H484" s="1" t="str">
        <f>IFERROR(__xludf.DUMMYFUNCTION("""COMPUTED_VALUE"""),"comment")</f>
        <v>comment</v>
      </c>
      <c r="I484" s="2" t="str">
        <f>IFERROR(__xludf.DUMMYFUNCTION("""COMPUTED_VALUE"""),"https://www.facebook.com/rapplerdotcom/photos/a.317154781638645/5597592673594803/")</f>
        <v>https://www.facebook.com/rapplerdotcom/photos/a.317154781638645/5597592673594803/</v>
      </c>
      <c r="J484" s="1" t="str">
        <f>IFERROR(__xludf.DUMMYFUNCTION("""COMPUTED_VALUE"""),"2022-07-04T11:12:52.612Z")</f>
        <v>2022-07-04T11:12:52.612Z</v>
      </c>
      <c r="K484" s="1"/>
    </row>
    <row r="485">
      <c r="A485" s="2" t="str">
        <f>IFERROR(__xludf.DUMMYFUNCTION("""COMPUTED_VALUE"""),"https://www.facebook.com/christian.vicente.104")</f>
        <v>https://www.facebook.com/christian.vicente.104</v>
      </c>
      <c r="B485" s="1" t="str">
        <f>IFERROR(__xludf.DUMMYFUNCTION("""COMPUTED_VALUE"""),"Christian Vicente")</f>
        <v>Christian Vicente</v>
      </c>
      <c r="C485" s="1" t="str">
        <f>IFERROR(__xludf.DUMMYFUNCTION("""COMPUTED_VALUE"""),"Christian")</f>
        <v>Christian</v>
      </c>
      <c r="D485" s="1" t="str">
        <f>IFERROR(__xludf.DUMMYFUNCTION("""COMPUTED_VALUE"""),"Vicente")</f>
        <v>Vicente</v>
      </c>
      <c r="E485" s="1" t="str">
        <f>IFERROR(__xludf.DUMMYFUNCTION("""COMPUTED_VALUE"""),"Jun Pereo ahahahaha.. iyakin")</f>
        <v>Jun Pereo ahahahaha.. iyakin</v>
      </c>
      <c r="F485" s="1"/>
      <c r="G485" s="1" t="str">
        <f>IFERROR(__xludf.DUMMYFUNCTION("""COMPUTED_VALUE"""),"3 mos")</f>
        <v>3 mos</v>
      </c>
      <c r="H485" s="1" t="str">
        <f>IFERROR(__xludf.DUMMYFUNCTION("""COMPUTED_VALUE"""),"reply")</f>
        <v>reply</v>
      </c>
      <c r="I485" s="2" t="str">
        <f>IFERROR(__xludf.DUMMYFUNCTION("""COMPUTED_VALUE"""),"https://www.facebook.com/rapplerdotcom/photos/a.317154781638645/5597592673594803/")</f>
        <v>https://www.facebook.com/rapplerdotcom/photos/a.317154781638645/5597592673594803/</v>
      </c>
      <c r="J485" s="1" t="str">
        <f>IFERROR(__xludf.DUMMYFUNCTION("""COMPUTED_VALUE"""),"2022-07-04T11:12:52.612Z")</f>
        <v>2022-07-04T11:12:52.612Z</v>
      </c>
      <c r="K485" s="1"/>
    </row>
    <row r="486">
      <c r="A486" s="2" t="str">
        <f>IFERROR(__xludf.DUMMYFUNCTION("""COMPUTED_VALUE"""),"https://www.facebook.com/miriam.muro.52")</f>
        <v>https://www.facebook.com/miriam.muro.52</v>
      </c>
      <c r="B486" s="1" t="str">
        <f>IFERROR(__xludf.DUMMYFUNCTION("""COMPUTED_VALUE"""),"Mimi Mimi")</f>
        <v>Mimi Mimi</v>
      </c>
      <c r="C486" s="1" t="str">
        <f>IFERROR(__xludf.DUMMYFUNCTION("""COMPUTED_VALUE"""),"Mimi")</f>
        <v>Mimi</v>
      </c>
      <c r="D486" s="1" t="str">
        <f>IFERROR(__xludf.DUMMYFUNCTION("""COMPUTED_VALUE"""),"Mimi")</f>
        <v>Mimi</v>
      </c>
      <c r="E486" s="1" t="str">
        <f>IFERROR(__xludf.DUMMYFUNCTION("""COMPUTED_VALUE"""),"Mimi Mimi")</f>
        <v>Mimi Mimi</v>
      </c>
      <c r="F486" s="1">
        <f>IFERROR(__xludf.DUMMYFUNCTION("""COMPUTED_VALUE"""),2.0)</f>
        <v>2</v>
      </c>
      <c r="G486" s="1" t="str">
        <f>IFERROR(__xludf.DUMMYFUNCTION("""COMPUTED_VALUE"""),"3 mos")</f>
        <v>3 mos</v>
      </c>
      <c r="H486" s="1" t="str">
        <f>IFERROR(__xludf.DUMMYFUNCTION("""COMPUTED_VALUE"""),"comment")</f>
        <v>comment</v>
      </c>
      <c r="I486" s="2" t="str">
        <f>IFERROR(__xludf.DUMMYFUNCTION("""COMPUTED_VALUE"""),"https://www.facebook.com/rapplerdotcom/photos/a.317154781638645/5597592673594803/")</f>
        <v>https://www.facebook.com/rapplerdotcom/photos/a.317154781638645/5597592673594803/</v>
      </c>
      <c r="J486" s="1" t="str">
        <f>IFERROR(__xludf.DUMMYFUNCTION("""COMPUTED_VALUE"""),"2022-07-04T11:12:52.612Z")</f>
        <v>2022-07-04T11:12:52.612Z</v>
      </c>
      <c r="K486" s="1"/>
    </row>
    <row r="487">
      <c r="A487" s="2" t="str">
        <f>IFERROR(__xludf.DUMMYFUNCTION("""COMPUTED_VALUE"""),"https://www.facebook.com/virgilio.panolino")</f>
        <v>https://www.facebook.com/virgilio.panolino</v>
      </c>
      <c r="B487" s="1" t="str">
        <f>IFERROR(__xludf.DUMMYFUNCTION("""COMPUTED_VALUE"""),"Bong Amar Panolino")</f>
        <v>Bong Amar Panolino</v>
      </c>
      <c r="C487" s="1" t="str">
        <f>IFERROR(__xludf.DUMMYFUNCTION("""COMPUTED_VALUE"""),"Bong")</f>
        <v>Bong</v>
      </c>
      <c r="D487" s="1" t="str">
        <f>IFERROR(__xludf.DUMMYFUNCTION("""COMPUTED_VALUE"""),"Amar Panolino")</f>
        <v>Amar Panolino</v>
      </c>
      <c r="E487" s="1" t="str">
        <f>IFERROR(__xludf.DUMMYFUNCTION("""COMPUTED_VALUE"""),"Andyan na si Machiavellian.")</f>
        <v>Andyan na si Machiavellian.</v>
      </c>
      <c r="F487" s="1">
        <f>IFERROR(__xludf.DUMMYFUNCTION("""COMPUTED_VALUE"""),3.0)</f>
        <v>3</v>
      </c>
      <c r="G487" s="1" t="str">
        <f>IFERROR(__xludf.DUMMYFUNCTION("""COMPUTED_VALUE"""),"3 mos")</f>
        <v>3 mos</v>
      </c>
      <c r="H487" s="1" t="str">
        <f>IFERROR(__xludf.DUMMYFUNCTION("""COMPUTED_VALUE"""),"comment")</f>
        <v>comment</v>
      </c>
      <c r="I487" s="2" t="str">
        <f>IFERROR(__xludf.DUMMYFUNCTION("""COMPUTED_VALUE"""),"https://www.facebook.com/rapplerdotcom/photos/a.317154781638645/5597592673594803/")</f>
        <v>https://www.facebook.com/rapplerdotcom/photos/a.317154781638645/5597592673594803/</v>
      </c>
      <c r="J487" s="1" t="str">
        <f>IFERROR(__xludf.DUMMYFUNCTION("""COMPUTED_VALUE"""),"2022-07-04T11:12:52.612Z")</f>
        <v>2022-07-04T11:12:52.612Z</v>
      </c>
      <c r="K487" s="1"/>
    </row>
    <row r="488">
      <c r="A488" s="2" t="str">
        <f>IFERROR(__xludf.DUMMYFUNCTION("""COMPUTED_VALUE"""),"https://www.facebook.com/chris.posiquit.3")</f>
        <v>https://www.facebook.com/chris.posiquit.3</v>
      </c>
      <c r="B488" s="1" t="str">
        <f>IFERROR(__xludf.DUMMYFUNCTION("""COMPUTED_VALUE"""),"Chris Posiquit")</f>
        <v>Chris Posiquit</v>
      </c>
      <c r="C488" s="1" t="str">
        <f>IFERROR(__xludf.DUMMYFUNCTION("""COMPUTED_VALUE"""),"Chris")</f>
        <v>Chris</v>
      </c>
      <c r="D488" s="1" t="str">
        <f>IFERROR(__xludf.DUMMYFUNCTION("""COMPUTED_VALUE"""),"Posiquit")</f>
        <v>Posiquit</v>
      </c>
      <c r="E488" s="1" t="str">
        <f>IFERROR(__xludf.DUMMYFUNCTION("""COMPUTED_VALUE"""),"Barya lng mga Yan sa mga kakampink dyan sa GenSan.")</f>
        <v>Barya lng mga Yan sa mga kakampink dyan sa GenSan.</v>
      </c>
      <c r="F488" s="1">
        <f>IFERROR(__xludf.DUMMYFUNCTION("""COMPUTED_VALUE"""),3.0)</f>
        <v>3</v>
      </c>
      <c r="G488" s="1" t="str">
        <f>IFERROR(__xludf.DUMMYFUNCTION("""COMPUTED_VALUE"""),"3 mos")</f>
        <v>3 mos</v>
      </c>
      <c r="H488" s="1" t="str">
        <f>IFERROR(__xludf.DUMMYFUNCTION("""COMPUTED_VALUE"""),"comment")</f>
        <v>comment</v>
      </c>
      <c r="I488" s="2" t="str">
        <f>IFERROR(__xludf.DUMMYFUNCTION("""COMPUTED_VALUE"""),"https://www.facebook.com/rapplerdotcom/photos/a.317154781638645/5597592673594803/")</f>
        <v>https://www.facebook.com/rapplerdotcom/photos/a.317154781638645/5597592673594803/</v>
      </c>
      <c r="J488" s="1" t="str">
        <f>IFERROR(__xludf.DUMMYFUNCTION("""COMPUTED_VALUE"""),"2022-07-04T11:12:52.612Z")</f>
        <v>2022-07-04T11:12:52.612Z</v>
      </c>
      <c r="K488" s="1"/>
    </row>
    <row r="489">
      <c r="A489" s="2" t="str">
        <f>IFERROR(__xludf.DUMMYFUNCTION("""COMPUTED_VALUE"""),"https://www.facebook.com/profile.php?id=100040658171991")</f>
        <v>https://www.facebook.com/profile.php?id=100040658171991</v>
      </c>
      <c r="B489" s="1" t="str">
        <f>IFERROR(__xludf.DUMMYFUNCTION("""COMPUTED_VALUE"""),"Ben Jammin")</f>
        <v>Ben Jammin</v>
      </c>
      <c r="C489" s="1" t="str">
        <f>IFERROR(__xludf.DUMMYFUNCTION("""COMPUTED_VALUE"""),"Ben")</f>
        <v>Ben</v>
      </c>
      <c r="D489" s="1" t="str">
        <f>IFERROR(__xludf.DUMMYFUNCTION("""COMPUTED_VALUE"""),"Jammin")</f>
        <v>Jammin</v>
      </c>
      <c r="E489" s="1" t="str">
        <f>IFERROR(__xludf.DUMMYFUNCTION("""COMPUTED_VALUE"""),"Ben Jammin")</f>
        <v>Ben Jammin</v>
      </c>
      <c r="F489" s="1">
        <f>IFERROR(__xludf.DUMMYFUNCTION("""COMPUTED_VALUE"""),13.0)</f>
        <v>13</v>
      </c>
      <c r="G489" s="1" t="str">
        <f>IFERROR(__xludf.DUMMYFUNCTION("""COMPUTED_VALUE"""),"3 mos")</f>
        <v>3 mos</v>
      </c>
      <c r="H489" s="1" t="str">
        <f>IFERROR(__xludf.DUMMYFUNCTION("""COMPUTED_VALUE"""),"comment")</f>
        <v>comment</v>
      </c>
      <c r="I489" s="2" t="str">
        <f>IFERROR(__xludf.DUMMYFUNCTION("""COMPUTED_VALUE"""),"https://www.facebook.com/rapplerdotcom/photos/a.317154781638645/5597592673594803/")</f>
        <v>https://www.facebook.com/rapplerdotcom/photos/a.317154781638645/5597592673594803/</v>
      </c>
      <c r="J489" s="1" t="str">
        <f>IFERROR(__xludf.DUMMYFUNCTION("""COMPUTED_VALUE"""),"2022-07-04T11:12:52.612Z")</f>
        <v>2022-07-04T11:12:52.612Z</v>
      </c>
      <c r="K489" s="1"/>
    </row>
    <row r="490">
      <c r="A490" s="2" t="str">
        <f>IFERROR(__xludf.DUMMYFUNCTION("""COMPUTED_VALUE"""),"https://www.facebook.com/sylvz.serranoadona")</f>
        <v>https://www.facebook.com/sylvz.serranoadona</v>
      </c>
      <c r="B490" s="1" t="str">
        <f>IFERROR(__xludf.DUMMYFUNCTION("""COMPUTED_VALUE"""),"Syl Via")</f>
        <v>Syl Via</v>
      </c>
      <c r="C490" s="1" t="str">
        <f>IFERROR(__xludf.DUMMYFUNCTION("""COMPUTED_VALUE"""),"Syl")</f>
        <v>Syl</v>
      </c>
      <c r="D490" s="1" t="str">
        <f>IFERROR(__xludf.DUMMYFUNCTION("""COMPUTED_VALUE"""),"Via")</f>
        <v>Via</v>
      </c>
      <c r="E490" s="1" t="str">
        <f>IFERROR(__xludf.DUMMYFUNCTION("""COMPUTED_VALUE"""),"Vote for Pacquio instead of unithieves")</f>
        <v>Vote for Pacquio instead of unithieves</v>
      </c>
      <c r="F490" s="1">
        <f>IFERROR(__xludf.DUMMYFUNCTION("""COMPUTED_VALUE"""),32.0)</f>
        <v>32</v>
      </c>
      <c r="G490" s="1" t="str">
        <f>IFERROR(__xludf.DUMMYFUNCTION("""COMPUTED_VALUE"""),"3 mos")</f>
        <v>3 mos</v>
      </c>
      <c r="H490" s="1" t="str">
        <f>IFERROR(__xludf.DUMMYFUNCTION("""COMPUTED_VALUE"""),"comment")</f>
        <v>comment</v>
      </c>
      <c r="I490" s="2" t="str">
        <f>IFERROR(__xludf.DUMMYFUNCTION("""COMPUTED_VALUE"""),"https://www.facebook.com/rapplerdotcom/photos/a.317154781638645/5597592673594803/")</f>
        <v>https://www.facebook.com/rapplerdotcom/photos/a.317154781638645/5597592673594803/</v>
      </c>
      <c r="J490" s="1" t="str">
        <f>IFERROR(__xludf.DUMMYFUNCTION("""COMPUTED_VALUE"""),"2022-07-04T11:12:52.612Z")</f>
        <v>2022-07-04T11:12:52.612Z</v>
      </c>
      <c r="K490" s="1"/>
    </row>
    <row r="491">
      <c r="A491" s="2" t="str">
        <f>IFERROR(__xludf.DUMMYFUNCTION("""COMPUTED_VALUE"""),"https://www.facebook.com/shirley.narra")</f>
        <v>https://www.facebook.com/shirley.narra</v>
      </c>
      <c r="B491" s="1" t="str">
        <f>IFERROR(__xludf.DUMMYFUNCTION("""COMPUTED_VALUE"""),"Shirley Payas Narra")</f>
        <v>Shirley Payas Narra</v>
      </c>
      <c r="C491" s="1" t="str">
        <f>IFERROR(__xludf.DUMMYFUNCTION("""COMPUTED_VALUE"""),"Shirley")</f>
        <v>Shirley</v>
      </c>
      <c r="D491" s="1" t="str">
        <f>IFERROR(__xludf.DUMMYFUNCTION("""COMPUTED_VALUE"""),"Payas Narra")</f>
        <v>Payas Narra</v>
      </c>
      <c r="E491" s="1" t="str">
        <f>IFERROR(__xludf.DUMMYFUNCTION("""COMPUTED_VALUE"""),"Syl Via Sa inyo na c Pacquiao🤣")</f>
        <v>Syl Via Sa inyo na c Pacquiao🤣</v>
      </c>
      <c r="F491" s="1">
        <f>IFERROR(__xludf.DUMMYFUNCTION("""COMPUTED_VALUE"""),2.0)</f>
        <v>2</v>
      </c>
      <c r="G491" s="1" t="str">
        <f>IFERROR(__xludf.DUMMYFUNCTION("""COMPUTED_VALUE"""),"3 mos")</f>
        <v>3 mos</v>
      </c>
      <c r="H491" s="1" t="str">
        <f>IFERROR(__xludf.DUMMYFUNCTION("""COMPUTED_VALUE"""),"reply")</f>
        <v>reply</v>
      </c>
      <c r="I491" s="2" t="str">
        <f>IFERROR(__xludf.DUMMYFUNCTION("""COMPUTED_VALUE"""),"https://www.facebook.com/rapplerdotcom/photos/a.317154781638645/5597592673594803/")</f>
        <v>https://www.facebook.com/rapplerdotcom/photos/a.317154781638645/5597592673594803/</v>
      </c>
      <c r="J491" s="1" t="str">
        <f>IFERROR(__xludf.DUMMYFUNCTION("""COMPUTED_VALUE"""),"2022-07-04T11:12:52.612Z")</f>
        <v>2022-07-04T11:12:52.612Z</v>
      </c>
      <c r="K491" s="1"/>
    </row>
    <row r="492">
      <c r="A492" s="2" t="str">
        <f>IFERROR(__xludf.DUMMYFUNCTION("""COMPUTED_VALUE"""),"https://www.facebook.com/profile.php?id=100070422307214")</f>
        <v>https://www.facebook.com/profile.php?id=100070422307214</v>
      </c>
      <c r="B492" s="1" t="str">
        <f>IFERROR(__xludf.DUMMYFUNCTION("""COMPUTED_VALUE"""),"Norlyn Joyce Ganio")</f>
        <v>Norlyn Joyce Ganio</v>
      </c>
      <c r="C492" s="1" t="str">
        <f>IFERROR(__xludf.DUMMYFUNCTION("""COMPUTED_VALUE"""),"Norlyn")</f>
        <v>Norlyn</v>
      </c>
      <c r="D492" s="1" t="str">
        <f>IFERROR(__xludf.DUMMYFUNCTION("""COMPUTED_VALUE"""),"Joyce Ganio")</f>
        <v>Joyce Ganio</v>
      </c>
      <c r="E492" s="1" t="str">
        <f>IFERROR(__xludf.DUMMYFUNCTION("""COMPUTED_VALUE"""),"🤮")</f>
        <v>🤮</v>
      </c>
      <c r="F492" s="1"/>
      <c r="G492" s="1" t="str">
        <f>IFERROR(__xludf.DUMMYFUNCTION("""COMPUTED_VALUE"""),"3 mos")</f>
        <v>3 mos</v>
      </c>
      <c r="H492" s="1" t="str">
        <f>IFERROR(__xludf.DUMMYFUNCTION("""COMPUTED_VALUE"""),"reply")</f>
        <v>reply</v>
      </c>
      <c r="I492" s="2" t="str">
        <f>IFERROR(__xludf.DUMMYFUNCTION("""COMPUTED_VALUE"""),"https://www.facebook.com/rapplerdotcom/photos/a.317154781638645/5597592673594803/")</f>
        <v>https://www.facebook.com/rapplerdotcom/photos/a.317154781638645/5597592673594803/</v>
      </c>
      <c r="J492" s="1" t="str">
        <f>IFERROR(__xludf.DUMMYFUNCTION("""COMPUTED_VALUE"""),"2022-07-04T11:12:52.612Z")</f>
        <v>2022-07-04T11:12:52.612Z</v>
      </c>
      <c r="K492" s="1"/>
    </row>
    <row r="493">
      <c r="A493" s="2" t="str">
        <f>IFERROR(__xludf.DUMMYFUNCTION("""COMPUTED_VALUE"""),"https://www.facebook.com/christian.vicente.104")</f>
        <v>https://www.facebook.com/christian.vicente.104</v>
      </c>
      <c r="B493" s="1" t="str">
        <f>IFERROR(__xludf.DUMMYFUNCTION("""COMPUTED_VALUE"""),"Christian Vicente")</f>
        <v>Christian Vicente</v>
      </c>
      <c r="C493" s="1" t="str">
        <f>IFERROR(__xludf.DUMMYFUNCTION("""COMPUTED_VALUE"""),"Christian")</f>
        <v>Christian</v>
      </c>
      <c r="D493" s="1" t="str">
        <f>IFERROR(__xludf.DUMMYFUNCTION("""COMPUTED_VALUE"""),"Vicente")</f>
        <v>Vicente</v>
      </c>
      <c r="E493" s="1" t="str">
        <f>IFERROR(__xludf.DUMMYFUNCTION("""COMPUTED_VALUE"""),"Syl Via vote for 2 joints! its organic! dont panic! hahaha")</f>
        <v>Syl Via vote for 2 joints! its organic! dont panic! hahaha</v>
      </c>
      <c r="F493" s="1">
        <f>IFERROR(__xludf.DUMMYFUNCTION("""COMPUTED_VALUE"""),1.0)</f>
        <v>1</v>
      </c>
      <c r="G493" s="1" t="str">
        <f>IFERROR(__xludf.DUMMYFUNCTION("""COMPUTED_VALUE"""),"3 mos")</f>
        <v>3 mos</v>
      </c>
      <c r="H493" s="1" t="str">
        <f>IFERROR(__xludf.DUMMYFUNCTION("""COMPUTED_VALUE"""),"reply")</f>
        <v>reply</v>
      </c>
      <c r="I493" s="2" t="str">
        <f>IFERROR(__xludf.DUMMYFUNCTION("""COMPUTED_VALUE"""),"https://www.facebook.com/rapplerdotcom/photos/a.317154781638645/5597592673594803/")</f>
        <v>https://www.facebook.com/rapplerdotcom/photos/a.317154781638645/5597592673594803/</v>
      </c>
      <c r="J493" s="1" t="str">
        <f>IFERROR(__xludf.DUMMYFUNCTION("""COMPUTED_VALUE"""),"2022-07-04T11:12:52.612Z")</f>
        <v>2022-07-04T11:12:52.612Z</v>
      </c>
      <c r="K493" s="1"/>
    </row>
    <row r="494">
      <c r="A494" s="2" t="str">
        <f>IFERROR(__xludf.DUMMYFUNCTION("""COMPUTED_VALUE"""),"https://www.facebook.com/lina.are.712")</f>
        <v>https://www.facebook.com/lina.are.712</v>
      </c>
      <c r="B494" s="1" t="str">
        <f>IFERROR(__xludf.DUMMYFUNCTION("""COMPUTED_VALUE"""),"Lina Are")</f>
        <v>Lina Are</v>
      </c>
      <c r="C494" s="1" t="str">
        <f>IFERROR(__xludf.DUMMYFUNCTION("""COMPUTED_VALUE"""),"Lina")</f>
        <v>Lina</v>
      </c>
      <c r="D494" s="1" t="str">
        <f>IFERROR(__xludf.DUMMYFUNCTION("""COMPUTED_VALUE"""),"Are")</f>
        <v>Are</v>
      </c>
      <c r="E494" s="1" t="str">
        <f>IFERROR(__xludf.DUMMYFUNCTION("""COMPUTED_VALUE"""),"Lina Are")</f>
        <v>Lina Are</v>
      </c>
      <c r="F494" s="1">
        <f>IFERROR(__xludf.DUMMYFUNCTION("""COMPUTED_VALUE"""),1.0)</f>
        <v>1</v>
      </c>
      <c r="G494" s="1" t="str">
        <f>IFERROR(__xludf.DUMMYFUNCTION("""COMPUTED_VALUE"""),"3 mos")</f>
        <v>3 mos</v>
      </c>
      <c r="H494" s="1" t="str">
        <f>IFERROR(__xludf.DUMMYFUNCTION("""COMPUTED_VALUE"""),"comment")</f>
        <v>comment</v>
      </c>
      <c r="I494" s="2" t="str">
        <f>IFERROR(__xludf.DUMMYFUNCTION("""COMPUTED_VALUE"""),"https://www.facebook.com/rapplerdotcom/photos/a.317154781638645/5597592673594803/")</f>
        <v>https://www.facebook.com/rapplerdotcom/photos/a.317154781638645/5597592673594803/</v>
      </c>
      <c r="J494" s="1" t="str">
        <f>IFERROR(__xludf.DUMMYFUNCTION("""COMPUTED_VALUE"""),"2022-07-04T11:12:52.612Z")</f>
        <v>2022-07-04T11:12:52.612Z</v>
      </c>
      <c r="K494" s="1"/>
    </row>
    <row r="495">
      <c r="A495" s="2" t="str">
        <f>IFERROR(__xludf.DUMMYFUNCTION("""COMPUTED_VALUE"""),"https://www.facebook.com/marlene.deximo")</f>
        <v>https://www.facebook.com/marlene.deximo</v>
      </c>
      <c r="B495" s="1" t="str">
        <f>IFERROR(__xludf.DUMMYFUNCTION("""COMPUTED_VALUE"""),"Marlene Deximo")</f>
        <v>Marlene Deximo</v>
      </c>
      <c r="C495" s="1" t="str">
        <f>IFERROR(__xludf.DUMMYFUNCTION("""COMPUTED_VALUE"""),"Marlene")</f>
        <v>Marlene</v>
      </c>
      <c r="D495" s="1" t="str">
        <f>IFERROR(__xludf.DUMMYFUNCTION("""COMPUTED_VALUE"""),"Deximo")</f>
        <v>Deximo</v>
      </c>
      <c r="E495" s="1" t="str">
        <f>IFERROR(__xludf.DUMMYFUNCTION("""COMPUTED_VALUE"""),"Bbmsara 2022")</f>
        <v>Bbmsara 2022</v>
      </c>
      <c r="F495" s="1"/>
      <c r="G495" s="1" t="str">
        <f>IFERROR(__xludf.DUMMYFUNCTION("""COMPUTED_VALUE"""),"3 mos")</f>
        <v>3 mos</v>
      </c>
      <c r="H495" s="1" t="str">
        <f>IFERROR(__xludf.DUMMYFUNCTION("""COMPUTED_VALUE"""),"comment")</f>
        <v>comment</v>
      </c>
      <c r="I495" s="2" t="str">
        <f>IFERROR(__xludf.DUMMYFUNCTION("""COMPUTED_VALUE"""),"https://www.facebook.com/rapplerdotcom/photos/a.317154781638645/5597592673594803/")</f>
        <v>https://www.facebook.com/rapplerdotcom/photos/a.317154781638645/5597592673594803/</v>
      </c>
      <c r="J495" s="1" t="str">
        <f>IFERROR(__xludf.DUMMYFUNCTION("""COMPUTED_VALUE"""),"2022-07-04T11:12:52.612Z")</f>
        <v>2022-07-04T11:12:52.612Z</v>
      </c>
      <c r="K495" s="1"/>
    </row>
    <row r="496">
      <c r="A496" s="2" t="str">
        <f>IFERROR(__xludf.DUMMYFUNCTION("""COMPUTED_VALUE"""),"https://www.facebook.com/saturnino.m.zamora")</f>
        <v>https://www.facebook.com/saturnino.m.zamora</v>
      </c>
      <c r="B496" s="1" t="str">
        <f>IFERROR(__xludf.DUMMYFUNCTION("""COMPUTED_VALUE"""),"Saturnino M. Zamora")</f>
        <v>Saturnino M. Zamora</v>
      </c>
      <c r="C496" s="1" t="str">
        <f>IFERROR(__xludf.DUMMYFUNCTION("""COMPUTED_VALUE"""),"Saturnino")</f>
        <v>Saturnino</v>
      </c>
      <c r="D496" s="1" t="str">
        <f>IFERROR(__xludf.DUMMYFUNCTION("""COMPUTED_VALUE"""),"M. Zamora")</f>
        <v>M. Zamora</v>
      </c>
      <c r="E496" s="1" t="str">
        <f>IFERROR(__xludf.DUMMYFUNCTION("""COMPUTED_VALUE"""),"Ingat kayo kay Gadon 😄😄")</f>
        <v>Ingat kayo kay Gadon 😄😄</v>
      </c>
      <c r="F496" s="1">
        <f>IFERROR(__xludf.DUMMYFUNCTION("""COMPUTED_VALUE"""),1.0)</f>
        <v>1</v>
      </c>
      <c r="G496" s="1" t="str">
        <f>IFERROR(__xludf.DUMMYFUNCTION("""COMPUTED_VALUE"""),"3 mos")</f>
        <v>3 mos</v>
      </c>
      <c r="H496" s="1" t="str">
        <f>IFERROR(__xludf.DUMMYFUNCTION("""COMPUTED_VALUE"""),"comment")</f>
        <v>comment</v>
      </c>
      <c r="I496" s="2" t="str">
        <f>IFERROR(__xludf.DUMMYFUNCTION("""COMPUTED_VALUE"""),"https://www.facebook.com/rapplerdotcom/photos/a.317154781638645/5597592673594803/")</f>
        <v>https://www.facebook.com/rapplerdotcom/photos/a.317154781638645/5597592673594803/</v>
      </c>
      <c r="J496" s="1" t="str">
        <f>IFERROR(__xludf.DUMMYFUNCTION("""COMPUTED_VALUE"""),"2022-07-04T11:12:52.612Z")</f>
        <v>2022-07-04T11:12:52.612Z</v>
      </c>
      <c r="K496" s="1"/>
    </row>
    <row r="497">
      <c r="A497" s="2" t="str">
        <f>IFERROR(__xludf.DUMMYFUNCTION("""COMPUTED_VALUE"""),"https://www.facebook.com/profile.php?id=100001458259598")</f>
        <v>https://www.facebook.com/profile.php?id=100001458259598</v>
      </c>
      <c r="B497" s="1" t="str">
        <f>IFERROR(__xludf.DUMMYFUNCTION("""COMPUTED_VALUE"""),"Andres DeLeon")</f>
        <v>Andres DeLeon</v>
      </c>
      <c r="C497" s="1" t="str">
        <f>IFERROR(__xludf.DUMMYFUNCTION("""COMPUTED_VALUE"""),"Andres")</f>
        <v>Andres</v>
      </c>
      <c r="D497" s="1" t="str">
        <f>IFERROR(__xludf.DUMMYFUNCTION("""COMPUTED_VALUE"""),"DeLeon")</f>
        <v>DeLeon</v>
      </c>
      <c r="E497" s="1" t="str">
        <f>IFERROR(__xludf.DUMMYFUNCTION("""COMPUTED_VALUE"""),"Ang Dami nila punung Puno Ang kalye. Wala ng madaanan.")</f>
        <v>Ang Dami nila punung Puno Ang kalye. Wala ng madaanan.</v>
      </c>
      <c r="F497" s="1"/>
      <c r="G497" s="1" t="str">
        <f>IFERROR(__xludf.DUMMYFUNCTION("""COMPUTED_VALUE"""),"3 mos")</f>
        <v>3 mos</v>
      </c>
      <c r="H497" s="1" t="str">
        <f>IFERROR(__xludf.DUMMYFUNCTION("""COMPUTED_VALUE"""),"comment")</f>
        <v>comment</v>
      </c>
      <c r="I497" s="2" t="str">
        <f>IFERROR(__xludf.DUMMYFUNCTION("""COMPUTED_VALUE"""),"https://www.facebook.com/rapplerdotcom/photos/a.317154781638645/5597592673594803/")</f>
        <v>https://www.facebook.com/rapplerdotcom/photos/a.317154781638645/5597592673594803/</v>
      </c>
      <c r="J497" s="1" t="str">
        <f>IFERROR(__xludf.DUMMYFUNCTION("""COMPUTED_VALUE"""),"2022-07-04T11:12:52.612Z")</f>
        <v>2022-07-04T11:12:52.612Z</v>
      </c>
      <c r="K497" s="1"/>
    </row>
    <row r="498">
      <c r="A498" s="2" t="str">
        <f>IFERROR(__xludf.DUMMYFUNCTION("""COMPUTED_VALUE"""),"https://www.facebook.com/bagumbayan")</f>
        <v>https://www.facebook.com/bagumbayan</v>
      </c>
      <c r="B498" s="1" t="str">
        <f>IFERROR(__xludf.DUMMYFUNCTION("""COMPUTED_VALUE"""),"Crippy Baizas")</f>
        <v>Crippy Baizas</v>
      </c>
      <c r="C498" s="1" t="str">
        <f>IFERROR(__xludf.DUMMYFUNCTION("""COMPUTED_VALUE"""),"Crippy")</f>
        <v>Crippy</v>
      </c>
      <c r="D498" s="1" t="str">
        <f>IFERROR(__xludf.DUMMYFUNCTION("""COMPUTED_VALUE"""),"Baizas")</f>
        <v>Baizas</v>
      </c>
      <c r="E498" s="1" t="str">
        <f>IFERROR(__xludf.DUMMYFUNCTION("""COMPUTED_VALUE"""),"🤮🤮🤮")</f>
        <v>🤮🤮🤮</v>
      </c>
      <c r="F498" s="1"/>
      <c r="G498" s="1" t="str">
        <f>IFERROR(__xludf.DUMMYFUNCTION("""COMPUTED_VALUE"""),"3 mos")</f>
        <v>3 mos</v>
      </c>
      <c r="H498" s="1" t="str">
        <f>IFERROR(__xludf.DUMMYFUNCTION("""COMPUTED_VALUE"""),"comment")</f>
        <v>comment</v>
      </c>
      <c r="I498" s="2" t="str">
        <f>IFERROR(__xludf.DUMMYFUNCTION("""COMPUTED_VALUE"""),"https://www.facebook.com/rapplerdotcom/photos/a.317154781638645/5597592673594803/")</f>
        <v>https://www.facebook.com/rapplerdotcom/photos/a.317154781638645/5597592673594803/</v>
      </c>
      <c r="J498" s="1" t="str">
        <f>IFERROR(__xludf.DUMMYFUNCTION("""COMPUTED_VALUE"""),"2022-07-04T11:12:52.612Z")</f>
        <v>2022-07-04T11:12:52.612Z</v>
      </c>
      <c r="K498" s="1"/>
    </row>
    <row r="499">
      <c r="A499" s="2" t="str">
        <f>IFERROR(__xludf.DUMMYFUNCTION("""COMPUTED_VALUE"""),"https://www.facebook.com/kelcinRam")</f>
        <v>https://www.facebook.com/kelcinRam</v>
      </c>
      <c r="B499" s="1" t="str">
        <f>IFERROR(__xludf.DUMMYFUNCTION("""COMPUTED_VALUE"""),"Nickel Cala")</f>
        <v>Nickel Cala</v>
      </c>
      <c r="C499" s="1" t="str">
        <f>IFERROR(__xludf.DUMMYFUNCTION("""COMPUTED_VALUE"""),"Nickel")</f>
        <v>Nickel</v>
      </c>
      <c r="D499" s="1" t="str">
        <f>IFERROR(__xludf.DUMMYFUNCTION("""COMPUTED_VALUE"""),"Cala")</f>
        <v>Cala</v>
      </c>
      <c r="E499" s="1" t="str">
        <f>IFERROR(__xludf.DUMMYFUNCTION("""COMPUTED_VALUE"""),"🤮🤮🤮🤮🤮🤮🤮🤮🤮")</f>
        <v>🤮🤮🤮🤮🤮🤮🤮🤮🤮</v>
      </c>
      <c r="F499" s="1">
        <f>IFERROR(__xludf.DUMMYFUNCTION("""COMPUTED_VALUE"""),2.0)</f>
        <v>2</v>
      </c>
      <c r="G499" s="1" t="str">
        <f>IFERROR(__xludf.DUMMYFUNCTION("""COMPUTED_VALUE"""),"3 mos")</f>
        <v>3 mos</v>
      </c>
      <c r="H499" s="1" t="str">
        <f>IFERROR(__xludf.DUMMYFUNCTION("""COMPUTED_VALUE"""),"comment")</f>
        <v>comment</v>
      </c>
      <c r="I499" s="2" t="str">
        <f>IFERROR(__xludf.DUMMYFUNCTION("""COMPUTED_VALUE"""),"https://www.facebook.com/rapplerdotcom/photos/a.317154781638645/5597592673594803/")</f>
        <v>https://www.facebook.com/rapplerdotcom/photos/a.317154781638645/5597592673594803/</v>
      </c>
      <c r="J499" s="1" t="str">
        <f>IFERROR(__xludf.DUMMYFUNCTION("""COMPUTED_VALUE"""),"2022-07-04T11:12:52.612Z")</f>
        <v>2022-07-04T11:12:52.612Z</v>
      </c>
      <c r="K499" s="1"/>
    </row>
    <row r="500">
      <c r="A500" s="2" t="str">
        <f>IFERROR(__xludf.DUMMYFUNCTION("""COMPUTED_VALUE"""),"https://www.facebook.com/jun.abordo.94")</f>
        <v>https://www.facebook.com/jun.abordo.94</v>
      </c>
      <c r="B500" s="1" t="str">
        <f>IFERROR(__xludf.DUMMYFUNCTION("""COMPUTED_VALUE"""),"Jun Abordo")</f>
        <v>Jun Abordo</v>
      </c>
      <c r="C500" s="1" t="str">
        <f>IFERROR(__xludf.DUMMYFUNCTION("""COMPUTED_VALUE"""),"Jun")</f>
        <v>Jun</v>
      </c>
      <c r="D500" s="1" t="str">
        <f>IFERROR(__xludf.DUMMYFUNCTION("""COMPUTED_VALUE"""),"Abordo")</f>
        <v>Abordo</v>
      </c>
      <c r="E500" s="1" t="str">
        <f>IFERROR(__xludf.DUMMYFUNCTION("""COMPUTED_VALUE"""),"Mag social distancing pa kayo para lalong maraming tingnan tapos pa photo shot pa natin db masaya")</f>
        <v>Mag social distancing pa kayo para lalong maraming tingnan tapos pa photo shot pa natin db masaya</v>
      </c>
      <c r="F500" s="1"/>
      <c r="G500" s="1" t="str">
        <f>IFERROR(__xludf.DUMMYFUNCTION("""COMPUTED_VALUE"""),"3 mos")</f>
        <v>3 mos</v>
      </c>
      <c r="H500" s="1" t="str">
        <f>IFERROR(__xludf.DUMMYFUNCTION("""COMPUTED_VALUE"""),"comment")</f>
        <v>comment</v>
      </c>
      <c r="I500" s="2" t="str">
        <f>IFERROR(__xludf.DUMMYFUNCTION("""COMPUTED_VALUE"""),"https://www.facebook.com/rapplerdotcom/photos/a.317154781638645/5597592673594803/")</f>
        <v>https://www.facebook.com/rapplerdotcom/photos/a.317154781638645/5597592673594803/</v>
      </c>
      <c r="J500" s="1" t="str">
        <f>IFERROR(__xludf.DUMMYFUNCTION("""COMPUTED_VALUE"""),"2022-07-04T11:12:52.612Z")</f>
        <v>2022-07-04T11:12:52.612Z</v>
      </c>
      <c r="K500" s="1"/>
    </row>
    <row r="501">
      <c r="A501" s="2" t="str">
        <f>IFERROR(__xludf.DUMMYFUNCTION("""COMPUTED_VALUE"""),"https://www.facebook.com/profile.php?id=100071214034177")</f>
        <v>https://www.facebook.com/profile.php?id=100071214034177</v>
      </c>
      <c r="B501" s="1" t="str">
        <f>IFERROR(__xludf.DUMMYFUNCTION("""COMPUTED_VALUE"""),"Shak Shooka")</f>
        <v>Shak Shooka</v>
      </c>
      <c r="C501" s="1" t="str">
        <f>IFERROR(__xludf.DUMMYFUNCTION("""COMPUTED_VALUE"""),"Shak")</f>
        <v>Shak</v>
      </c>
      <c r="D501" s="1" t="str">
        <f>IFERROR(__xludf.DUMMYFUNCTION("""COMPUTED_VALUE"""),"Shooka")</f>
        <v>Shooka</v>
      </c>
      <c r="E501" s="1" t="str">
        <f>IFERROR(__xludf.DUMMYFUNCTION("""COMPUTED_VALUE"""),"Jusko maawa kyo sa mga sarili nyo.🤣")</f>
        <v>Jusko maawa kyo sa mga sarili nyo.🤣</v>
      </c>
      <c r="F501" s="1"/>
      <c r="G501" s="1" t="str">
        <f>IFERROR(__xludf.DUMMYFUNCTION("""COMPUTED_VALUE"""),"3 mos")</f>
        <v>3 mos</v>
      </c>
      <c r="H501" s="1" t="str">
        <f>IFERROR(__xludf.DUMMYFUNCTION("""COMPUTED_VALUE"""),"comment")</f>
        <v>comment</v>
      </c>
      <c r="I501" s="2" t="str">
        <f>IFERROR(__xludf.DUMMYFUNCTION("""COMPUTED_VALUE"""),"https://www.facebook.com/rapplerdotcom/photos/a.317154781638645/5597592673594803/")</f>
        <v>https://www.facebook.com/rapplerdotcom/photos/a.317154781638645/5597592673594803/</v>
      </c>
      <c r="J501" s="1" t="str">
        <f>IFERROR(__xludf.DUMMYFUNCTION("""COMPUTED_VALUE"""),"2022-07-04T11:12:52.613Z")</f>
        <v>2022-07-04T11:12:52.613Z</v>
      </c>
      <c r="K501" s="1"/>
    </row>
    <row r="502">
      <c r="A502" s="2" t="str">
        <f>IFERROR(__xludf.DUMMYFUNCTION("""COMPUTED_VALUE"""),"https://www.facebook.com/profile.php?id=100074718165514")</f>
        <v>https://www.facebook.com/profile.php?id=100074718165514</v>
      </c>
      <c r="B502" s="1" t="str">
        <f>IFERROR(__xludf.DUMMYFUNCTION("""COMPUTED_VALUE"""),"Froilan Maranga")</f>
        <v>Froilan Maranga</v>
      </c>
      <c r="C502" s="1" t="str">
        <f>IFERROR(__xludf.DUMMYFUNCTION("""COMPUTED_VALUE"""),"Froilan")</f>
        <v>Froilan</v>
      </c>
      <c r="D502" s="1" t="str">
        <f>IFERROR(__xludf.DUMMYFUNCTION("""COMPUTED_VALUE"""),"Maranga")</f>
        <v>Maranga</v>
      </c>
      <c r="E502" s="1" t="str">
        <f>IFERROR(__xludf.DUMMYFUNCTION("""COMPUTED_VALUE"""),"Hahaha mas marami pa ang taga ibang bayan kiysa taga gensan hahahakot pa more😂😂😂😂")</f>
        <v>Hahaha mas marami pa ang taga ibang bayan kiysa taga gensan hahahakot pa more😂😂😂😂</v>
      </c>
      <c r="F502" s="1"/>
      <c r="G502" s="1" t="str">
        <f>IFERROR(__xludf.DUMMYFUNCTION("""COMPUTED_VALUE"""),"3 mos")</f>
        <v>3 mos</v>
      </c>
      <c r="H502" s="1" t="str">
        <f>IFERROR(__xludf.DUMMYFUNCTION("""COMPUTED_VALUE"""),"comment")</f>
        <v>comment</v>
      </c>
      <c r="I502" s="2" t="str">
        <f>IFERROR(__xludf.DUMMYFUNCTION("""COMPUTED_VALUE"""),"https://www.facebook.com/rapplerdotcom/photos/a.317154781638645/5597592673594803/")</f>
        <v>https://www.facebook.com/rapplerdotcom/photos/a.317154781638645/5597592673594803/</v>
      </c>
      <c r="J502" s="1" t="str">
        <f>IFERROR(__xludf.DUMMYFUNCTION("""COMPUTED_VALUE"""),"2022-07-04T11:12:52.613Z")</f>
        <v>2022-07-04T11:12:52.613Z</v>
      </c>
      <c r="K502" s="1"/>
    </row>
    <row r="503">
      <c r="A503" s="2" t="str">
        <f>IFERROR(__xludf.DUMMYFUNCTION("""COMPUTED_VALUE"""),"https://www.facebook.com/profile.php?id=100079476013075")</f>
        <v>https://www.facebook.com/profile.php?id=100079476013075</v>
      </c>
      <c r="B503" s="1" t="str">
        <f>IFERROR(__xludf.DUMMYFUNCTION("""COMPUTED_VALUE"""),"Kayleni Angat Buhaylahat")</f>
        <v>Kayleni Angat Buhaylahat</v>
      </c>
      <c r="C503" s="1" t="str">
        <f>IFERROR(__xludf.DUMMYFUNCTION("""COMPUTED_VALUE"""),"Kayleni")</f>
        <v>Kayleni</v>
      </c>
      <c r="D503" s="1" t="str">
        <f>IFERROR(__xludf.DUMMYFUNCTION("""COMPUTED_VALUE"""),"Angat Buhaylahat")</f>
        <v>Angat Buhaylahat</v>
      </c>
      <c r="E503" s="1" t="str">
        <f>IFERROR(__xludf.DUMMYFUNCTION("""COMPUTED_VALUE"""),"Kayleni Angat Buhaylahat")</f>
        <v>Kayleni Angat Buhaylahat</v>
      </c>
      <c r="F503" s="1">
        <f>IFERROR(__xludf.DUMMYFUNCTION("""COMPUTED_VALUE"""),5.0)</f>
        <v>5</v>
      </c>
      <c r="G503" s="1" t="str">
        <f>IFERROR(__xludf.DUMMYFUNCTION("""COMPUTED_VALUE"""),"3 mos")</f>
        <v>3 mos</v>
      </c>
      <c r="H503" s="1" t="str">
        <f>IFERROR(__xludf.DUMMYFUNCTION("""COMPUTED_VALUE"""),"comment")</f>
        <v>comment</v>
      </c>
      <c r="I503" s="2" t="str">
        <f>IFERROR(__xludf.DUMMYFUNCTION("""COMPUTED_VALUE"""),"https://www.facebook.com/rapplerdotcom/photos/a.317154781638645/5597592673594803/")</f>
        <v>https://www.facebook.com/rapplerdotcom/photos/a.317154781638645/5597592673594803/</v>
      </c>
      <c r="J503" s="1" t="str">
        <f>IFERROR(__xludf.DUMMYFUNCTION("""COMPUTED_VALUE"""),"2022-07-04T11:12:52.613Z")</f>
        <v>2022-07-04T11:12:52.613Z</v>
      </c>
      <c r="K503" s="1"/>
    </row>
    <row r="504">
      <c r="A504" s="2" t="str">
        <f>IFERROR(__xludf.DUMMYFUNCTION("""COMPUTED_VALUE"""),"https://www.facebook.com/profile.php?id=100079476013075")</f>
        <v>https://www.facebook.com/profile.php?id=100079476013075</v>
      </c>
      <c r="B504" s="1" t="str">
        <f>IFERROR(__xludf.DUMMYFUNCTION("""COMPUTED_VALUE"""),"Kayleni Angat Buhaylahat")</f>
        <v>Kayleni Angat Buhaylahat</v>
      </c>
      <c r="C504" s="1" t="str">
        <f>IFERROR(__xludf.DUMMYFUNCTION("""COMPUTED_VALUE"""),"Kayleni")</f>
        <v>Kayleni</v>
      </c>
      <c r="D504" s="1" t="str">
        <f>IFERROR(__xludf.DUMMYFUNCTION("""COMPUTED_VALUE"""),"Angat Buhaylahat")</f>
        <v>Angat Buhaylahat</v>
      </c>
      <c r="E504" s="1" t="str">
        <f>IFERROR(__xludf.DUMMYFUNCTION("""COMPUTED_VALUE"""),"Kayleni Angat Buhaylahat")</f>
        <v>Kayleni Angat Buhaylahat</v>
      </c>
      <c r="F504" s="1">
        <f>IFERROR(__xludf.DUMMYFUNCTION("""COMPUTED_VALUE"""),9.0)</f>
        <v>9</v>
      </c>
      <c r="G504" s="1" t="str">
        <f>IFERROR(__xludf.DUMMYFUNCTION("""COMPUTED_VALUE"""),"3 mos")</f>
        <v>3 mos</v>
      </c>
      <c r="H504" s="1" t="str">
        <f>IFERROR(__xludf.DUMMYFUNCTION("""COMPUTED_VALUE"""),"comment")</f>
        <v>comment</v>
      </c>
      <c r="I504" s="2" t="str">
        <f>IFERROR(__xludf.DUMMYFUNCTION("""COMPUTED_VALUE"""),"https://www.facebook.com/rapplerdotcom/photos/a.317154781638645/5597592673594803/")</f>
        <v>https://www.facebook.com/rapplerdotcom/photos/a.317154781638645/5597592673594803/</v>
      </c>
      <c r="J504" s="1" t="str">
        <f>IFERROR(__xludf.DUMMYFUNCTION("""COMPUTED_VALUE"""),"2022-07-04T11:12:52.613Z")</f>
        <v>2022-07-04T11:12:52.613Z</v>
      </c>
      <c r="K504" s="1"/>
    </row>
    <row r="505">
      <c r="A505" s="2" t="str">
        <f>IFERROR(__xludf.DUMMYFUNCTION("""COMPUTED_VALUE"""),"https://www.facebook.com/jenelyn.balili.31")</f>
        <v>https://www.facebook.com/jenelyn.balili.31</v>
      </c>
      <c r="B505" s="1" t="str">
        <f>IFERROR(__xludf.DUMMYFUNCTION("""COMPUTED_VALUE"""),"Jenny Alvarado")</f>
        <v>Jenny Alvarado</v>
      </c>
      <c r="C505" s="1" t="str">
        <f>IFERROR(__xludf.DUMMYFUNCTION("""COMPUTED_VALUE"""),"Jenny")</f>
        <v>Jenny</v>
      </c>
      <c r="D505" s="1" t="str">
        <f>IFERROR(__xludf.DUMMYFUNCTION("""COMPUTED_VALUE"""),"Alvarado")</f>
        <v>Alvarado</v>
      </c>
      <c r="E505" s="1" t="str">
        <f>IFERROR(__xludf.DUMMYFUNCTION("""COMPUTED_VALUE"""),"❤❤❤💚💚💚")</f>
        <v>❤❤❤💚💚💚</v>
      </c>
      <c r="F505" s="1">
        <f>IFERROR(__xludf.DUMMYFUNCTION("""COMPUTED_VALUE"""),3.0)</f>
        <v>3</v>
      </c>
      <c r="G505" s="1" t="str">
        <f>IFERROR(__xludf.DUMMYFUNCTION("""COMPUTED_VALUE"""),"3 mos")</f>
        <v>3 mos</v>
      </c>
      <c r="H505" s="1" t="str">
        <f>IFERROR(__xludf.DUMMYFUNCTION("""COMPUTED_VALUE"""),"comment")</f>
        <v>comment</v>
      </c>
      <c r="I505" s="2" t="str">
        <f>IFERROR(__xludf.DUMMYFUNCTION("""COMPUTED_VALUE"""),"https://www.facebook.com/rapplerdotcom/photos/a.317154781638645/5597592673594803/")</f>
        <v>https://www.facebook.com/rapplerdotcom/photos/a.317154781638645/5597592673594803/</v>
      </c>
      <c r="J505" s="1" t="str">
        <f>IFERROR(__xludf.DUMMYFUNCTION("""COMPUTED_VALUE"""),"2022-07-04T11:12:52.613Z")</f>
        <v>2022-07-04T11:12:52.613Z</v>
      </c>
      <c r="K505" s="1"/>
    </row>
    <row r="506">
      <c r="A506" s="2" t="str">
        <f>IFERROR(__xludf.DUMMYFUNCTION("""COMPUTED_VALUE"""),"https://www.facebook.com/recel.romero.18")</f>
        <v>https://www.facebook.com/recel.romero.18</v>
      </c>
      <c r="B506" s="1" t="str">
        <f>IFERROR(__xludf.DUMMYFUNCTION("""COMPUTED_VALUE"""),"Recel Romero")</f>
        <v>Recel Romero</v>
      </c>
      <c r="C506" s="1" t="str">
        <f>IFERROR(__xludf.DUMMYFUNCTION("""COMPUTED_VALUE"""),"Recel")</f>
        <v>Recel</v>
      </c>
      <c r="D506" s="1" t="str">
        <f>IFERROR(__xludf.DUMMYFUNCTION("""COMPUTED_VALUE"""),"Romero")</f>
        <v>Romero</v>
      </c>
      <c r="E506" s="1" t="str">
        <f>IFERROR(__xludf.DUMMYFUNCTION("""COMPUTED_VALUE"""),"❤️💚✌️👊🇵🇭")</f>
        <v>❤️💚✌️👊🇵🇭</v>
      </c>
      <c r="F506" s="1">
        <f>IFERROR(__xludf.DUMMYFUNCTION("""COMPUTED_VALUE"""),4.0)</f>
        <v>4</v>
      </c>
      <c r="G506" s="1" t="str">
        <f>IFERROR(__xludf.DUMMYFUNCTION("""COMPUTED_VALUE"""),"3 mos")</f>
        <v>3 mos</v>
      </c>
      <c r="H506" s="1" t="str">
        <f>IFERROR(__xludf.DUMMYFUNCTION("""COMPUTED_VALUE"""),"comment")</f>
        <v>comment</v>
      </c>
      <c r="I506" s="2" t="str">
        <f>IFERROR(__xludf.DUMMYFUNCTION("""COMPUTED_VALUE"""),"https://www.facebook.com/rapplerdotcom/photos/a.317154781638645/5597592673594803/")</f>
        <v>https://www.facebook.com/rapplerdotcom/photos/a.317154781638645/5597592673594803/</v>
      </c>
      <c r="J506" s="1" t="str">
        <f>IFERROR(__xludf.DUMMYFUNCTION("""COMPUTED_VALUE"""),"2022-07-04T11:12:52.613Z")</f>
        <v>2022-07-04T11:12:52.613Z</v>
      </c>
      <c r="K506" s="1"/>
    </row>
    <row r="507">
      <c r="A507" s="2" t="str">
        <f>IFERROR(__xludf.DUMMYFUNCTION("""COMPUTED_VALUE"""),"https://www.facebook.com/rndllbailey")</f>
        <v>https://www.facebook.com/rndllbailey</v>
      </c>
      <c r="B507" s="1" t="str">
        <f>IFERROR(__xludf.DUMMYFUNCTION("""COMPUTED_VALUE"""),"Randall Bailey")</f>
        <v>Randall Bailey</v>
      </c>
      <c r="C507" s="1" t="str">
        <f>IFERROR(__xludf.DUMMYFUNCTION("""COMPUTED_VALUE"""),"Randall")</f>
        <v>Randall</v>
      </c>
      <c r="D507" s="1" t="str">
        <f>IFERROR(__xludf.DUMMYFUNCTION("""COMPUTED_VALUE"""),"Bailey")</f>
        <v>Bailey</v>
      </c>
      <c r="E507" s="1" t="str">
        <f>IFERROR(__xludf.DUMMYFUNCTION("""COMPUTED_VALUE"""),"kala ko ba ayaw niyo sa lobo 😅")</f>
        <v>kala ko ba ayaw niyo sa lobo 😅</v>
      </c>
      <c r="F507" s="1"/>
      <c r="G507" s="1" t="str">
        <f>IFERROR(__xludf.DUMMYFUNCTION("""COMPUTED_VALUE"""),"3 mos")</f>
        <v>3 mos</v>
      </c>
      <c r="H507" s="1" t="str">
        <f>IFERROR(__xludf.DUMMYFUNCTION("""COMPUTED_VALUE"""),"comment")</f>
        <v>comment</v>
      </c>
      <c r="I507" s="2" t="str">
        <f>IFERROR(__xludf.DUMMYFUNCTION("""COMPUTED_VALUE"""),"https://www.facebook.com/rapplerdotcom/photos/a.317154781638645/5597592673594803/")</f>
        <v>https://www.facebook.com/rapplerdotcom/photos/a.317154781638645/5597592673594803/</v>
      </c>
      <c r="J507" s="1" t="str">
        <f>IFERROR(__xludf.DUMMYFUNCTION("""COMPUTED_VALUE"""),"2022-07-04T11:12:52.613Z")</f>
        <v>2022-07-04T11:12:52.613Z</v>
      </c>
      <c r="K507" s="1"/>
    </row>
    <row r="508">
      <c r="A508" s="2" t="str">
        <f>IFERROR(__xludf.DUMMYFUNCTION("""COMPUTED_VALUE"""),"https://www.facebook.com/abaco.charrie.3")</f>
        <v>https://www.facebook.com/abaco.charrie.3</v>
      </c>
      <c r="B508" s="1" t="str">
        <f>IFERROR(__xludf.DUMMYFUNCTION("""COMPUTED_VALUE"""),"Abaco Charrie")</f>
        <v>Abaco Charrie</v>
      </c>
      <c r="C508" s="1" t="str">
        <f>IFERROR(__xludf.DUMMYFUNCTION("""COMPUTED_VALUE"""),"Abaco")</f>
        <v>Abaco</v>
      </c>
      <c r="D508" s="1" t="str">
        <f>IFERROR(__xludf.DUMMYFUNCTION("""COMPUTED_VALUE"""),"Charrie")</f>
        <v>Charrie</v>
      </c>
      <c r="E508" s="1" t="str">
        <f>IFERROR(__xludf.DUMMYFUNCTION("""COMPUTED_VALUE"""),"❤❤❤💚💚💚")</f>
        <v>❤❤❤💚💚💚</v>
      </c>
      <c r="F508" s="1"/>
      <c r="G508" s="1" t="str">
        <f>IFERROR(__xludf.DUMMYFUNCTION("""COMPUTED_VALUE"""),"3 mos")</f>
        <v>3 mos</v>
      </c>
      <c r="H508" s="1" t="str">
        <f>IFERROR(__xludf.DUMMYFUNCTION("""COMPUTED_VALUE"""),"comment")</f>
        <v>comment</v>
      </c>
      <c r="I508" s="2" t="str">
        <f>IFERROR(__xludf.DUMMYFUNCTION("""COMPUTED_VALUE"""),"https://www.facebook.com/rapplerdotcom/photos/a.317154781638645/5597592673594803/")</f>
        <v>https://www.facebook.com/rapplerdotcom/photos/a.317154781638645/5597592673594803/</v>
      </c>
      <c r="J508" s="1" t="str">
        <f>IFERROR(__xludf.DUMMYFUNCTION("""COMPUTED_VALUE"""),"2022-07-04T11:12:52.613Z")</f>
        <v>2022-07-04T11:12:52.613Z</v>
      </c>
      <c r="K508" s="1"/>
    </row>
    <row r="509">
      <c r="A509" s="2" t="str">
        <f>IFERROR(__xludf.DUMMYFUNCTION("""COMPUTED_VALUE"""),"https://www.facebook.com/erwin.aquino.5249349")</f>
        <v>https://www.facebook.com/erwin.aquino.5249349</v>
      </c>
      <c r="B509" s="1" t="str">
        <f>IFERROR(__xludf.DUMMYFUNCTION("""COMPUTED_VALUE"""),"Erwin Aquino")</f>
        <v>Erwin Aquino</v>
      </c>
      <c r="C509" s="1" t="str">
        <f>IFERROR(__xludf.DUMMYFUNCTION("""COMPUTED_VALUE"""),"Erwin")</f>
        <v>Erwin</v>
      </c>
      <c r="D509" s="1" t="str">
        <f>IFERROR(__xludf.DUMMYFUNCTION("""COMPUTED_VALUE"""),"Aquino")</f>
        <v>Aquino</v>
      </c>
      <c r="E509" s="1" t="str">
        <f>IFERROR(__xludf.DUMMYFUNCTION("""COMPUTED_VALUE"""),"Hakot dito Bayad doon 😂😂")</f>
        <v>Hakot dito Bayad doon 😂😂</v>
      </c>
      <c r="F509" s="1"/>
      <c r="G509" s="1" t="str">
        <f>IFERROR(__xludf.DUMMYFUNCTION("""COMPUTED_VALUE"""),"3 mos")</f>
        <v>3 mos</v>
      </c>
      <c r="H509" s="1" t="str">
        <f>IFERROR(__xludf.DUMMYFUNCTION("""COMPUTED_VALUE"""),"comment")</f>
        <v>comment</v>
      </c>
      <c r="I509" s="2" t="str">
        <f>IFERROR(__xludf.DUMMYFUNCTION("""COMPUTED_VALUE"""),"https://www.facebook.com/rapplerdotcom/photos/a.317154781638645/5597592673594803/")</f>
        <v>https://www.facebook.com/rapplerdotcom/photos/a.317154781638645/5597592673594803/</v>
      </c>
      <c r="J509" s="1" t="str">
        <f>IFERROR(__xludf.DUMMYFUNCTION("""COMPUTED_VALUE"""),"2022-07-04T11:12:52.613Z")</f>
        <v>2022-07-04T11:12:52.613Z</v>
      </c>
      <c r="K509" s="1"/>
    </row>
    <row r="510">
      <c r="A510" s="2" t="str">
        <f>IFERROR(__xludf.DUMMYFUNCTION("""COMPUTED_VALUE"""),"https://www.facebook.com/jun.osorio.12")</f>
        <v>https://www.facebook.com/jun.osorio.12</v>
      </c>
      <c r="B510" s="1" t="str">
        <f>IFERROR(__xludf.DUMMYFUNCTION("""COMPUTED_VALUE"""),"Os Minnow-i")</f>
        <v>Os Minnow-i</v>
      </c>
      <c r="C510" s="1" t="str">
        <f>IFERROR(__xludf.DUMMYFUNCTION("""COMPUTED_VALUE"""),"Os")</f>
        <v>Os</v>
      </c>
      <c r="D510" s="1" t="str">
        <f>IFERROR(__xludf.DUMMYFUNCTION("""COMPUTED_VALUE"""),"Minnow-i")</f>
        <v>Minnow-i</v>
      </c>
      <c r="E510" s="1" t="str">
        <f>IFERROR(__xludf.DUMMYFUNCTION("""COMPUTED_VALUE"""),"Ngayon lang ako nakakita n pagkatapos kang nakawan magawa mo pang i-welcome yung batugan")</f>
        <v>Ngayon lang ako nakakita n pagkatapos kang nakawan magawa mo pang i-welcome yung batugan</v>
      </c>
      <c r="F510" s="1"/>
      <c r="G510" s="1" t="str">
        <f>IFERROR(__xludf.DUMMYFUNCTION("""COMPUTED_VALUE"""),"3 mos")</f>
        <v>3 mos</v>
      </c>
      <c r="H510" s="1" t="str">
        <f>IFERROR(__xludf.DUMMYFUNCTION("""COMPUTED_VALUE"""),"comment")</f>
        <v>comment</v>
      </c>
      <c r="I510" s="2" t="str">
        <f>IFERROR(__xludf.DUMMYFUNCTION("""COMPUTED_VALUE"""),"https://www.facebook.com/rapplerdotcom/photos/a.317154781638645/5597592673594803/")</f>
        <v>https://www.facebook.com/rapplerdotcom/photos/a.317154781638645/5597592673594803/</v>
      </c>
      <c r="J510" s="1" t="str">
        <f>IFERROR(__xludf.DUMMYFUNCTION("""COMPUTED_VALUE"""),"2022-07-04T11:12:52.613Z")</f>
        <v>2022-07-04T11:12:52.613Z</v>
      </c>
      <c r="K510" s="1"/>
    </row>
    <row r="511">
      <c r="A511" s="2" t="str">
        <f>IFERROR(__xludf.DUMMYFUNCTION("""COMPUTED_VALUE"""),"https://www.facebook.com/profile.php?id=100078787512312")</f>
        <v>https://www.facebook.com/profile.php?id=100078787512312</v>
      </c>
      <c r="B511" s="1" t="str">
        <f>IFERROR(__xludf.DUMMYFUNCTION("""COMPUTED_VALUE"""),"Lanie Feir Gabot Baniaga")</f>
        <v>Lanie Feir Gabot Baniaga</v>
      </c>
      <c r="C511" s="1" t="str">
        <f>IFERROR(__xludf.DUMMYFUNCTION("""COMPUTED_VALUE"""),"Lanie")</f>
        <v>Lanie</v>
      </c>
      <c r="D511" s="1" t="str">
        <f>IFERROR(__xludf.DUMMYFUNCTION("""COMPUTED_VALUE"""),"Feir Gabot Baniaga")</f>
        <v>Feir Gabot Baniaga</v>
      </c>
      <c r="E511" s="1" t="str">
        <f>IFERROR(__xludf.DUMMYFUNCTION("""COMPUTED_VALUE"""),"Magbatuhan nalang kayo ng upuan😂")</f>
        <v>Magbatuhan nalang kayo ng upuan😂</v>
      </c>
      <c r="F511" s="1">
        <f>IFERROR(__xludf.DUMMYFUNCTION("""COMPUTED_VALUE"""),1.0)</f>
        <v>1</v>
      </c>
      <c r="G511" s="1" t="str">
        <f>IFERROR(__xludf.DUMMYFUNCTION("""COMPUTED_VALUE"""),"3 mos")</f>
        <v>3 mos</v>
      </c>
      <c r="H511" s="1" t="str">
        <f>IFERROR(__xludf.DUMMYFUNCTION("""COMPUTED_VALUE"""),"comment")</f>
        <v>comment</v>
      </c>
      <c r="I511" s="2" t="str">
        <f>IFERROR(__xludf.DUMMYFUNCTION("""COMPUTED_VALUE"""),"https://www.facebook.com/rapplerdotcom/photos/a.317154781638645/5597592673594803/")</f>
        <v>https://www.facebook.com/rapplerdotcom/photos/a.317154781638645/5597592673594803/</v>
      </c>
      <c r="J511" s="1" t="str">
        <f>IFERROR(__xludf.DUMMYFUNCTION("""COMPUTED_VALUE"""),"2022-07-04T11:12:52.613Z")</f>
        <v>2022-07-04T11:12:52.613Z</v>
      </c>
      <c r="K511" s="1"/>
    </row>
    <row r="512">
      <c r="A512" s="2" t="str">
        <f>IFERROR(__xludf.DUMMYFUNCTION("""COMPUTED_VALUE"""),"https://www.facebook.com/gary.garcia.357")</f>
        <v>https://www.facebook.com/gary.garcia.357</v>
      </c>
      <c r="B512" s="1" t="str">
        <f>IFERROR(__xludf.DUMMYFUNCTION("""COMPUTED_VALUE"""),"Gary Garcia")</f>
        <v>Gary Garcia</v>
      </c>
      <c r="C512" s="1" t="str">
        <f>IFERROR(__xludf.DUMMYFUNCTION("""COMPUTED_VALUE"""),"Gary")</f>
        <v>Gary</v>
      </c>
      <c r="D512" s="1" t="str">
        <f>IFERROR(__xludf.DUMMYFUNCTION("""COMPUTED_VALUE"""),"Garcia")</f>
        <v>Garcia</v>
      </c>
      <c r="E512" s="1" t="str">
        <f>IFERROR(__xludf.DUMMYFUNCTION("""COMPUTED_VALUE"""),"BAGONG PILIPINAS, BAGONG MUKHA #7 #4")</f>
        <v>BAGONG PILIPINAS, BAGONG MUKHA #7 #4</v>
      </c>
      <c r="F512" s="1"/>
      <c r="G512" s="1" t="str">
        <f>IFERROR(__xludf.DUMMYFUNCTION("""COMPUTED_VALUE"""),"3 mos")</f>
        <v>3 mos</v>
      </c>
      <c r="H512" s="1" t="str">
        <f>IFERROR(__xludf.DUMMYFUNCTION("""COMPUTED_VALUE"""),"comment")</f>
        <v>comment</v>
      </c>
      <c r="I512" s="2" t="str">
        <f>IFERROR(__xludf.DUMMYFUNCTION("""COMPUTED_VALUE"""),"https://www.facebook.com/rapplerdotcom/photos/a.317154781638645/5597592673594803/")</f>
        <v>https://www.facebook.com/rapplerdotcom/photos/a.317154781638645/5597592673594803/</v>
      </c>
      <c r="J512" s="1" t="str">
        <f>IFERROR(__xludf.DUMMYFUNCTION("""COMPUTED_VALUE"""),"2022-07-04T11:12:52.613Z")</f>
        <v>2022-07-04T11:12:52.613Z</v>
      </c>
      <c r="K512" s="1"/>
    </row>
    <row r="513">
      <c r="A513" s="2" t="str">
        <f>IFERROR(__xludf.DUMMYFUNCTION("""COMPUTED_VALUE"""),"https://www.facebook.com/jose.a.bautista.98")</f>
        <v>https://www.facebook.com/jose.a.bautista.98</v>
      </c>
      <c r="B513" s="1" t="str">
        <f>IFERROR(__xludf.DUMMYFUNCTION("""COMPUTED_VALUE"""),"Wito Bautista")</f>
        <v>Wito Bautista</v>
      </c>
      <c r="C513" s="1" t="str">
        <f>IFERROR(__xludf.DUMMYFUNCTION("""COMPUTED_VALUE"""),"Wito")</f>
        <v>Wito</v>
      </c>
      <c r="D513" s="1" t="str">
        <f>IFERROR(__xludf.DUMMYFUNCTION("""COMPUTED_VALUE"""),"Bautista")</f>
        <v>Bautista</v>
      </c>
      <c r="E513" s="1" t="str">
        <f>IFERROR(__xludf.DUMMYFUNCTION("""COMPUTED_VALUE"""),"🤮")</f>
        <v>🤮</v>
      </c>
      <c r="F513" s="1"/>
      <c r="G513" s="1" t="str">
        <f>IFERROR(__xludf.DUMMYFUNCTION("""COMPUTED_VALUE"""),"3 mos")</f>
        <v>3 mos</v>
      </c>
      <c r="H513" s="1" t="str">
        <f>IFERROR(__xludf.DUMMYFUNCTION("""COMPUTED_VALUE"""),"comment")</f>
        <v>comment</v>
      </c>
      <c r="I513" s="2" t="str">
        <f>IFERROR(__xludf.DUMMYFUNCTION("""COMPUTED_VALUE"""),"https://www.facebook.com/rapplerdotcom/photos/a.317154781638645/5597592673594803/")</f>
        <v>https://www.facebook.com/rapplerdotcom/photos/a.317154781638645/5597592673594803/</v>
      </c>
      <c r="J513" s="1" t="str">
        <f>IFERROR(__xludf.DUMMYFUNCTION("""COMPUTED_VALUE"""),"2022-07-04T11:12:52.613Z")</f>
        <v>2022-07-04T11:12:52.613Z</v>
      </c>
      <c r="K513" s="1"/>
    </row>
    <row r="514">
      <c r="A514" s="2" t="str">
        <f>IFERROR(__xludf.DUMMYFUNCTION("""COMPUTED_VALUE"""),"https://www.facebook.com/kimshie.artocilla")</f>
        <v>https://www.facebook.com/kimshie.artocilla</v>
      </c>
      <c r="B514" s="1" t="str">
        <f>IFERROR(__xludf.DUMMYFUNCTION("""COMPUTED_VALUE"""),"Nene Vilma Torstensen")</f>
        <v>Nene Vilma Torstensen</v>
      </c>
      <c r="C514" s="1" t="str">
        <f>IFERROR(__xludf.DUMMYFUNCTION("""COMPUTED_VALUE"""),"Nene")</f>
        <v>Nene</v>
      </c>
      <c r="D514" s="1" t="str">
        <f>IFERROR(__xludf.DUMMYFUNCTION("""COMPUTED_VALUE"""),"Vilma Torstensen")</f>
        <v>Vilma Torstensen</v>
      </c>
      <c r="E514" s="1" t="str">
        <f>IFERROR(__xludf.DUMMYFUNCTION("""COMPUTED_VALUE"""),"Ang daming idiot sa Pinas.")</f>
        <v>Ang daming idiot sa Pinas.</v>
      </c>
      <c r="F514" s="1"/>
      <c r="G514" s="1" t="str">
        <f>IFERROR(__xludf.DUMMYFUNCTION("""COMPUTED_VALUE"""),"3 mos")</f>
        <v>3 mos</v>
      </c>
      <c r="H514" s="1" t="str">
        <f>IFERROR(__xludf.DUMMYFUNCTION("""COMPUTED_VALUE"""),"comment")</f>
        <v>comment</v>
      </c>
      <c r="I514" s="2" t="str">
        <f>IFERROR(__xludf.DUMMYFUNCTION("""COMPUTED_VALUE"""),"https://www.facebook.com/rapplerdotcom/photos/a.317154781638645/5597592673594803/")</f>
        <v>https://www.facebook.com/rapplerdotcom/photos/a.317154781638645/5597592673594803/</v>
      </c>
      <c r="J514" s="1" t="str">
        <f>IFERROR(__xludf.DUMMYFUNCTION("""COMPUTED_VALUE"""),"2022-07-04T11:12:52.613Z")</f>
        <v>2022-07-04T11:12:52.613Z</v>
      </c>
      <c r="K514" s="1"/>
    </row>
    <row r="515">
      <c r="A515" s="2" t="str">
        <f>IFERROR(__xludf.DUMMYFUNCTION("""COMPUTED_VALUE"""),"https://www.facebook.com/omar.morales.14203")</f>
        <v>https://www.facebook.com/omar.morales.14203</v>
      </c>
      <c r="B515" s="1" t="str">
        <f>IFERROR(__xludf.DUMMYFUNCTION("""COMPUTED_VALUE"""),"Omar Morales")</f>
        <v>Omar Morales</v>
      </c>
      <c r="C515" s="1" t="str">
        <f>IFERROR(__xludf.DUMMYFUNCTION("""COMPUTED_VALUE"""),"Omar")</f>
        <v>Omar</v>
      </c>
      <c r="D515" s="1" t="str">
        <f>IFERROR(__xludf.DUMMYFUNCTION("""COMPUTED_VALUE"""),"Morales")</f>
        <v>Morales</v>
      </c>
      <c r="E515" s="1" t="str">
        <f>IFERROR(__xludf.DUMMYFUNCTION("""COMPUTED_VALUE"""),"Single pile.. Para mukhang marami...")</f>
        <v>Single pile.. Para mukhang marami...</v>
      </c>
      <c r="F515" s="1">
        <f>IFERROR(__xludf.DUMMYFUNCTION("""COMPUTED_VALUE"""),5.0)</f>
        <v>5</v>
      </c>
      <c r="G515" s="1" t="str">
        <f>IFERROR(__xludf.DUMMYFUNCTION("""COMPUTED_VALUE"""),"3 mos")</f>
        <v>3 mos</v>
      </c>
      <c r="H515" s="1" t="str">
        <f>IFERROR(__xludf.DUMMYFUNCTION("""COMPUTED_VALUE"""),"comment")</f>
        <v>comment</v>
      </c>
      <c r="I515" s="2" t="str">
        <f>IFERROR(__xludf.DUMMYFUNCTION("""COMPUTED_VALUE"""),"https://www.facebook.com/rapplerdotcom/photos/a.317154781638645/5597592673594803/")</f>
        <v>https://www.facebook.com/rapplerdotcom/photos/a.317154781638645/5597592673594803/</v>
      </c>
      <c r="J515" s="1" t="str">
        <f>IFERROR(__xludf.DUMMYFUNCTION("""COMPUTED_VALUE"""),"2022-07-04T11:12:52.613Z")</f>
        <v>2022-07-04T11:12:52.613Z</v>
      </c>
      <c r="K515" s="1"/>
    </row>
    <row r="516">
      <c r="A516" s="2" t="str">
        <f>IFERROR(__xludf.DUMMYFUNCTION("""COMPUTED_VALUE"""),"https://www.facebook.com/aldus.grey2")</f>
        <v>https://www.facebook.com/aldus.grey2</v>
      </c>
      <c r="B516" s="1" t="str">
        <f>IFERROR(__xludf.DUMMYFUNCTION("""COMPUTED_VALUE"""),"Aldus Grey")</f>
        <v>Aldus Grey</v>
      </c>
      <c r="C516" s="1" t="str">
        <f>IFERROR(__xludf.DUMMYFUNCTION("""COMPUTED_VALUE"""),"Aldus")</f>
        <v>Aldus</v>
      </c>
      <c r="D516" s="1" t="str">
        <f>IFERROR(__xludf.DUMMYFUNCTION("""COMPUTED_VALUE"""),"Grey")</f>
        <v>Grey</v>
      </c>
      <c r="E516" s="1" t="str">
        <f>IFERROR(__xludf.DUMMYFUNCTION("""COMPUTED_VALUE"""),"ANG ALAMAT NG PUTING SOBRE..")</f>
        <v>ANG ALAMAT NG PUTING SOBRE..</v>
      </c>
      <c r="F516" s="1"/>
      <c r="G516" s="1" t="str">
        <f>IFERROR(__xludf.DUMMYFUNCTION("""COMPUTED_VALUE"""),"3 mos")</f>
        <v>3 mos</v>
      </c>
      <c r="H516" s="1" t="str">
        <f>IFERROR(__xludf.DUMMYFUNCTION("""COMPUTED_VALUE"""),"comment")</f>
        <v>comment</v>
      </c>
      <c r="I516" s="2" t="str">
        <f>IFERROR(__xludf.DUMMYFUNCTION("""COMPUTED_VALUE"""),"https://www.facebook.com/rapplerdotcom/photos/a.317154781638645/5597592673594803/")</f>
        <v>https://www.facebook.com/rapplerdotcom/photos/a.317154781638645/5597592673594803/</v>
      </c>
      <c r="J516" s="1" t="str">
        <f>IFERROR(__xludf.DUMMYFUNCTION("""COMPUTED_VALUE"""),"2022-07-04T11:12:52.613Z")</f>
        <v>2022-07-04T11:12:52.613Z</v>
      </c>
      <c r="K516" s="1"/>
    </row>
    <row r="517">
      <c r="A517" s="2" t="str">
        <f>IFERROR(__xludf.DUMMYFUNCTION("""COMPUTED_VALUE"""),"https://www.facebook.com/ivan.mercadoii")</f>
        <v>https://www.facebook.com/ivan.mercadoii</v>
      </c>
      <c r="B517" s="1" t="str">
        <f>IFERROR(__xludf.DUMMYFUNCTION("""COMPUTED_VALUE"""),"Ivan Carlos Ivan")</f>
        <v>Ivan Carlos Ivan</v>
      </c>
      <c r="C517" s="1" t="str">
        <f>IFERROR(__xludf.DUMMYFUNCTION("""COMPUTED_VALUE"""),"Ivan")</f>
        <v>Ivan</v>
      </c>
      <c r="D517" s="1" t="str">
        <f>IFERROR(__xludf.DUMMYFUNCTION("""COMPUTED_VALUE"""),"Carlos Ivan")</f>
        <v>Carlos Ivan</v>
      </c>
      <c r="E517" s="1" t="str">
        <f>IFERROR(__xludf.DUMMYFUNCTION("""COMPUTED_VALUE"""),"sabagay walang pasok ang beerhaus ngayon")</f>
        <v>sabagay walang pasok ang beerhaus ngayon</v>
      </c>
      <c r="F517" s="1">
        <f>IFERROR(__xludf.DUMMYFUNCTION("""COMPUTED_VALUE"""),14.0)</f>
        <v>14</v>
      </c>
      <c r="G517" s="1" t="str">
        <f>IFERROR(__xludf.DUMMYFUNCTION("""COMPUTED_VALUE"""),"3 mos")</f>
        <v>3 mos</v>
      </c>
      <c r="H517" s="1" t="str">
        <f>IFERROR(__xludf.DUMMYFUNCTION("""COMPUTED_VALUE"""),"comment")</f>
        <v>comment</v>
      </c>
      <c r="I517" s="2" t="str">
        <f>IFERROR(__xludf.DUMMYFUNCTION("""COMPUTED_VALUE"""),"https://www.facebook.com/rapplerdotcom/photos/a.317154781638645/5597592673594803/")</f>
        <v>https://www.facebook.com/rapplerdotcom/photos/a.317154781638645/5597592673594803/</v>
      </c>
      <c r="J517" s="1" t="str">
        <f>IFERROR(__xludf.DUMMYFUNCTION("""COMPUTED_VALUE"""),"2022-07-04T11:12:52.613Z")</f>
        <v>2022-07-04T11:12:52.613Z</v>
      </c>
      <c r="K517" s="1"/>
    </row>
    <row r="518">
      <c r="A518" s="2" t="str">
        <f>IFERROR(__xludf.DUMMYFUNCTION("""COMPUTED_VALUE"""),"https://www.facebook.com/angelitoljaojr")</f>
        <v>https://www.facebook.com/angelitoljaojr</v>
      </c>
      <c r="B518" s="1" t="str">
        <f>IFERROR(__xludf.DUMMYFUNCTION("""COMPUTED_VALUE"""),"Angelito Jao Jr.")</f>
        <v>Angelito Jao Jr.</v>
      </c>
      <c r="C518" s="1" t="str">
        <f>IFERROR(__xludf.DUMMYFUNCTION("""COMPUTED_VALUE"""),"Angelito")</f>
        <v>Angelito</v>
      </c>
      <c r="D518" s="1" t="str">
        <f>IFERROR(__xludf.DUMMYFUNCTION("""COMPUTED_VALUE"""),"Jao Jr.")</f>
        <v>Jao Jr.</v>
      </c>
      <c r="E518" s="1" t="str">
        <f>IFERROR(__xludf.DUMMYFUNCTION("""COMPUTED_VALUE"""),"Ivan Ivan Ivan they need to be convinced not mocked.")</f>
        <v>Ivan Ivan Ivan they need to be convinced not mocked.</v>
      </c>
      <c r="F518" s="1">
        <f>IFERROR(__xludf.DUMMYFUNCTION("""COMPUTED_VALUE"""),2.0)</f>
        <v>2</v>
      </c>
      <c r="G518" s="1" t="str">
        <f>IFERROR(__xludf.DUMMYFUNCTION("""COMPUTED_VALUE"""),"3 mos")</f>
        <v>3 mos</v>
      </c>
      <c r="H518" s="1" t="str">
        <f>IFERROR(__xludf.DUMMYFUNCTION("""COMPUTED_VALUE"""),"reply")</f>
        <v>reply</v>
      </c>
      <c r="I518" s="2" t="str">
        <f>IFERROR(__xludf.DUMMYFUNCTION("""COMPUTED_VALUE"""),"https://www.facebook.com/rapplerdotcom/photos/a.317154781638645/5597592673594803/")</f>
        <v>https://www.facebook.com/rapplerdotcom/photos/a.317154781638645/5597592673594803/</v>
      </c>
      <c r="J518" s="1" t="str">
        <f>IFERROR(__xludf.DUMMYFUNCTION("""COMPUTED_VALUE"""),"2022-07-04T11:12:52.613Z")</f>
        <v>2022-07-04T11:12:52.613Z</v>
      </c>
      <c r="K518" s="1"/>
    </row>
    <row r="519">
      <c r="A519" s="2" t="str">
        <f>IFERROR(__xludf.DUMMYFUNCTION("""COMPUTED_VALUE"""),"https://www.facebook.com/profile.php?id=100052175882688")</f>
        <v>https://www.facebook.com/profile.php?id=100052175882688</v>
      </c>
      <c r="B519" s="1" t="str">
        <f>IFERROR(__xludf.DUMMYFUNCTION("""COMPUTED_VALUE"""),"Angela Santiago")</f>
        <v>Angela Santiago</v>
      </c>
      <c r="C519" s="1" t="str">
        <f>IFERROR(__xludf.DUMMYFUNCTION("""COMPUTED_VALUE"""),"Angela")</f>
        <v>Angela</v>
      </c>
      <c r="D519" s="1" t="str">
        <f>IFERROR(__xludf.DUMMYFUNCTION("""COMPUTED_VALUE"""),"Santiago")</f>
        <v>Santiago</v>
      </c>
      <c r="E519" s="1" t="str">
        <f>IFERROR(__xludf.DUMMYFUNCTION("""COMPUTED_VALUE"""),"Bato bato pick?")</f>
        <v>Bato bato pick?</v>
      </c>
      <c r="F519" s="1">
        <f>IFERROR(__xludf.DUMMYFUNCTION("""COMPUTED_VALUE"""),2.0)</f>
        <v>2</v>
      </c>
      <c r="G519" s="1" t="str">
        <f>IFERROR(__xludf.DUMMYFUNCTION("""COMPUTED_VALUE"""),"3 mos")</f>
        <v>3 mos</v>
      </c>
      <c r="H519" s="1" t="str">
        <f>IFERROR(__xludf.DUMMYFUNCTION("""COMPUTED_VALUE"""),"comment")</f>
        <v>comment</v>
      </c>
      <c r="I519" s="2" t="str">
        <f>IFERROR(__xludf.DUMMYFUNCTION("""COMPUTED_VALUE"""),"https://www.facebook.com/rapplerdotcom/photos/a.317154781638645/5597592673594803/")</f>
        <v>https://www.facebook.com/rapplerdotcom/photos/a.317154781638645/5597592673594803/</v>
      </c>
      <c r="J519" s="1" t="str">
        <f>IFERROR(__xludf.DUMMYFUNCTION("""COMPUTED_VALUE"""),"2022-07-04T11:12:52.613Z")</f>
        <v>2022-07-04T11:12:52.613Z</v>
      </c>
      <c r="K519" s="1"/>
    </row>
    <row r="520">
      <c r="A520" s="2" t="str">
        <f>IFERROR(__xludf.DUMMYFUNCTION("""COMPUTED_VALUE"""),"https://www.facebook.com/danielle.jacque.5")</f>
        <v>https://www.facebook.com/danielle.jacque.5</v>
      </c>
      <c r="B520" s="1" t="str">
        <f>IFERROR(__xludf.DUMMYFUNCTION("""COMPUTED_VALUE"""),"Danielle Jacque")</f>
        <v>Danielle Jacque</v>
      </c>
      <c r="C520" s="1" t="str">
        <f>IFERROR(__xludf.DUMMYFUNCTION("""COMPUTED_VALUE"""),"Danielle")</f>
        <v>Danielle</v>
      </c>
      <c r="D520" s="1" t="str">
        <f>IFERROR(__xludf.DUMMYFUNCTION("""COMPUTED_VALUE"""),"Jacque")</f>
        <v>Jacque</v>
      </c>
      <c r="E520" s="1" t="str">
        <f>IFERROR(__xludf.DUMMYFUNCTION("""COMPUTED_VALUE"""),"Danielle Jacque")</f>
        <v>Danielle Jacque</v>
      </c>
      <c r="F520" s="1">
        <f>IFERROR(__xludf.DUMMYFUNCTION("""COMPUTED_VALUE"""),2.0)</f>
        <v>2</v>
      </c>
      <c r="G520" s="1" t="str">
        <f>IFERROR(__xludf.DUMMYFUNCTION("""COMPUTED_VALUE"""),"3 mos")</f>
        <v>3 mos</v>
      </c>
      <c r="H520" s="1" t="str">
        <f>IFERROR(__xludf.DUMMYFUNCTION("""COMPUTED_VALUE"""),"comment")</f>
        <v>comment</v>
      </c>
      <c r="I520" s="2" t="str">
        <f>IFERROR(__xludf.DUMMYFUNCTION("""COMPUTED_VALUE"""),"https://www.facebook.com/rapplerdotcom/photos/a.317154781638645/5597592673594803/")</f>
        <v>https://www.facebook.com/rapplerdotcom/photos/a.317154781638645/5597592673594803/</v>
      </c>
      <c r="J520" s="1" t="str">
        <f>IFERROR(__xludf.DUMMYFUNCTION("""COMPUTED_VALUE"""),"2022-07-04T11:12:52.613Z")</f>
        <v>2022-07-04T11:12:52.613Z</v>
      </c>
      <c r="K520" s="1"/>
    </row>
    <row r="521">
      <c r="A521" s="2" t="str">
        <f>IFERROR(__xludf.DUMMYFUNCTION("""COMPUTED_VALUE"""),"https://www.facebook.com/angelitoljaojr")</f>
        <v>https://www.facebook.com/angelitoljaojr</v>
      </c>
      <c r="B521" s="1" t="str">
        <f>IFERROR(__xludf.DUMMYFUNCTION("""COMPUTED_VALUE"""),"Angelito Jao Jr.")</f>
        <v>Angelito Jao Jr.</v>
      </c>
      <c r="C521" s="1" t="str">
        <f>IFERROR(__xludf.DUMMYFUNCTION("""COMPUTED_VALUE"""),"Angelito")</f>
        <v>Angelito</v>
      </c>
      <c r="D521" s="1" t="str">
        <f>IFERROR(__xludf.DUMMYFUNCTION("""COMPUTED_VALUE"""),"Jao Jr.")</f>
        <v>Jao Jr.</v>
      </c>
      <c r="E521" s="1" t="str">
        <f>IFERROR(__xludf.DUMMYFUNCTION("""COMPUTED_VALUE"""),"Danielle Jacque you mocking other people ain't gonna help")</f>
        <v>Danielle Jacque you mocking other people ain't gonna help</v>
      </c>
      <c r="F521" s="1">
        <f>IFERROR(__xludf.DUMMYFUNCTION("""COMPUTED_VALUE"""),1.0)</f>
        <v>1</v>
      </c>
      <c r="G521" s="1" t="str">
        <f>IFERROR(__xludf.DUMMYFUNCTION("""COMPUTED_VALUE"""),"3 mos")</f>
        <v>3 mos</v>
      </c>
      <c r="H521" s="1" t="str">
        <f>IFERROR(__xludf.DUMMYFUNCTION("""COMPUTED_VALUE"""),"reply")</f>
        <v>reply</v>
      </c>
      <c r="I521" s="2" t="str">
        <f>IFERROR(__xludf.DUMMYFUNCTION("""COMPUTED_VALUE"""),"https://www.facebook.com/rapplerdotcom/photos/a.317154781638645/5597592673594803/")</f>
        <v>https://www.facebook.com/rapplerdotcom/photos/a.317154781638645/5597592673594803/</v>
      </c>
      <c r="J521" s="1" t="str">
        <f>IFERROR(__xludf.DUMMYFUNCTION("""COMPUTED_VALUE"""),"2022-07-04T11:12:52.613Z")</f>
        <v>2022-07-04T11:12:52.613Z</v>
      </c>
      <c r="K521" s="1"/>
    </row>
    <row r="522">
      <c r="A522" s="2" t="str">
        <f>IFERROR(__xludf.DUMMYFUNCTION("""COMPUTED_VALUE"""),"https://www.facebook.com/danielle.jacque.5")</f>
        <v>https://www.facebook.com/danielle.jacque.5</v>
      </c>
      <c r="B522" s="1" t="str">
        <f>IFERROR(__xludf.DUMMYFUNCTION("""COMPUTED_VALUE"""),"Danielle Jacque")</f>
        <v>Danielle Jacque</v>
      </c>
      <c r="C522" s="1" t="str">
        <f>IFERROR(__xludf.DUMMYFUNCTION("""COMPUTED_VALUE"""),"Danielle")</f>
        <v>Danielle</v>
      </c>
      <c r="D522" s="1" t="str">
        <f>IFERROR(__xludf.DUMMYFUNCTION("""COMPUTED_VALUE"""),"Jacque")</f>
        <v>Jacque</v>
      </c>
      <c r="E522" s="1" t="str">
        <f>IFERROR(__xludf.DUMMYFUNCTION("""COMPUTED_VALUE"""),"Angelito Jao Jr.")</f>
        <v>Angelito Jao Jr.</v>
      </c>
      <c r="F522" s="1">
        <f>IFERROR(__xludf.DUMMYFUNCTION("""COMPUTED_VALUE"""),3.0)</f>
        <v>3</v>
      </c>
      <c r="G522" s="1" t="str">
        <f>IFERROR(__xludf.DUMMYFUNCTION("""COMPUTED_VALUE"""),"3 mos")</f>
        <v>3 mos</v>
      </c>
      <c r="H522" s="1" t="str">
        <f>IFERROR(__xludf.DUMMYFUNCTION("""COMPUTED_VALUE"""),"reply")</f>
        <v>reply</v>
      </c>
      <c r="I522" s="2" t="str">
        <f>IFERROR(__xludf.DUMMYFUNCTION("""COMPUTED_VALUE"""),"https://www.facebook.com/rapplerdotcom/photos/a.317154781638645/5597592673594803/")</f>
        <v>https://www.facebook.com/rapplerdotcom/photos/a.317154781638645/5597592673594803/</v>
      </c>
      <c r="J522" s="1" t="str">
        <f>IFERROR(__xludf.DUMMYFUNCTION("""COMPUTED_VALUE"""),"2022-07-04T11:12:52.613Z")</f>
        <v>2022-07-04T11:12:52.613Z</v>
      </c>
      <c r="K522" s="1"/>
    </row>
    <row r="523">
      <c r="A523" s="2" t="str">
        <f>IFERROR(__xludf.DUMMYFUNCTION("""COMPUTED_VALUE"""),"https://www.facebook.com/angelitoljaojr")</f>
        <v>https://www.facebook.com/angelitoljaojr</v>
      </c>
      <c r="B523" s="1" t="str">
        <f>IFERROR(__xludf.DUMMYFUNCTION("""COMPUTED_VALUE"""),"Angelito Jao Jr.")</f>
        <v>Angelito Jao Jr.</v>
      </c>
      <c r="C523" s="1" t="str">
        <f>IFERROR(__xludf.DUMMYFUNCTION("""COMPUTED_VALUE"""),"Angelito")</f>
        <v>Angelito</v>
      </c>
      <c r="D523" s="1" t="str">
        <f>IFERROR(__xludf.DUMMYFUNCTION("""COMPUTED_VALUE"""),"Jao Jr.")</f>
        <v>Jao Jr.</v>
      </c>
      <c r="E523" s="1" t="str">
        <f>IFERROR(__xludf.DUMMYFUNCTION("""COMPUTED_VALUE"""),"Danielle Jacque sugo ka malamang ng uniteam para Mangmock.")</f>
        <v>Danielle Jacque sugo ka malamang ng uniteam para Mangmock.</v>
      </c>
      <c r="F523" s="1">
        <f>IFERROR(__xludf.DUMMYFUNCTION("""COMPUTED_VALUE"""),1.0)</f>
        <v>1</v>
      </c>
      <c r="G523" s="1" t="str">
        <f>IFERROR(__xludf.DUMMYFUNCTION("""COMPUTED_VALUE"""),"3 mos")</f>
        <v>3 mos</v>
      </c>
      <c r="H523" s="1" t="str">
        <f>IFERROR(__xludf.DUMMYFUNCTION("""COMPUTED_VALUE"""),"reply")</f>
        <v>reply</v>
      </c>
      <c r="I523" s="2" t="str">
        <f>IFERROR(__xludf.DUMMYFUNCTION("""COMPUTED_VALUE"""),"https://www.facebook.com/rapplerdotcom/photos/a.317154781638645/5597592673594803/")</f>
        <v>https://www.facebook.com/rapplerdotcom/photos/a.317154781638645/5597592673594803/</v>
      </c>
      <c r="J523" s="1" t="str">
        <f>IFERROR(__xludf.DUMMYFUNCTION("""COMPUTED_VALUE"""),"2022-07-04T11:12:52.613Z")</f>
        <v>2022-07-04T11:12:52.613Z</v>
      </c>
      <c r="K523" s="1"/>
    </row>
    <row r="524">
      <c r="A524" s="2" t="str">
        <f>IFERROR(__xludf.DUMMYFUNCTION("""COMPUTED_VALUE"""),"https://www.facebook.com/danielle.jacque.5")</f>
        <v>https://www.facebook.com/danielle.jacque.5</v>
      </c>
      <c r="B524" s="1" t="str">
        <f>IFERROR(__xludf.DUMMYFUNCTION("""COMPUTED_VALUE"""),"Danielle Jacque")</f>
        <v>Danielle Jacque</v>
      </c>
      <c r="C524" s="1" t="str">
        <f>IFERROR(__xludf.DUMMYFUNCTION("""COMPUTED_VALUE"""),"Danielle")</f>
        <v>Danielle</v>
      </c>
      <c r="D524" s="1" t="str">
        <f>IFERROR(__xludf.DUMMYFUNCTION("""COMPUTED_VALUE"""),"Jacque")</f>
        <v>Jacque</v>
      </c>
      <c r="E524" s="1" t="str">
        <f>IFERROR(__xludf.DUMMYFUNCTION("""COMPUTED_VALUE"""),"Angelito Jao Jr. UniWHAT?!?")</f>
        <v>Angelito Jao Jr. UniWHAT?!?</v>
      </c>
      <c r="F524" s="1">
        <f>IFERROR(__xludf.DUMMYFUNCTION("""COMPUTED_VALUE"""),1.0)</f>
        <v>1</v>
      </c>
      <c r="G524" s="1" t="str">
        <f>IFERROR(__xludf.DUMMYFUNCTION("""COMPUTED_VALUE"""),"3 mos")</f>
        <v>3 mos</v>
      </c>
      <c r="H524" s="1" t="str">
        <f>IFERROR(__xludf.DUMMYFUNCTION("""COMPUTED_VALUE"""),"reply")</f>
        <v>reply</v>
      </c>
      <c r="I524" s="2" t="str">
        <f>IFERROR(__xludf.DUMMYFUNCTION("""COMPUTED_VALUE"""),"https://www.facebook.com/rapplerdotcom/photos/a.317154781638645/5597592673594803/")</f>
        <v>https://www.facebook.com/rapplerdotcom/photos/a.317154781638645/5597592673594803/</v>
      </c>
      <c r="J524" s="1" t="str">
        <f>IFERROR(__xludf.DUMMYFUNCTION("""COMPUTED_VALUE"""),"2022-07-04T11:12:52.613Z")</f>
        <v>2022-07-04T11:12:52.613Z</v>
      </c>
      <c r="K524" s="1"/>
    </row>
    <row r="525">
      <c r="A525" s="2" t="str">
        <f>IFERROR(__xludf.DUMMYFUNCTION("""COMPUTED_VALUE"""),"https://www.facebook.com/julia.seminio")</f>
        <v>https://www.facebook.com/julia.seminio</v>
      </c>
      <c r="B525" s="1" t="str">
        <f>IFERROR(__xludf.DUMMYFUNCTION("""COMPUTED_VALUE"""),"Julia Seminio")</f>
        <v>Julia Seminio</v>
      </c>
      <c r="C525" s="1" t="str">
        <f>IFERROR(__xludf.DUMMYFUNCTION("""COMPUTED_VALUE"""),"Julia")</f>
        <v>Julia</v>
      </c>
      <c r="D525" s="1" t="str">
        <f>IFERROR(__xludf.DUMMYFUNCTION("""COMPUTED_VALUE"""),"Seminio")</f>
        <v>Seminio</v>
      </c>
      <c r="E525" s="1" t="str">
        <f>IFERROR(__xludf.DUMMYFUNCTION("""COMPUTED_VALUE"""),"You're on the right tract")</f>
        <v>You're on the right tract</v>
      </c>
      <c r="F525" s="1">
        <f>IFERROR(__xludf.DUMMYFUNCTION("""COMPUTED_VALUE"""),9.0)</f>
        <v>9</v>
      </c>
      <c r="G525" s="1" t="str">
        <f>IFERROR(__xludf.DUMMYFUNCTION("""COMPUTED_VALUE"""),"3 mos")</f>
        <v>3 mos</v>
      </c>
      <c r="H525" s="1" t="str">
        <f>IFERROR(__xludf.DUMMYFUNCTION("""COMPUTED_VALUE"""),"comment")</f>
        <v>comment</v>
      </c>
      <c r="I525"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25" s="1" t="str">
        <f>IFERROR(__xludf.DUMMYFUNCTION("""COMPUTED_VALUE"""),"2022-07-04T11:13:18.701Z")</f>
        <v>2022-07-04T11:13:18.701Z</v>
      </c>
      <c r="K525" s="1"/>
    </row>
    <row r="526">
      <c r="A526" s="2" t="str">
        <f>IFERROR(__xludf.DUMMYFUNCTION("""COMPUTED_VALUE"""),"https://www.facebook.com/profile.php?id=100011366202531")</f>
        <v>https://www.facebook.com/profile.php?id=100011366202531</v>
      </c>
      <c r="B526" s="1" t="str">
        <f>IFERROR(__xludf.DUMMYFUNCTION("""COMPUTED_VALUE"""),"Francis Abel")</f>
        <v>Francis Abel</v>
      </c>
      <c r="C526" s="1" t="str">
        <f>IFERROR(__xludf.DUMMYFUNCTION("""COMPUTED_VALUE"""),"Francis")</f>
        <v>Francis</v>
      </c>
      <c r="D526" s="1" t="str">
        <f>IFERROR(__xludf.DUMMYFUNCTION("""COMPUTED_VALUE"""),"Abel")</f>
        <v>Abel</v>
      </c>
      <c r="E526" s="1" t="str">
        <f>IFERROR(__xludf.DUMMYFUNCTION("""COMPUTED_VALUE"""),"Naman! 💞🌷Several more others coming... Hindi ka naman pwedeng tumindig sa mali...")</f>
        <v>Naman! 💞🌷Several more others coming... Hindi ka naman pwedeng tumindig sa mali...</v>
      </c>
      <c r="F526" s="1">
        <f>IFERROR(__xludf.DUMMYFUNCTION("""COMPUTED_VALUE"""),3.0)</f>
        <v>3</v>
      </c>
      <c r="G526" s="1" t="str">
        <f>IFERROR(__xludf.DUMMYFUNCTION("""COMPUTED_VALUE"""),"3 mos")</f>
        <v>3 mos</v>
      </c>
      <c r="H526" s="1" t="str">
        <f>IFERROR(__xludf.DUMMYFUNCTION("""COMPUTED_VALUE"""),"comment")</f>
        <v>comment</v>
      </c>
      <c r="I526"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26" s="1" t="str">
        <f>IFERROR(__xludf.DUMMYFUNCTION("""COMPUTED_VALUE"""),"2022-07-04T11:13:18.702Z")</f>
        <v>2022-07-04T11:13:18.702Z</v>
      </c>
      <c r="K526" s="1"/>
    </row>
    <row r="527">
      <c r="A527" s="2" t="str">
        <f>IFERROR(__xludf.DUMMYFUNCTION("""COMPUTED_VALUE"""),"https://www.facebook.com/edna.morita")</f>
        <v>https://www.facebook.com/edna.morita</v>
      </c>
      <c r="B527" s="1" t="str">
        <f>IFERROR(__xludf.DUMMYFUNCTION("""COMPUTED_VALUE"""),"Edna Robesa Morita")</f>
        <v>Edna Robesa Morita</v>
      </c>
      <c r="C527" s="1" t="str">
        <f>IFERROR(__xludf.DUMMYFUNCTION("""COMPUTED_VALUE"""),"Edna")</f>
        <v>Edna</v>
      </c>
      <c r="D527" s="1" t="str">
        <f>IFERROR(__xludf.DUMMYFUNCTION("""COMPUTED_VALUE"""),"Robesa Morita")</f>
        <v>Robesa Morita</v>
      </c>
      <c r="E527" s="1" t="str">
        <f>IFERROR(__xludf.DUMMYFUNCTION("""COMPUTED_VALUE"""),"Praying for more enlightened supporters! 🙏🏼🙏🏼🙏🏼 #RoadToRosasNaBukas")</f>
        <v>Praying for more enlightened supporters! 🙏🏼🙏🏼🙏🏼 #RoadToRosasNaBukas</v>
      </c>
      <c r="F527" s="1">
        <f>IFERROR(__xludf.DUMMYFUNCTION("""COMPUTED_VALUE"""),15.0)</f>
        <v>15</v>
      </c>
      <c r="G527" s="1" t="str">
        <f>IFERROR(__xludf.DUMMYFUNCTION("""COMPUTED_VALUE"""),"3 mos")</f>
        <v>3 mos</v>
      </c>
      <c r="H527" s="1" t="str">
        <f>IFERROR(__xludf.DUMMYFUNCTION("""COMPUTED_VALUE"""),"comment")</f>
        <v>comment</v>
      </c>
      <c r="I527"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27" s="1" t="str">
        <f>IFERROR(__xludf.DUMMYFUNCTION("""COMPUTED_VALUE"""),"2022-07-04T11:13:18.702Z")</f>
        <v>2022-07-04T11:13:18.702Z</v>
      </c>
      <c r="K527" s="1"/>
    </row>
    <row r="528">
      <c r="A528" s="2" t="str">
        <f>IFERROR(__xludf.DUMMYFUNCTION("""COMPUTED_VALUE"""),"https://www.facebook.com/marc.sagad.1")</f>
        <v>https://www.facebook.com/marc.sagad.1</v>
      </c>
      <c r="B528" s="1" t="str">
        <f>IFERROR(__xludf.DUMMYFUNCTION("""COMPUTED_VALUE"""),"Marc Sagad")</f>
        <v>Marc Sagad</v>
      </c>
      <c r="C528" s="1" t="str">
        <f>IFERROR(__xludf.DUMMYFUNCTION("""COMPUTED_VALUE"""),"Marc")</f>
        <v>Marc</v>
      </c>
      <c r="D528" s="1" t="str">
        <f>IFERROR(__xludf.DUMMYFUNCTION("""COMPUTED_VALUE"""),"Sagad")</f>
        <v>Sagad</v>
      </c>
      <c r="E528" s="1" t="str">
        <f>IFERROR(__xludf.DUMMYFUNCTION("""COMPUTED_VALUE"""),"#LeniForPresident2022  #LeniKiko2022  #AngatBuhayLahat  #TrillanesForSenator2022  #LeilaDeLima2022  #ChelDioknoSaSenado  #NeriColmenares  #RisaHontiveros2022  #DickGordon  #TeddyBaguilatForSenator")</f>
        <v>#LeniForPresident2022  #LeniKiko2022  #AngatBuhayLahat  #TrillanesForSenator2022  #LeilaDeLima2022  #ChelDioknoSaSenado  #NeriColmenares  #RisaHontiveros2022  #DickGordon  #TeddyBaguilatForSenator</v>
      </c>
      <c r="F528" s="1">
        <f>IFERROR(__xludf.DUMMYFUNCTION("""COMPUTED_VALUE"""),10.0)</f>
        <v>10</v>
      </c>
      <c r="G528" s="1" t="str">
        <f>IFERROR(__xludf.DUMMYFUNCTION("""COMPUTED_VALUE"""),"3 mos")</f>
        <v>3 mos</v>
      </c>
      <c r="H528" s="1" t="str">
        <f>IFERROR(__xludf.DUMMYFUNCTION("""COMPUTED_VALUE"""),"comment")</f>
        <v>comment</v>
      </c>
      <c r="I528"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28" s="1" t="str">
        <f>IFERROR(__xludf.DUMMYFUNCTION("""COMPUTED_VALUE"""),"2022-07-04T11:13:18.702Z")</f>
        <v>2022-07-04T11:13:18.702Z</v>
      </c>
      <c r="K528" s="1"/>
    </row>
    <row r="529">
      <c r="A529" s="2" t="str">
        <f>IFERROR(__xludf.DUMMYFUNCTION("""COMPUTED_VALUE"""),"https://www.facebook.com/molinoqueensrowlenikikosupporters")</f>
        <v>https://www.facebook.com/molinoqueensrowlenikikosupporters</v>
      </c>
      <c r="B529" s="1" t="str">
        <f>IFERROR(__xludf.DUMMYFUNCTION("""COMPUTED_VALUE"""),"Radikal Magmahal Para Sa Pilipinas")</f>
        <v>Radikal Magmahal Para Sa Pilipinas</v>
      </c>
      <c r="C529" s="1" t="str">
        <f>IFERROR(__xludf.DUMMYFUNCTION("""COMPUTED_VALUE"""),"Radikal")</f>
        <v>Radikal</v>
      </c>
      <c r="D529" s="1" t="str">
        <f>IFERROR(__xludf.DUMMYFUNCTION("""COMPUTED_VALUE"""),"Magmahal Para Sa Pilipinas")</f>
        <v>Magmahal Para Sa Pilipinas</v>
      </c>
      <c r="E529" s="1" t="str">
        <f>IFERROR(__xludf.DUMMYFUNCTION("""COMPUTED_VALUE"""),"Salamat sa mga tumindig at patuloy na lumalaban para sa bawat pamilyang Pilipino   #LeniRobredoForPresident2022  #LetLeniKikoLead2022   #RosasAngKulayNgBukas   #GobyernongTapatAngatBuhayLahat #IpanaloNa10To  #HindiKamiBayad")</f>
        <v>Salamat sa mga tumindig at patuloy na lumalaban para sa bawat pamilyang Pilipino   #LeniRobredoForPresident2022  #LetLeniKikoLead2022   #RosasAngKulayNgBukas   #GobyernongTapatAngatBuhayLahat #IpanaloNa10To  #HindiKamiBayad</v>
      </c>
      <c r="F529" s="1">
        <f>IFERROR(__xludf.DUMMYFUNCTION("""COMPUTED_VALUE"""),1.0)</f>
        <v>1</v>
      </c>
      <c r="G529" s="1" t="str">
        <f>IFERROR(__xludf.DUMMYFUNCTION("""COMPUTED_VALUE"""),"3 mos")</f>
        <v>3 mos</v>
      </c>
      <c r="H529" s="1" t="str">
        <f>IFERROR(__xludf.DUMMYFUNCTION("""COMPUTED_VALUE"""),"comment")</f>
        <v>comment</v>
      </c>
      <c r="I529"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29" s="1" t="str">
        <f>IFERROR(__xludf.DUMMYFUNCTION("""COMPUTED_VALUE"""),"2022-07-04T11:13:18.702Z")</f>
        <v>2022-07-04T11:13:18.702Z</v>
      </c>
      <c r="K529" s="1"/>
    </row>
    <row r="530">
      <c r="A530" s="2" t="str">
        <f>IFERROR(__xludf.DUMMYFUNCTION("""COMPUTED_VALUE"""),"https://www.facebook.com/jening.martinez")</f>
        <v>https://www.facebook.com/jening.martinez</v>
      </c>
      <c r="B530" s="1" t="str">
        <f>IFERROR(__xludf.DUMMYFUNCTION("""COMPUTED_VALUE"""),"Jenine Cayetano Magcalayo Martinez")</f>
        <v>Jenine Cayetano Magcalayo Martinez</v>
      </c>
      <c r="C530" s="1" t="str">
        <f>IFERROR(__xludf.DUMMYFUNCTION("""COMPUTED_VALUE"""),"Jenine")</f>
        <v>Jenine</v>
      </c>
      <c r="D530" s="1" t="str">
        <f>IFERROR(__xludf.DUMMYFUNCTION("""COMPUTED_VALUE"""),"Cayetano Magcalayo Martinez")</f>
        <v>Cayetano Magcalayo Martinez</v>
      </c>
      <c r="E530" s="1" t="str">
        <f>IFERROR(__xludf.DUMMYFUNCTION("""COMPUTED_VALUE"""),"Let's always pray  🙏🙏 💯🇵🇭 🏩 keep the faith 🙏🏩🇵🇭 good things come in our country")</f>
        <v>Let's always pray  🙏🙏 💯🇵🇭 🏩 keep the faith 🙏🏩🇵🇭 good things come in our country</v>
      </c>
      <c r="F530" s="1">
        <f>IFERROR(__xludf.DUMMYFUNCTION("""COMPUTED_VALUE"""),12.0)</f>
        <v>12</v>
      </c>
      <c r="G530" s="1" t="str">
        <f>IFERROR(__xludf.DUMMYFUNCTION("""COMPUTED_VALUE"""),"3 mos")</f>
        <v>3 mos</v>
      </c>
      <c r="H530" s="1" t="str">
        <f>IFERROR(__xludf.DUMMYFUNCTION("""COMPUTED_VALUE"""),"comment")</f>
        <v>comment</v>
      </c>
      <c r="I530"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0" s="1" t="str">
        <f>IFERROR(__xludf.DUMMYFUNCTION("""COMPUTED_VALUE"""),"2022-07-04T11:13:18.702Z")</f>
        <v>2022-07-04T11:13:18.702Z</v>
      </c>
      <c r="K530" s="1"/>
    </row>
    <row r="531">
      <c r="A531" s="2" t="str">
        <f>IFERROR(__xludf.DUMMYFUNCTION("""COMPUTED_VALUE"""),"https://www.facebook.com/danilomorales.dan")</f>
        <v>https://www.facebook.com/danilomorales.dan</v>
      </c>
      <c r="B531" s="1" t="str">
        <f>IFERROR(__xludf.DUMMYFUNCTION("""COMPUTED_VALUE"""),"Danilo Morales Dan")</f>
        <v>Danilo Morales Dan</v>
      </c>
      <c r="C531" s="1" t="str">
        <f>IFERROR(__xludf.DUMMYFUNCTION("""COMPUTED_VALUE"""),"Danilo")</f>
        <v>Danilo</v>
      </c>
      <c r="D531" s="1" t="str">
        <f>IFERROR(__xludf.DUMMYFUNCTION("""COMPUTED_VALUE"""),"Morales Dan")</f>
        <v>Morales Dan</v>
      </c>
      <c r="E531" s="1" t="str">
        <f>IFERROR(__xludf.DUMMYFUNCTION("""COMPUTED_VALUE"""),"GOOD MOVE ....MAHIRAP OPAGKATIWALA ANG ISANG BANSA SA ISANG TAONG  PANGIWI NGIWI ....GISING ....PILIPINAS")</f>
        <v>GOOD MOVE ....MAHIRAP OPAGKATIWALA ANG ISANG BANSA SA ISANG TAONG  PANGIWI NGIWI ....GISING ....PILIPINAS</v>
      </c>
      <c r="F531" s="1">
        <f>IFERROR(__xludf.DUMMYFUNCTION("""COMPUTED_VALUE"""),2.0)</f>
        <v>2</v>
      </c>
      <c r="G531" s="1" t="str">
        <f>IFERROR(__xludf.DUMMYFUNCTION("""COMPUTED_VALUE"""),"3 mos")</f>
        <v>3 mos</v>
      </c>
      <c r="H531" s="1" t="str">
        <f>IFERROR(__xludf.DUMMYFUNCTION("""COMPUTED_VALUE"""),"comment")</f>
        <v>comment</v>
      </c>
      <c r="I531"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1" s="1" t="str">
        <f>IFERROR(__xludf.DUMMYFUNCTION("""COMPUTED_VALUE"""),"2022-07-04T11:13:18.702Z")</f>
        <v>2022-07-04T11:13:18.702Z</v>
      </c>
      <c r="K531" s="1"/>
    </row>
    <row r="532">
      <c r="A532" s="2" t="str">
        <f>IFERROR(__xludf.DUMMYFUNCTION("""COMPUTED_VALUE"""),"https://www.facebook.com/lou.vega.16")</f>
        <v>https://www.facebook.com/lou.vega.16</v>
      </c>
      <c r="B532" s="1" t="str">
        <f>IFERROR(__xludf.DUMMYFUNCTION("""COMPUTED_VALUE"""),"Iza Belmonte")</f>
        <v>Iza Belmonte</v>
      </c>
      <c r="C532" s="1" t="str">
        <f>IFERROR(__xludf.DUMMYFUNCTION("""COMPUTED_VALUE"""),"Iza")</f>
        <v>Iza</v>
      </c>
      <c r="D532" s="1" t="str">
        <f>IFERROR(__xludf.DUMMYFUNCTION("""COMPUTED_VALUE"""),"Belmonte")</f>
        <v>Belmonte</v>
      </c>
      <c r="E532" s="1" t="str">
        <f>IFERROR(__xludf.DUMMYFUNCTION("""COMPUTED_VALUE"""),"Danilo Morales Dan karamahin ka sana")</f>
        <v>Danilo Morales Dan karamahin ka sana</v>
      </c>
      <c r="F532" s="1"/>
      <c r="G532" s="1" t="str">
        <f>IFERROR(__xludf.DUMMYFUNCTION("""COMPUTED_VALUE"""),"3 mos")</f>
        <v>3 mos</v>
      </c>
      <c r="H532" s="1" t="str">
        <f>IFERROR(__xludf.DUMMYFUNCTION("""COMPUTED_VALUE"""),"reply")</f>
        <v>reply</v>
      </c>
      <c r="I532"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2" s="1" t="str">
        <f>IFERROR(__xludf.DUMMYFUNCTION("""COMPUTED_VALUE"""),"2022-07-04T11:13:18.702Z")</f>
        <v>2022-07-04T11:13:18.702Z</v>
      </c>
      <c r="K532" s="1"/>
    </row>
    <row r="533">
      <c r="A533" s="2" t="str">
        <f>IFERROR(__xludf.DUMMYFUNCTION("""COMPUTED_VALUE"""),"https://www.facebook.com/danilomorales.dan")</f>
        <v>https://www.facebook.com/danilomorales.dan</v>
      </c>
      <c r="B533" s="1" t="str">
        <f>IFERROR(__xludf.DUMMYFUNCTION("""COMPUTED_VALUE"""),"Danilo Morales Dan")</f>
        <v>Danilo Morales Dan</v>
      </c>
      <c r="C533" s="1" t="str">
        <f>IFERROR(__xludf.DUMMYFUNCTION("""COMPUTED_VALUE"""),"Danilo")</f>
        <v>Danilo</v>
      </c>
      <c r="D533" s="1" t="str">
        <f>IFERROR(__xludf.DUMMYFUNCTION("""COMPUTED_VALUE"""),"Morales Dan")</f>
        <v>Morales Dan</v>
      </c>
      <c r="E533" s="1" t="str">
        <f>IFERROR(__xludf.DUMMYFUNCTION("""COMPUTED_VALUE"""),"Iza Belmonte IKAW BA IPAGKAKATIWALA MO ANG MGA ANAK MO SA ISANG TAONG PANGIWI NGIWI ??? SABI NGA NI DUTERTE NAG DI DROGA ??? TANONG LNG ...")</f>
        <v>Iza Belmonte IKAW BA IPAGKAKATIWALA MO ANG MGA ANAK MO SA ISANG TAONG PANGIWI NGIWI ??? SABI NGA NI DUTERTE NAG DI DROGA ??? TANONG LNG ...</v>
      </c>
      <c r="F533" s="1"/>
      <c r="G533" s="1" t="str">
        <f>IFERROR(__xludf.DUMMYFUNCTION("""COMPUTED_VALUE"""),"3 mos")</f>
        <v>3 mos</v>
      </c>
      <c r="H533" s="1" t="str">
        <f>IFERROR(__xludf.DUMMYFUNCTION("""COMPUTED_VALUE"""),"reply")</f>
        <v>reply</v>
      </c>
      <c r="I533"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3" s="1" t="str">
        <f>IFERROR(__xludf.DUMMYFUNCTION("""COMPUTED_VALUE"""),"2022-07-04T11:13:18.702Z")</f>
        <v>2022-07-04T11:13:18.702Z</v>
      </c>
      <c r="K533" s="1"/>
    </row>
    <row r="534">
      <c r="A534" s="2" t="str">
        <f>IFERROR(__xludf.DUMMYFUNCTION("""COMPUTED_VALUE"""),"https://www.facebook.com/noli.palmero")</f>
        <v>https://www.facebook.com/noli.palmero</v>
      </c>
      <c r="B534" s="1" t="str">
        <f>IFERROR(__xludf.DUMMYFUNCTION("""COMPUTED_VALUE"""),"Noli Palmero")</f>
        <v>Noli Palmero</v>
      </c>
      <c r="C534" s="1" t="str">
        <f>IFERROR(__xludf.DUMMYFUNCTION("""COMPUTED_VALUE"""),"Noli")</f>
        <v>Noli</v>
      </c>
      <c r="D534" s="1" t="str">
        <f>IFERROR(__xludf.DUMMYFUNCTION("""COMPUTED_VALUE"""),"Palmero")</f>
        <v>Palmero</v>
      </c>
      <c r="E534" s="1" t="str">
        <f>IFERROR(__xludf.DUMMYFUNCTION("""COMPUTED_VALUE"""),"DApat ganyan isipan ng mga politiko sa ating bansa, kapag me bahid ng mali...wag nang kampihan!")</f>
        <v>DApat ganyan isipan ng mga politiko sa ating bansa, kapag me bahid ng mali...wag nang kampihan!</v>
      </c>
      <c r="F534" s="1"/>
      <c r="G534" s="1" t="str">
        <f>IFERROR(__xludf.DUMMYFUNCTION("""COMPUTED_VALUE"""),"3 mos")</f>
        <v>3 mos</v>
      </c>
      <c r="H534" s="1" t="str">
        <f>IFERROR(__xludf.DUMMYFUNCTION("""COMPUTED_VALUE"""),"comment")</f>
        <v>comment</v>
      </c>
      <c r="I534"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4" s="1" t="str">
        <f>IFERROR(__xludf.DUMMYFUNCTION("""COMPUTED_VALUE"""),"2022-07-04T11:13:18.702Z")</f>
        <v>2022-07-04T11:13:18.702Z</v>
      </c>
      <c r="K534" s="1"/>
    </row>
    <row r="535">
      <c r="A535" s="2" t="str">
        <f>IFERROR(__xludf.DUMMYFUNCTION("""COMPUTED_VALUE"""),"https://www.facebook.com/dionisio.salmorin")</f>
        <v>https://www.facebook.com/dionisio.salmorin</v>
      </c>
      <c r="B535" s="1" t="str">
        <f>IFERROR(__xludf.DUMMYFUNCTION("""COMPUTED_VALUE"""),"Dondon Salmorin")</f>
        <v>Dondon Salmorin</v>
      </c>
      <c r="C535" s="1" t="str">
        <f>IFERROR(__xludf.DUMMYFUNCTION("""COMPUTED_VALUE"""),"Dondon")</f>
        <v>Dondon</v>
      </c>
      <c r="D535" s="1" t="str">
        <f>IFERROR(__xludf.DUMMYFUNCTION("""COMPUTED_VALUE"""),"Salmorin")</f>
        <v>Salmorin</v>
      </c>
      <c r="E535" s="1" t="str">
        <f>IFERROR(__xludf.DUMMYFUNCTION("""COMPUTED_VALUE"""),"Ang mga TAO kilala man o Hindi mayaman man o mahirap PINIPILI nila Ang mas KARAPAT DAPAT at may utak para Mamuno sa PILIPINAS upang mabago Ang NAKARAAN at KASALUKUYAN para mabago Ang KINABUKASAN nating MAMAYAN at MAKAMTAN Ang KAHALAGAHAN Ng ating IPINAGLA"&amp;"LABAN👍👍🌷🌷🌷🌷🌷🌷🇵🇭🇵🇭🇵🇭🇵🇭🇵🇭")</f>
        <v>Ang mga TAO kilala man o Hindi mayaman man o mahirap PINIPILI nila Ang mas KARAPAT DAPAT at may utak para Mamuno sa PILIPINAS upang mabago Ang NAKARAAN at KASALUKUYAN para mabago Ang KINABUKASAN nating MAMAYAN at MAKAMTAN Ang KAHALAGAHAN Ng ating IPINAGLALABAN👍👍🌷🌷🌷🌷🌷🌷🇵🇭🇵🇭🇵🇭🇵🇭🇵🇭</v>
      </c>
      <c r="F535" s="1">
        <f>IFERROR(__xludf.DUMMYFUNCTION("""COMPUTED_VALUE"""),6.0)</f>
        <v>6</v>
      </c>
      <c r="G535" s="1" t="str">
        <f>IFERROR(__xludf.DUMMYFUNCTION("""COMPUTED_VALUE"""),"3 mos")</f>
        <v>3 mos</v>
      </c>
      <c r="H535" s="1" t="str">
        <f>IFERROR(__xludf.DUMMYFUNCTION("""COMPUTED_VALUE"""),"comment")</f>
        <v>comment</v>
      </c>
      <c r="I535"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5" s="1" t="str">
        <f>IFERROR(__xludf.DUMMYFUNCTION("""COMPUTED_VALUE"""),"2022-07-04T11:13:18.702Z")</f>
        <v>2022-07-04T11:13:18.702Z</v>
      </c>
      <c r="K535" s="1"/>
    </row>
    <row r="536">
      <c r="A536" s="2" t="str">
        <f>IFERROR(__xludf.DUMMYFUNCTION("""COMPUTED_VALUE"""),"https://www.facebook.com/marissa.cadacio")</f>
        <v>https://www.facebook.com/marissa.cadacio</v>
      </c>
      <c r="B536" s="1" t="str">
        <f>IFERROR(__xludf.DUMMYFUNCTION("""COMPUTED_VALUE"""),"Marissa Cadacio Long")</f>
        <v>Marissa Cadacio Long</v>
      </c>
      <c r="C536" s="1" t="str">
        <f>IFERROR(__xludf.DUMMYFUNCTION("""COMPUTED_VALUE"""),"Marissa")</f>
        <v>Marissa</v>
      </c>
      <c r="D536" s="1" t="str">
        <f>IFERROR(__xludf.DUMMYFUNCTION("""COMPUTED_VALUE"""),"Cadacio Long")</f>
        <v>Cadacio Long</v>
      </c>
      <c r="E536" s="1" t="str">
        <f>IFERROR(__xludf.DUMMYFUNCTION("""COMPUTED_VALUE"""),"Yep that's the right term good conscience. 👍")</f>
        <v>Yep that's the right term good conscience. 👍</v>
      </c>
      <c r="F536" s="1">
        <f>IFERROR(__xludf.DUMMYFUNCTION("""COMPUTED_VALUE"""),5.0)</f>
        <v>5</v>
      </c>
      <c r="G536" s="1" t="str">
        <f>IFERROR(__xludf.DUMMYFUNCTION("""COMPUTED_VALUE"""),"3 mos")</f>
        <v>3 mos</v>
      </c>
      <c r="H536" s="1" t="str">
        <f>IFERROR(__xludf.DUMMYFUNCTION("""COMPUTED_VALUE"""),"comment")</f>
        <v>comment</v>
      </c>
      <c r="I536"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6" s="1" t="str">
        <f>IFERROR(__xludf.DUMMYFUNCTION("""COMPUTED_VALUE"""),"2022-07-04T11:13:18.702Z")</f>
        <v>2022-07-04T11:13:18.702Z</v>
      </c>
      <c r="K536" s="1"/>
    </row>
    <row r="537">
      <c r="A537" s="2" t="str">
        <f>IFERROR(__xludf.DUMMYFUNCTION("""COMPUTED_VALUE"""),"https://www.facebook.com/chelle.alvarez.581")</f>
        <v>https://www.facebook.com/chelle.alvarez.581</v>
      </c>
      <c r="B537" s="1" t="str">
        <f>IFERROR(__xludf.DUMMYFUNCTION("""COMPUTED_VALUE"""),"Mitchel Alvarez")</f>
        <v>Mitchel Alvarez</v>
      </c>
      <c r="C537" s="1" t="str">
        <f>IFERROR(__xludf.DUMMYFUNCTION("""COMPUTED_VALUE"""),"Mitchel")</f>
        <v>Mitchel</v>
      </c>
      <c r="D537" s="1" t="str">
        <f>IFERROR(__xludf.DUMMYFUNCTION("""COMPUTED_VALUE"""),"Alvarez")</f>
        <v>Alvarez</v>
      </c>
      <c r="E537" s="1" t="str">
        <f>IFERROR(__xludf.DUMMYFUNCTION("""COMPUTED_VALUE"""),"fear of the Lord is the foundation of true knowledge, but fool's despise wisdom and discipline...(Proverbs1:7)")</f>
        <v>fear of the Lord is the foundation of true knowledge, but fool's despise wisdom and discipline...(Proverbs1:7)</v>
      </c>
      <c r="F537" s="1"/>
      <c r="G537" s="1" t="str">
        <f>IFERROR(__xludf.DUMMYFUNCTION("""COMPUTED_VALUE"""),"3 mos")</f>
        <v>3 mos</v>
      </c>
      <c r="H537" s="1" t="str">
        <f>IFERROR(__xludf.DUMMYFUNCTION("""COMPUTED_VALUE"""),"comment")</f>
        <v>comment</v>
      </c>
      <c r="I537"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7" s="1" t="str">
        <f>IFERROR(__xludf.DUMMYFUNCTION("""COMPUTED_VALUE"""),"2022-07-04T11:13:18.702Z")</f>
        <v>2022-07-04T11:13:18.702Z</v>
      </c>
      <c r="K537" s="1"/>
    </row>
    <row r="538">
      <c r="A538" s="2" t="str">
        <f>IFERROR(__xludf.DUMMYFUNCTION("""COMPUTED_VALUE"""),"https://www.facebook.com/ed.tangarcia")</f>
        <v>https://www.facebook.com/ed.tangarcia</v>
      </c>
      <c r="B538" s="1" t="str">
        <f>IFERROR(__xludf.DUMMYFUNCTION("""COMPUTED_VALUE"""),"Ed Tan Garcia")</f>
        <v>Ed Tan Garcia</v>
      </c>
      <c r="C538" s="1" t="str">
        <f>IFERROR(__xludf.DUMMYFUNCTION("""COMPUTED_VALUE"""),"Ed")</f>
        <v>Ed</v>
      </c>
      <c r="D538" s="1" t="str">
        <f>IFERROR(__xludf.DUMMYFUNCTION("""COMPUTED_VALUE"""),"Tan Garcia")</f>
        <v>Tan Garcia</v>
      </c>
      <c r="E538" s="1" t="str">
        <f>IFERROR(__xludf.DUMMYFUNCTION("""COMPUTED_VALUE"""),"#KulayRosasAngBukas")</f>
        <v>#KulayRosasAngBukas</v>
      </c>
      <c r="F538" s="1">
        <f>IFERROR(__xludf.DUMMYFUNCTION("""COMPUTED_VALUE"""),1.0)</f>
        <v>1</v>
      </c>
      <c r="G538" s="1" t="str">
        <f>IFERROR(__xludf.DUMMYFUNCTION("""COMPUTED_VALUE"""),"3 mos")</f>
        <v>3 mos</v>
      </c>
      <c r="H538" s="1" t="str">
        <f>IFERROR(__xludf.DUMMYFUNCTION("""COMPUTED_VALUE"""),"comment")</f>
        <v>comment</v>
      </c>
      <c r="I538"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8" s="1" t="str">
        <f>IFERROR(__xludf.DUMMYFUNCTION("""COMPUTED_VALUE"""),"2022-07-04T11:13:18.702Z")</f>
        <v>2022-07-04T11:13:18.702Z</v>
      </c>
      <c r="K538" s="1"/>
    </row>
    <row r="539">
      <c r="A539" s="2" t="str">
        <f>IFERROR(__xludf.DUMMYFUNCTION("""COMPUTED_VALUE"""),"https://www.facebook.com/ruben.mallari")</f>
        <v>https://www.facebook.com/ruben.mallari</v>
      </c>
      <c r="B539" s="1" t="str">
        <f>IFERROR(__xludf.DUMMYFUNCTION("""COMPUTED_VALUE"""),"RuBen Mallari")</f>
        <v>RuBen Mallari</v>
      </c>
      <c r="C539" s="1" t="str">
        <f>IFERROR(__xludf.DUMMYFUNCTION("""COMPUTED_VALUE"""),"RuBen")</f>
        <v>RuBen</v>
      </c>
      <c r="D539" s="1" t="str">
        <f>IFERROR(__xludf.DUMMYFUNCTION("""COMPUTED_VALUE"""),"Mallari")</f>
        <v>Mallari</v>
      </c>
      <c r="E539" s="1" t="str">
        <f>IFERROR(__xludf.DUMMYFUNCTION("""COMPUTED_VALUE"""),"#GobyernongTapatAngatBuhayLahat  😊😘😍")</f>
        <v>#GobyernongTapatAngatBuhayLahat  😊😘😍</v>
      </c>
      <c r="F539" s="1">
        <f>IFERROR(__xludf.DUMMYFUNCTION("""COMPUTED_VALUE"""),3.0)</f>
        <v>3</v>
      </c>
      <c r="G539" s="1" t="str">
        <f>IFERROR(__xludf.DUMMYFUNCTION("""COMPUTED_VALUE"""),"3 mos")</f>
        <v>3 mos</v>
      </c>
      <c r="H539" s="1" t="str">
        <f>IFERROR(__xludf.DUMMYFUNCTION("""COMPUTED_VALUE"""),"comment")</f>
        <v>comment</v>
      </c>
      <c r="I539"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39" s="1" t="str">
        <f>IFERROR(__xludf.DUMMYFUNCTION("""COMPUTED_VALUE"""),"2022-07-04T11:13:18.702Z")</f>
        <v>2022-07-04T11:13:18.702Z</v>
      </c>
      <c r="K539" s="1"/>
    </row>
    <row r="540">
      <c r="A540" s="2" t="str">
        <f>IFERROR(__xludf.DUMMYFUNCTION("""COMPUTED_VALUE"""),"https://www.facebook.com/eddie.llanora")</f>
        <v>https://www.facebook.com/eddie.llanora</v>
      </c>
      <c r="B540" s="1" t="str">
        <f>IFERROR(__xludf.DUMMYFUNCTION("""COMPUTED_VALUE"""),"Eddie Llanora")</f>
        <v>Eddie Llanora</v>
      </c>
      <c r="C540" s="1" t="str">
        <f>IFERROR(__xludf.DUMMYFUNCTION("""COMPUTED_VALUE"""),"Eddie")</f>
        <v>Eddie</v>
      </c>
      <c r="D540" s="1" t="str">
        <f>IFERROR(__xludf.DUMMYFUNCTION("""COMPUTED_VALUE"""),"Llanora")</f>
        <v>Llanora</v>
      </c>
      <c r="E540" s="1" t="str">
        <f>IFERROR(__xludf.DUMMYFUNCTION("""COMPUTED_VALUE"""),"#AngatBuhayLahat  #LeniKiko2022  #CaMaNaVaIsPink")</f>
        <v>#AngatBuhayLahat  #LeniKiko2022  #CaMaNaVaIsPink</v>
      </c>
      <c r="F540" s="1">
        <f>IFERROR(__xludf.DUMMYFUNCTION("""COMPUTED_VALUE"""),1.0)</f>
        <v>1</v>
      </c>
      <c r="G540" s="1" t="str">
        <f>IFERROR(__xludf.DUMMYFUNCTION("""COMPUTED_VALUE"""),"3 mos")</f>
        <v>3 mos</v>
      </c>
      <c r="H540" s="1" t="str">
        <f>IFERROR(__xludf.DUMMYFUNCTION("""COMPUTED_VALUE"""),"comment")</f>
        <v>comment</v>
      </c>
      <c r="I540"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0" s="1" t="str">
        <f>IFERROR(__xludf.DUMMYFUNCTION("""COMPUTED_VALUE"""),"2022-07-04T11:13:18.702Z")</f>
        <v>2022-07-04T11:13:18.702Z</v>
      </c>
      <c r="K540" s="1"/>
    </row>
    <row r="541">
      <c r="A541" s="2" t="str">
        <f>IFERROR(__xludf.DUMMYFUNCTION("""COMPUTED_VALUE"""),"https://www.facebook.com/elgar.veril")</f>
        <v>https://www.facebook.com/elgar.veril</v>
      </c>
      <c r="B541" s="1" t="str">
        <f>IFERROR(__xludf.DUMMYFUNCTION("""COMPUTED_VALUE"""),"El-gar Lirev")</f>
        <v>El-gar Lirev</v>
      </c>
      <c r="C541" s="1" t="str">
        <f>IFERROR(__xludf.DUMMYFUNCTION("""COMPUTED_VALUE"""),"El-gar")</f>
        <v>El-gar</v>
      </c>
      <c r="D541" s="1" t="str">
        <f>IFERROR(__xludf.DUMMYFUNCTION("""COMPUTED_VALUE"""),"Lirev")</f>
        <v>Lirev</v>
      </c>
      <c r="E541" s="1" t="str">
        <f>IFERROR(__xludf.DUMMYFUNCTION("""COMPUTED_VALUE"""),"#LetLeniLead2022")</f>
        <v>#LetLeniLead2022</v>
      </c>
      <c r="F541" s="1">
        <f>IFERROR(__xludf.DUMMYFUNCTION("""COMPUTED_VALUE"""),1.0)</f>
        <v>1</v>
      </c>
      <c r="G541" s="1" t="str">
        <f>IFERROR(__xludf.DUMMYFUNCTION("""COMPUTED_VALUE"""),"3 mos")</f>
        <v>3 mos</v>
      </c>
      <c r="H541" s="1" t="str">
        <f>IFERROR(__xludf.DUMMYFUNCTION("""COMPUTED_VALUE"""),"comment")</f>
        <v>comment</v>
      </c>
      <c r="I541"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1" s="1" t="str">
        <f>IFERROR(__xludf.DUMMYFUNCTION("""COMPUTED_VALUE"""),"2022-07-04T11:13:18.702Z")</f>
        <v>2022-07-04T11:13:18.702Z</v>
      </c>
      <c r="K541" s="1"/>
    </row>
    <row r="542">
      <c r="A542" s="2" t="str">
        <f>IFERROR(__xludf.DUMMYFUNCTION("""COMPUTED_VALUE"""),"https://www.facebook.com/profile.php?id=100028593196825")</f>
        <v>https://www.facebook.com/profile.php?id=100028593196825</v>
      </c>
      <c r="B542" s="1" t="str">
        <f>IFERROR(__xludf.DUMMYFUNCTION("""COMPUTED_VALUE"""),"Edgardo Flores")</f>
        <v>Edgardo Flores</v>
      </c>
      <c r="C542" s="1" t="str">
        <f>IFERROR(__xludf.DUMMYFUNCTION("""COMPUTED_VALUE"""),"Edgardo")</f>
        <v>Edgardo</v>
      </c>
      <c r="D542" s="1" t="str">
        <f>IFERROR(__xludf.DUMMYFUNCTION("""COMPUTED_VALUE"""),"Flores")</f>
        <v>Flores</v>
      </c>
      <c r="E542" s="1" t="str">
        <f>IFERROR(__xludf.DUMMYFUNCTION("""COMPUTED_VALUE"""),"Walk in the light not in darkness for God will lift those are wise.")</f>
        <v>Walk in the light not in darkness for God will lift those are wise.</v>
      </c>
      <c r="F542" s="1"/>
      <c r="G542" s="1" t="str">
        <f>IFERROR(__xludf.DUMMYFUNCTION("""COMPUTED_VALUE"""),"3 mos")</f>
        <v>3 mos</v>
      </c>
      <c r="H542" s="1" t="str">
        <f>IFERROR(__xludf.DUMMYFUNCTION("""COMPUTED_VALUE"""),"comment")</f>
        <v>comment</v>
      </c>
      <c r="I542"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2" s="1" t="str">
        <f>IFERROR(__xludf.DUMMYFUNCTION("""COMPUTED_VALUE"""),"2022-07-04T11:13:18.702Z")</f>
        <v>2022-07-04T11:13:18.702Z</v>
      </c>
      <c r="K542" s="1"/>
    </row>
    <row r="543">
      <c r="A543" s="2" t="str">
        <f>IFERROR(__xludf.DUMMYFUNCTION("""COMPUTED_VALUE"""),"https://www.facebook.com/einavanie")</f>
        <v>https://www.facebook.com/einavanie</v>
      </c>
      <c r="B543" s="1" t="str">
        <f>IFERROR(__xludf.DUMMYFUNCTION("""COMPUTED_VALUE"""),"Einavanie Bonga")</f>
        <v>Einavanie Bonga</v>
      </c>
      <c r="C543" s="1" t="str">
        <f>IFERROR(__xludf.DUMMYFUNCTION("""COMPUTED_VALUE"""),"Einavanie")</f>
        <v>Einavanie</v>
      </c>
      <c r="D543" s="1" t="str">
        <f>IFERROR(__xludf.DUMMYFUNCTION("""COMPUTED_VALUE"""),"Bonga")</f>
        <v>Bonga</v>
      </c>
      <c r="E543" s="1" t="str">
        <f>IFERROR(__xludf.DUMMYFUNCTION("""COMPUTED_VALUE"""),"True Unity. Thank you Kakampinks Public Servanta.")</f>
        <v>True Unity. Thank you Kakampinks Public Servanta.</v>
      </c>
      <c r="F543" s="1"/>
      <c r="G543" s="1" t="str">
        <f>IFERROR(__xludf.DUMMYFUNCTION("""COMPUTED_VALUE"""),"3 mos")</f>
        <v>3 mos</v>
      </c>
      <c r="H543" s="1" t="str">
        <f>IFERROR(__xludf.DUMMYFUNCTION("""COMPUTED_VALUE"""),"comment")</f>
        <v>comment</v>
      </c>
      <c r="I543"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3" s="1" t="str">
        <f>IFERROR(__xludf.DUMMYFUNCTION("""COMPUTED_VALUE"""),"2022-07-04T11:13:18.702Z")</f>
        <v>2022-07-04T11:13:18.702Z</v>
      </c>
      <c r="K543" s="1"/>
    </row>
    <row r="544">
      <c r="A544" s="2" t="str">
        <f>IFERROR(__xludf.DUMMYFUNCTION("""COMPUTED_VALUE"""),"https://www.facebook.com/jhazy30")</f>
        <v>https://www.facebook.com/jhazy30</v>
      </c>
      <c r="B544" s="1" t="str">
        <f>IFERROR(__xludf.DUMMYFUNCTION("""COMPUTED_VALUE"""),"Jassy Arbasto Duarte")</f>
        <v>Jassy Arbasto Duarte</v>
      </c>
      <c r="C544" s="1" t="str">
        <f>IFERROR(__xludf.DUMMYFUNCTION("""COMPUTED_VALUE"""),"Jassy")</f>
        <v>Jassy</v>
      </c>
      <c r="D544" s="1" t="str">
        <f>IFERROR(__xludf.DUMMYFUNCTION("""COMPUTED_VALUE"""),"Arbasto Duarte")</f>
        <v>Arbasto Duarte</v>
      </c>
      <c r="E544" s="1" t="str">
        <f>IFERROR(__xludf.DUMMYFUNCTION("""COMPUTED_VALUE"""),"#GobernongTapatAngatBuhayLahat #LeniKikoAllTheWay #transparencymatters  #RadicalMagmahal")</f>
        <v>#GobernongTapatAngatBuhayLahat #LeniKikoAllTheWay #transparencymatters  #RadicalMagmahal</v>
      </c>
      <c r="F544" s="1">
        <f>IFERROR(__xludf.DUMMYFUNCTION("""COMPUTED_VALUE"""),2.0)</f>
        <v>2</v>
      </c>
      <c r="G544" s="1" t="str">
        <f>IFERROR(__xludf.DUMMYFUNCTION("""COMPUTED_VALUE"""),"3 mos")</f>
        <v>3 mos</v>
      </c>
      <c r="H544" s="1" t="str">
        <f>IFERROR(__xludf.DUMMYFUNCTION("""COMPUTED_VALUE"""),"comment")</f>
        <v>comment</v>
      </c>
      <c r="I544"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4" s="1" t="str">
        <f>IFERROR(__xludf.DUMMYFUNCTION("""COMPUTED_VALUE"""),"2022-07-04T11:13:18.702Z")</f>
        <v>2022-07-04T11:13:18.702Z</v>
      </c>
      <c r="K544" s="1"/>
    </row>
    <row r="545">
      <c r="A545" s="2" t="str">
        <f>IFERROR(__xludf.DUMMYFUNCTION("""COMPUTED_VALUE"""),"https://www.facebook.com/beng.decastro")</f>
        <v>https://www.facebook.com/beng.decastro</v>
      </c>
      <c r="B545" s="1" t="str">
        <f>IFERROR(__xludf.DUMMYFUNCTION("""COMPUTED_VALUE"""),"Beng Sitjar De Castro")</f>
        <v>Beng Sitjar De Castro</v>
      </c>
      <c r="C545" s="1" t="str">
        <f>IFERROR(__xludf.DUMMYFUNCTION("""COMPUTED_VALUE"""),"Beng")</f>
        <v>Beng</v>
      </c>
      <c r="D545" s="1" t="str">
        <f>IFERROR(__xludf.DUMMYFUNCTION("""COMPUTED_VALUE"""),"Sitjar De Castro")</f>
        <v>Sitjar De Castro</v>
      </c>
      <c r="E545" s="1" t="str">
        <f>IFERROR(__xludf.DUMMYFUNCTION("""COMPUTED_VALUE"""),"Beng Sitjar De Castro")</f>
        <v>Beng Sitjar De Castro</v>
      </c>
      <c r="F545" s="1">
        <f>IFERROR(__xludf.DUMMYFUNCTION("""COMPUTED_VALUE"""),2.0)</f>
        <v>2</v>
      </c>
      <c r="G545" s="1" t="str">
        <f>IFERROR(__xludf.DUMMYFUNCTION("""COMPUTED_VALUE"""),"3 mos")</f>
        <v>3 mos</v>
      </c>
      <c r="H545" s="1" t="str">
        <f>IFERROR(__xludf.DUMMYFUNCTION("""COMPUTED_VALUE"""),"comment")</f>
        <v>comment</v>
      </c>
      <c r="I545"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5" s="1" t="str">
        <f>IFERROR(__xludf.DUMMYFUNCTION("""COMPUTED_VALUE"""),"2022-07-04T11:13:18.702Z")</f>
        <v>2022-07-04T11:13:18.702Z</v>
      </c>
      <c r="K545" s="1"/>
    </row>
    <row r="546">
      <c r="A546" s="2" t="str">
        <f>IFERROR(__xludf.DUMMYFUNCTION("""COMPUTED_VALUE"""),"https://www.facebook.com/beng.decastro")</f>
        <v>https://www.facebook.com/beng.decastro</v>
      </c>
      <c r="B546" s="1" t="str">
        <f>IFERROR(__xludf.DUMMYFUNCTION("""COMPUTED_VALUE"""),"Beng Sitjar De Castro")</f>
        <v>Beng Sitjar De Castro</v>
      </c>
      <c r="C546" s="1" t="str">
        <f>IFERROR(__xludf.DUMMYFUNCTION("""COMPUTED_VALUE"""),"Beng")</f>
        <v>Beng</v>
      </c>
      <c r="D546" s="1" t="str">
        <f>IFERROR(__xludf.DUMMYFUNCTION("""COMPUTED_VALUE"""),"Sitjar De Castro")</f>
        <v>Sitjar De Castro</v>
      </c>
      <c r="E546" s="1" t="str">
        <f>IFERROR(__xludf.DUMMYFUNCTION("""COMPUTED_VALUE"""),"Beng Sitjar De Castro")</f>
        <v>Beng Sitjar De Castro</v>
      </c>
      <c r="F546" s="1">
        <f>IFERROR(__xludf.DUMMYFUNCTION("""COMPUTED_VALUE"""),2.0)</f>
        <v>2</v>
      </c>
      <c r="G546" s="1" t="str">
        <f>IFERROR(__xludf.DUMMYFUNCTION("""COMPUTED_VALUE"""),"3 mos")</f>
        <v>3 mos</v>
      </c>
      <c r="H546" s="1" t="str">
        <f>IFERROR(__xludf.DUMMYFUNCTION("""COMPUTED_VALUE"""),"comment")</f>
        <v>comment</v>
      </c>
      <c r="I546"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6" s="1" t="str">
        <f>IFERROR(__xludf.DUMMYFUNCTION("""COMPUTED_VALUE"""),"2022-07-04T11:13:18.702Z")</f>
        <v>2022-07-04T11:13:18.702Z</v>
      </c>
      <c r="K546" s="1"/>
    </row>
    <row r="547">
      <c r="A547" s="2" t="str">
        <f>IFERROR(__xludf.DUMMYFUNCTION("""COMPUTED_VALUE"""),"https://www.facebook.com/beng.decastro")</f>
        <v>https://www.facebook.com/beng.decastro</v>
      </c>
      <c r="B547" s="1" t="str">
        <f>IFERROR(__xludf.DUMMYFUNCTION("""COMPUTED_VALUE"""),"Beng Sitjar De Castro")</f>
        <v>Beng Sitjar De Castro</v>
      </c>
      <c r="C547" s="1" t="str">
        <f>IFERROR(__xludf.DUMMYFUNCTION("""COMPUTED_VALUE"""),"Beng")</f>
        <v>Beng</v>
      </c>
      <c r="D547" s="1" t="str">
        <f>IFERROR(__xludf.DUMMYFUNCTION("""COMPUTED_VALUE"""),"Sitjar De Castro")</f>
        <v>Sitjar De Castro</v>
      </c>
      <c r="E547" s="1" t="str">
        <f>IFERROR(__xludf.DUMMYFUNCTION("""COMPUTED_VALUE"""),"Beng Sitjar De Castro")</f>
        <v>Beng Sitjar De Castro</v>
      </c>
      <c r="F547" s="1"/>
      <c r="G547" s="1" t="str">
        <f>IFERROR(__xludf.DUMMYFUNCTION("""COMPUTED_VALUE"""),"3 mos")</f>
        <v>3 mos</v>
      </c>
      <c r="H547" s="1" t="str">
        <f>IFERROR(__xludf.DUMMYFUNCTION("""COMPUTED_VALUE"""),"comment")</f>
        <v>comment</v>
      </c>
      <c r="I547"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7" s="1" t="str">
        <f>IFERROR(__xludf.DUMMYFUNCTION("""COMPUTED_VALUE"""),"2022-07-04T11:13:18.702Z")</f>
        <v>2022-07-04T11:13:18.702Z</v>
      </c>
      <c r="K547" s="1"/>
    </row>
    <row r="548">
      <c r="A548" s="2" t="str">
        <f>IFERROR(__xludf.DUMMYFUNCTION("""COMPUTED_VALUE"""),"https://www.facebook.com/beng.decastro")</f>
        <v>https://www.facebook.com/beng.decastro</v>
      </c>
      <c r="B548" s="1" t="str">
        <f>IFERROR(__xludf.DUMMYFUNCTION("""COMPUTED_VALUE"""),"Beng Sitjar De Castro")</f>
        <v>Beng Sitjar De Castro</v>
      </c>
      <c r="C548" s="1" t="str">
        <f>IFERROR(__xludf.DUMMYFUNCTION("""COMPUTED_VALUE"""),"Beng")</f>
        <v>Beng</v>
      </c>
      <c r="D548" s="1" t="str">
        <f>IFERROR(__xludf.DUMMYFUNCTION("""COMPUTED_VALUE"""),"Sitjar De Castro")</f>
        <v>Sitjar De Castro</v>
      </c>
      <c r="E548" s="1" t="str">
        <f>IFERROR(__xludf.DUMMYFUNCTION("""COMPUTED_VALUE"""),"Beng Sitjar De Castro")</f>
        <v>Beng Sitjar De Castro</v>
      </c>
      <c r="F548" s="1">
        <f>IFERROR(__xludf.DUMMYFUNCTION("""COMPUTED_VALUE"""),3.0)</f>
        <v>3</v>
      </c>
      <c r="G548" s="1" t="str">
        <f>IFERROR(__xludf.DUMMYFUNCTION("""COMPUTED_VALUE"""),"3 mos")</f>
        <v>3 mos</v>
      </c>
      <c r="H548" s="1" t="str">
        <f>IFERROR(__xludf.DUMMYFUNCTION("""COMPUTED_VALUE"""),"comment")</f>
        <v>comment</v>
      </c>
      <c r="I548"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8" s="1" t="str">
        <f>IFERROR(__xludf.DUMMYFUNCTION("""COMPUTED_VALUE"""),"2022-07-04T11:13:18.702Z")</f>
        <v>2022-07-04T11:13:18.702Z</v>
      </c>
      <c r="K548" s="1"/>
    </row>
    <row r="549">
      <c r="A549" s="2" t="str">
        <f>IFERROR(__xludf.DUMMYFUNCTION("""COMPUTED_VALUE"""),"https://www.facebook.com/belen.palambiano")</f>
        <v>https://www.facebook.com/belen.palambiano</v>
      </c>
      <c r="B549" s="1" t="str">
        <f>IFERROR(__xludf.DUMMYFUNCTION("""COMPUTED_VALUE"""),"Belen Palambiano")</f>
        <v>Belen Palambiano</v>
      </c>
      <c r="C549" s="1" t="str">
        <f>IFERROR(__xludf.DUMMYFUNCTION("""COMPUTED_VALUE"""),"Belen")</f>
        <v>Belen</v>
      </c>
      <c r="D549" s="1" t="str">
        <f>IFERROR(__xludf.DUMMYFUNCTION("""COMPUTED_VALUE"""),"Palambiano")</f>
        <v>Palambiano</v>
      </c>
      <c r="E549" s="1" t="str">
        <f>IFERROR(__xludf.DUMMYFUNCTION("""COMPUTED_VALUE"""),"salamat.naman madami na ang nabubuksan ang mga mata...📛🏩💒💌🙏🏩💒💌📛🏩💒💒 ipanali natin ito....")</f>
        <v>salamat.naman madami na ang nabubuksan ang mga mata...📛🏩💒💌🙏🏩💒💌📛🏩💒💒 ipanali natin ito....</v>
      </c>
      <c r="F549" s="1"/>
      <c r="G549" s="1" t="str">
        <f>IFERROR(__xludf.DUMMYFUNCTION("""COMPUTED_VALUE"""),"3 mos")</f>
        <v>3 mos</v>
      </c>
      <c r="H549" s="1" t="str">
        <f>IFERROR(__xludf.DUMMYFUNCTION("""COMPUTED_VALUE"""),"comment")</f>
        <v>comment</v>
      </c>
      <c r="I549"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49" s="1" t="str">
        <f>IFERROR(__xludf.DUMMYFUNCTION("""COMPUTED_VALUE"""),"2022-07-04T11:13:18.702Z")</f>
        <v>2022-07-04T11:13:18.702Z</v>
      </c>
      <c r="K549" s="1"/>
    </row>
    <row r="550">
      <c r="A550" s="2" t="str">
        <f>IFERROR(__xludf.DUMMYFUNCTION("""COMPUTED_VALUE"""),"https://www.facebook.com/virginia.bongalosa")</f>
        <v>https://www.facebook.com/virginia.bongalosa</v>
      </c>
      <c r="B550" s="1" t="str">
        <f>IFERROR(__xludf.DUMMYFUNCTION("""COMPUTED_VALUE"""),"Virginia Bongalosa")</f>
        <v>Virginia Bongalosa</v>
      </c>
      <c r="C550" s="1" t="str">
        <f>IFERROR(__xludf.DUMMYFUNCTION("""COMPUTED_VALUE"""),"Virginia")</f>
        <v>Virginia</v>
      </c>
      <c r="D550" s="1" t="str">
        <f>IFERROR(__xludf.DUMMYFUNCTION("""COMPUTED_VALUE"""),"Bongalosa")</f>
        <v>Bongalosa</v>
      </c>
      <c r="E550" s="1" t="str">
        <f>IFERROR(__xludf.DUMMYFUNCTION("""COMPUTED_VALUE"""),"#GobyernongTapatAngatBuhayLahat #LetLeniLead2022 #LeniKiko2022")</f>
        <v>#GobyernongTapatAngatBuhayLahat #LetLeniLead2022 #LeniKiko2022</v>
      </c>
      <c r="F550" s="1">
        <f>IFERROR(__xludf.DUMMYFUNCTION("""COMPUTED_VALUE"""),2.0)</f>
        <v>2</v>
      </c>
      <c r="G550" s="1" t="str">
        <f>IFERROR(__xludf.DUMMYFUNCTION("""COMPUTED_VALUE"""),"3 mos")</f>
        <v>3 mos</v>
      </c>
      <c r="H550" s="1" t="str">
        <f>IFERROR(__xludf.DUMMYFUNCTION("""COMPUTED_VALUE"""),"comment")</f>
        <v>comment</v>
      </c>
      <c r="I550"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50" s="1" t="str">
        <f>IFERROR(__xludf.DUMMYFUNCTION("""COMPUTED_VALUE"""),"2022-07-04T11:13:18.702Z")</f>
        <v>2022-07-04T11:13:18.702Z</v>
      </c>
      <c r="K550" s="1"/>
    </row>
    <row r="551">
      <c r="A551" s="2" t="str">
        <f>IFERROR(__xludf.DUMMYFUNCTION("""COMPUTED_VALUE"""),"https://www.facebook.com/dulce.jainarmakinano")</f>
        <v>https://www.facebook.com/dulce.jainarmakinano</v>
      </c>
      <c r="B551" s="1" t="str">
        <f>IFERROR(__xludf.DUMMYFUNCTION("""COMPUTED_VALUE"""),"Eclud Onanikam")</f>
        <v>Eclud Onanikam</v>
      </c>
      <c r="C551" s="1" t="str">
        <f>IFERROR(__xludf.DUMMYFUNCTION("""COMPUTED_VALUE"""),"Eclud")</f>
        <v>Eclud</v>
      </c>
      <c r="D551" s="1" t="str">
        <f>IFERROR(__xludf.DUMMYFUNCTION("""COMPUTED_VALUE"""),"Onanikam")</f>
        <v>Onanikam</v>
      </c>
      <c r="E551" s="1" t="str">
        <f>IFERROR(__xludf.DUMMYFUNCTION("""COMPUTED_VALUE"""),"#LeniKiko2022  #GobyernongTapatAngatBuhayLahat  #MasRadikalAngMagmahal")</f>
        <v>#LeniKiko2022  #GobyernongTapatAngatBuhayLahat  #MasRadikalAngMagmahal</v>
      </c>
      <c r="F551" s="1">
        <f>IFERROR(__xludf.DUMMYFUNCTION("""COMPUTED_VALUE"""),3.0)</f>
        <v>3</v>
      </c>
      <c r="G551" s="1" t="str">
        <f>IFERROR(__xludf.DUMMYFUNCTION("""COMPUTED_VALUE"""),"3 mos")</f>
        <v>3 mos</v>
      </c>
      <c r="H551" s="1" t="str">
        <f>IFERROR(__xludf.DUMMYFUNCTION("""COMPUTED_VALUE"""),"comment")</f>
        <v>comment</v>
      </c>
      <c r="I551"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51" s="1" t="str">
        <f>IFERROR(__xludf.DUMMYFUNCTION("""COMPUTED_VALUE"""),"2022-07-04T11:13:18.702Z")</f>
        <v>2022-07-04T11:13:18.702Z</v>
      </c>
      <c r="K551" s="1"/>
    </row>
    <row r="552">
      <c r="A552" s="2" t="str">
        <f>IFERROR(__xludf.DUMMYFUNCTION("""COMPUTED_VALUE"""),"https://www.facebook.com/beng.decastro")</f>
        <v>https://www.facebook.com/beng.decastro</v>
      </c>
      <c r="B552" s="1" t="str">
        <f>IFERROR(__xludf.DUMMYFUNCTION("""COMPUTED_VALUE"""),"Beng Sitjar De Castro")</f>
        <v>Beng Sitjar De Castro</v>
      </c>
      <c r="C552" s="1" t="str">
        <f>IFERROR(__xludf.DUMMYFUNCTION("""COMPUTED_VALUE"""),"Beng")</f>
        <v>Beng</v>
      </c>
      <c r="D552" s="1" t="str">
        <f>IFERROR(__xludf.DUMMYFUNCTION("""COMPUTED_VALUE"""),"Sitjar De Castro")</f>
        <v>Sitjar De Castro</v>
      </c>
      <c r="E552" s="1" t="str">
        <f>IFERROR(__xludf.DUMMYFUNCTION("""COMPUTED_VALUE"""),"Beng Sitjar De Castro")</f>
        <v>Beng Sitjar De Castro</v>
      </c>
      <c r="F552" s="1">
        <f>IFERROR(__xludf.DUMMYFUNCTION("""COMPUTED_VALUE"""),1.0)</f>
        <v>1</v>
      </c>
      <c r="G552" s="1" t="str">
        <f>IFERROR(__xludf.DUMMYFUNCTION("""COMPUTED_VALUE"""),"3 mos")</f>
        <v>3 mos</v>
      </c>
      <c r="H552" s="1" t="str">
        <f>IFERROR(__xludf.DUMMYFUNCTION("""COMPUTED_VALUE"""),"comment")</f>
        <v>comment</v>
      </c>
      <c r="I552"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52" s="1" t="str">
        <f>IFERROR(__xludf.DUMMYFUNCTION("""COMPUTED_VALUE"""),"2022-07-04T11:13:18.702Z")</f>
        <v>2022-07-04T11:13:18.702Z</v>
      </c>
      <c r="K552" s="1"/>
    </row>
    <row r="553">
      <c r="A553" s="2" t="str">
        <f>IFERROR(__xludf.DUMMYFUNCTION("""COMPUTED_VALUE"""),"https://www.facebook.com/beng.decastro")</f>
        <v>https://www.facebook.com/beng.decastro</v>
      </c>
      <c r="B553" s="1" t="str">
        <f>IFERROR(__xludf.DUMMYFUNCTION("""COMPUTED_VALUE"""),"Beng Sitjar De Castro")</f>
        <v>Beng Sitjar De Castro</v>
      </c>
      <c r="C553" s="1" t="str">
        <f>IFERROR(__xludf.DUMMYFUNCTION("""COMPUTED_VALUE"""),"Beng")</f>
        <v>Beng</v>
      </c>
      <c r="D553" s="1" t="str">
        <f>IFERROR(__xludf.DUMMYFUNCTION("""COMPUTED_VALUE"""),"Sitjar De Castro")</f>
        <v>Sitjar De Castro</v>
      </c>
      <c r="E553" s="1" t="str">
        <f>IFERROR(__xludf.DUMMYFUNCTION("""COMPUTED_VALUE"""),"Beng Sitjar De Castro")</f>
        <v>Beng Sitjar De Castro</v>
      </c>
      <c r="F553" s="1"/>
      <c r="G553" s="1" t="str">
        <f>IFERROR(__xludf.DUMMYFUNCTION("""COMPUTED_VALUE"""),"3 mos")</f>
        <v>3 mos</v>
      </c>
      <c r="H553" s="1" t="str">
        <f>IFERROR(__xludf.DUMMYFUNCTION("""COMPUTED_VALUE"""),"comment")</f>
        <v>comment</v>
      </c>
      <c r="I553"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53" s="1" t="str">
        <f>IFERROR(__xludf.DUMMYFUNCTION("""COMPUTED_VALUE"""),"2022-07-04T11:13:18.702Z")</f>
        <v>2022-07-04T11:13:18.702Z</v>
      </c>
      <c r="K553" s="1"/>
    </row>
    <row r="554">
      <c r="A554" s="2" t="str">
        <f>IFERROR(__xludf.DUMMYFUNCTION("""COMPUTED_VALUE"""),"https://www.facebook.com/beng.decastro")</f>
        <v>https://www.facebook.com/beng.decastro</v>
      </c>
      <c r="B554" s="1" t="str">
        <f>IFERROR(__xludf.DUMMYFUNCTION("""COMPUTED_VALUE"""),"Beng Sitjar De Castro")</f>
        <v>Beng Sitjar De Castro</v>
      </c>
      <c r="C554" s="1" t="str">
        <f>IFERROR(__xludf.DUMMYFUNCTION("""COMPUTED_VALUE"""),"Beng")</f>
        <v>Beng</v>
      </c>
      <c r="D554" s="1" t="str">
        <f>IFERROR(__xludf.DUMMYFUNCTION("""COMPUTED_VALUE"""),"Sitjar De Castro")</f>
        <v>Sitjar De Castro</v>
      </c>
      <c r="E554" s="1" t="str">
        <f>IFERROR(__xludf.DUMMYFUNCTION("""COMPUTED_VALUE"""),"Beng Sitjar De Castro")</f>
        <v>Beng Sitjar De Castro</v>
      </c>
      <c r="F554" s="1"/>
      <c r="G554" s="1" t="str">
        <f>IFERROR(__xludf.DUMMYFUNCTION("""COMPUTED_VALUE"""),"3 mos")</f>
        <v>3 mos</v>
      </c>
      <c r="H554" s="1" t="str">
        <f>IFERROR(__xludf.DUMMYFUNCTION("""COMPUTED_VALUE"""),"comment")</f>
        <v>comment</v>
      </c>
      <c r="I554"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54" s="1" t="str">
        <f>IFERROR(__xludf.DUMMYFUNCTION("""COMPUTED_VALUE"""),"2022-07-04T11:13:18.702Z")</f>
        <v>2022-07-04T11:13:18.702Z</v>
      </c>
      <c r="K554" s="1"/>
    </row>
    <row r="555">
      <c r="A555" s="2" t="str">
        <f>IFERROR(__xludf.DUMMYFUNCTION("""COMPUTED_VALUE"""),"https://www.facebook.com/mely.jamandre")</f>
        <v>https://www.facebook.com/mely.jamandre</v>
      </c>
      <c r="B555" s="1" t="str">
        <f>IFERROR(__xludf.DUMMYFUNCTION("""COMPUTED_VALUE"""),"Mely Sabando Jamandre")</f>
        <v>Mely Sabando Jamandre</v>
      </c>
      <c r="C555" s="1" t="str">
        <f>IFERROR(__xludf.DUMMYFUNCTION("""COMPUTED_VALUE"""),"Mely")</f>
        <v>Mely</v>
      </c>
      <c r="D555" s="1" t="str">
        <f>IFERROR(__xludf.DUMMYFUNCTION("""COMPUTED_VALUE"""),"Sabando Jamandre")</f>
        <v>Sabando Jamandre</v>
      </c>
      <c r="E555" s="1" t="str">
        <f>IFERROR(__xludf.DUMMYFUNCTION("""COMPUTED_VALUE"""),"Praise the Lord")</f>
        <v>Praise the Lord</v>
      </c>
      <c r="F555" s="1">
        <f>IFERROR(__xludf.DUMMYFUNCTION("""COMPUTED_VALUE"""),2.0)</f>
        <v>2</v>
      </c>
      <c r="G555" s="1" t="str">
        <f>IFERROR(__xludf.DUMMYFUNCTION("""COMPUTED_VALUE"""),"3 mos")</f>
        <v>3 mos</v>
      </c>
      <c r="H555" s="1" t="str">
        <f>IFERROR(__xludf.DUMMYFUNCTION("""COMPUTED_VALUE"""),"comment")</f>
        <v>comment</v>
      </c>
      <c r="I555"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55" s="1" t="str">
        <f>IFERROR(__xludf.DUMMYFUNCTION("""COMPUTED_VALUE"""),"2022-07-04T11:13:18.703Z")</f>
        <v>2022-07-04T11:13:18.703Z</v>
      </c>
      <c r="K555" s="1"/>
    </row>
    <row r="556">
      <c r="A556" s="2" t="str">
        <f>IFERROR(__xludf.DUMMYFUNCTION("""COMPUTED_VALUE"""),"https://www.facebook.com/profile.php?id=100019358329361")</f>
        <v>https://www.facebook.com/profile.php?id=100019358329361</v>
      </c>
      <c r="B556" s="1" t="str">
        <f>IFERROR(__xludf.DUMMYFUNCTION("""COMPUTED_VALUE"""),"Carmela L Campejos")</f>
        <v>Carmela L Campejos</v>
      </c>
      <c r="C556" s="1" t="str">
        <f>IFERROR(__xludf.DUMMYFUNCTION("""COMPUTED_VALUE"""),"Carmela")</f>
        <v>Carmela</v>
      </c>
      <c r="D556" s="1" t="str">
        <f>IFERROR(__xludf.DUMMYFUNCTION("""COMPUTED_VALUE"""),"L Campejos")</f>
        <v>L Campejos</v>
      </c>
      <c r="E556" s="1" t="str">
        <f>IFERROR(__xludf.DUMMYFUNCTION("""COMPUTED_VALUE"""),"patawa, baka sa basilan lang kamo")</f>
        <v>patawa, baka sa basilan lang kamo</v>
      </c>
      <c r="F556" s="1"/>
      <c r="G556" s="1" t="str">
        <f>IFERROR(__xludf.DUMMYFUNCTION("""COMPUTED_VALUE"""),"3 mos")</f>
        <v>3 mos</v>
      </c>
      <c r="H556" s="1" t="str">
        <f>IFERROR(__xludf.DUMMYFUNCTION("""COMPUTED_VALUE"""),"comment")</f>
        <v>comment</v>
      </c>
      <c r="I556" s="2" t="str">
        <f>IFERROR(__xludf.DUMMYFUNCTION("""COMPUTED_VALUE"""),"https://www.facebook.com/rapplerdotcom/posts/pfbid028Kg188FmebKa4aFvHZNp8zGTwjghWDDJuUmQ8agbSCvGAGJHZ7pBH9NmxLBmPZZdl")</f>
        <v>https://www.facebook.com/rapplerdotcom/posts/pfbid028Kg188FmebKa4aFvHZNp8zGTwjghWDDJuUmQ8agbSCvGAGJHZ7pBH9NmxLBmPZZdl</v>
      </c>
      <c r="J556" s="1" t="str">
        <f>IFERROR(__xludf.DUMMYFUNCTION("""COMPUTED_VALUE"""),"2022-07-04T11:13:18.703Z")</f>
        <v>2022-07-04T11:13:18.703Z</v>
      </c>
      <c r="K556" s="1"/>
    </row>
    <row r="557">
      <c r="A557" s="2" t="str">
        <f>IFERROR(__xludf.DUMMYFUNCTION("""COMPUTED_VALUE"""),"https://www.facebook.com/profile.php?id=100011366202531")</f>
        <v>https://www.facebook.com/profile.php?id=100011366202531</v>
      </c>
      <c r="B557" s="1" t="str">
        <f>IFERROR(__xludf.DUMMYFUNCTION("""COMPUTED_VALUE"""),"Francis Abel")</f>
        <v>Francis Abel</v>
      </c>
      <c r="C557" s="1" t="str">
        <f>IFERROR(__xludf.DUMMYFUNCTION("""COMPUTED_VALUE"""),"Francis")</f>
        <v>Francis</v>
      </c>
      <c r="D557" s="1" t="str">
        <f>IFERROR(__xludf.DUMMYFUNCTION("""COMPUTED_VALUE"""),"Abel")</f>
        <v>Abel</v>
      </c>
      <c r="E557" s="1" t="str">
        <f>IFERROR(__xludf.DUMMYFUNCTION("""COMPUTED_VALUE"""),"Yes! We know the truth. This is a much supported claim. 💞🌷")</f>
        <v>Yes! We know the truth. This is a much supported claim. 💞🌷</v>
      </c>
      <c r="F557" s="1">
        <f>IFERROR(__xludf.DUMMYFUNCTION("""COMPUTED_VALUE"""),2.0)</f>
        <v>2</v>
      </c>
      <c r="G557" s="1" t="str">
        <f>IFERROR(__xludf.DUMMYFUNCTION("""COMPUTED_VALUE"""),"3 mos")</f>
        <v>3 mos</v>
      </c>
      <c r="H557" s="1" t="str">
        <f>IFERROR(__xludf.DUMMYFUNCTION("""COMPUTED_VALUE"""),"comment")</f>
        <v>comment</v>
      </c>
      <c r="I557"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57" s="1" t="str">
        <f>IFERROR(__xludf.DUMMYFUNCTION("""COMPUTED_VALUE"""),"2022-07-04T11:14:00.236Z")</f>
        <v>2022-07-04T11:14:00.236Z</v>
      </c>
      <c r="K557" s="1"/>
    </row>
    <row r="558">
      <c r="A558" s="2" t="str">
        <f>IFERROR(__xludf.DUMMYFUNCTION("""COMPUTED_VALUE"""),"https://www.facebook.com/chariejhon.escalante")</f>
        <v>https://www.facebook.com/chariejhon.escalante</v>
      </c>
      <c r="B558" s="1" t="str">
        <f>IFERROR(__xludf.DUMMYFUNCTION("""COMPUTED_VALUE"""),"CJ Equipelag Escalante")</f>
        <v>CJ Equipelag Escalante</v>
      </c>
      <c r="C558" s="1" t="str">
        <f>IFERROR(__xludf.DUMMYFUNCTION("""COMPUTED_VALUE"""),"CJ")</f>
        <v>CJ</v>
      </c>
      <c r="D558" s="1" t="str">
        <f>IFERROR(__xludf.DUMMYFUNCTION("""COMPUTED_VALUE"""),"Equipelag Escalante")</f>
        <v>Equipelag Escalante</v>
      </c>
      <c r="E558" s="1" t="str">
        <f>IFERROR(__xludf.DUMMYFUNCTION("""COMPUTED_VALUE"""),"Kawawa nman kayo kahit ano gawin nyo malakas ang Uniteam💪😁🤣")</f>
        <v>Kawawa nman kayo kahit ano gawin nyo malakas ang Uniteam💪😁🤣</v>
      </c>
      <c r="F558" s="1">
        <f>IFERROR(__xludf.DUMMYFUNCTION("""COMPUTED_VALUE"""),10.0)</f>
        <v>10</v>
      </c>
      <c r="G558" s="1" t="str">
        <f>IFERROR(__xludf.DUMMYFUNCTION("""COMPUTED_VALUE"""),"3 mos")</f>
        <v>3 mos</v>
      </c>
      <c r="H558" s="1" t="str">
        <f>IFERROR(__xludf.DUMMYFUNCTION("""COMPUTED_VALUE"""),"comment")</f>
        <v>comment</v>
      </c>
      <c r="I558"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58" s="1" t="str">
        <f>IFERROR(__xludf.DUMMYFUNCTION("""COMPUTED_VALUE"""),"2022-07-04T11:14:00.237Z")</f>
        <v>2022-07-04T11:14:00.237Z</v>
      </c>
      <c r="K558" s="1"/>
    </row>
    <row r="559">
      <c r="A559" s="2" t="str">
        <f>IFERROR(__xludf.DUMMYFUNCTION("""COMPUTED_VALUE"""),"https://www.facebook.com/ronmsalvador")</f>
        <v>https://www.facebook.com/ronmsalvador</v>
      </c>
      <c r="B559" s="1" t="str">
        <f>IFERROR(__xludf.DUMMYFUNCTION("""COMPUTED_VALUE"""),"Ron Salvador")</f>
        <v>Ron Salvador</v>
      </c>
      <c r="C559" s="1" t="str">
        <f>IFERROR(__xludf.DUMMYFUNCTION("""COMPUTED_VALUE"""),"Ron")</f>
        <v>Ron</v>
      </c>
      <c r="D559" s="1" t="str">
        <f>IFERROR(__xludf.DUMMYFUNCTION("""COMPUTED_VALUE"""),"Salvador")</f>
        <v>Salvador</v>
      </c>
      <c r="E559" s="1" t="str">
        <f>IFERROR(__xludf.DUMMYFUNCTION("""COMPUTED_VALUE"""),"CJ Equipelag Escalante malakas magsinungaling")</f>
        <v>CJ Equipelag Escalante malakas magsinungaling</v>
      </c>
      <c r="F559" s="1">
        <f>IFERROR(__xludf.DUMMYFUNCTION("""COMPUTED_VALUE"""),3.0)</f>
        <v>3</v>
      </c>
      <c r="G559" s="1" t="str">
        <f>IFERROR(__xludf.DUMMYFUNCTION("""COMPUTED_VALUE"""),"3 mos")</f>
        <v>3 mos</v>
      </c>
      <c r="H559" s="1" t="str">
        <f>IFERROR(__xludf.DUMMYFUNCTION("""COMPUTED_VALUE"""),"reply")</f>
        <v>reply</v>
      </c>
      <c r="I559"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59" s="1" t="str">
        <f>IFERROR(__xludf.DUMMYFUNCTION("""COMPUTED_VALUE"""),"2022-07-04T11:14:00.237Z")</f>
        <v>2022-07-04T11:14:00.237Z</v>
      </c>
      <c r="K559" s="1"/>
    </row>
    <row r="560">
      <c r="A560" s="2" t="str">
        <f>IFERROR(__xludf.DUMMYFUNCTION("""COMPUTED_VALUE"""),"https://www.facebook.com/mariluz.deguzman")</f>
        <v>https://www.facebook.com/mariluz.deguzman</v>
      </c>
      <c r="B560" s="1" t="str">
        <f>IFERROR(__xludf.DUMMYFUNCTION("""COMPUTED_VALUE"""),"Luzviminda Asuncion")</f>
        <v>Luzviminda Asuncion</v>
      </c>
      <c r="C560" s="1" t="str">
        <f>IFERROR(__xludf.DUMMYFUNCTION("""COMPUTED_VALUE"""),"Luzviminda")</f>
        <v>Luzviminda</v>
      </c>
      <c r="D560" s="1" t="str">
        <f>IFERROR(__xludf.DUMMYFUNCTION("""COMPUTED_VALUE"""),"Asuncion")</f>
        <v>Asuncion</v>
      </c>
      <c r="E560" s="1" t="str">
        <f>IFERROR(__xludf.DUMMYFUNCTION("""COMPUTED_VALUE"""),"CJ Equipelag Escalante gaano kalakas🤠🤔")</f>
        <v>CJ Equipelag Escalante gaano kalakas🤠🤔</v>
      </c>
      <c r="F560" s="1"/>
      <c r="G560" s="1" t="str">
        <f>IFERROR(__xludf.DUMMYFUNCTION("""COMPUTED_VALUE"""),"3 mos")</f>
        <v>3 mos</v>
      </c>
      <c r="H560" s="1" t="str">
        <f>IFERROR(__xludf.DUMMYFUNCTION("""COMPUTED_VALUE"""),"reply")</f>
        <v>reply</v>
      </c>
      <c r="I560"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0" s="1" t="str">
        <f>IFERROR(__xludf.DUMMYFUNCTION("""COMPUTED_VALUE"""),"2022-07-04T11:14:00.237Z")</f>
        <v>2022-07-04T11:14:00.237Z</v>
      </c>
      <c r="K560" s="1"/>
    </row>
    <row r="561">
      <c r="A561" s="2" t="str">
        <f>IFERROR(__xludf.DUMMYFUNCTION("""COMPUTED_VALUE"""),"https://www.facebook.com/rlduldulao")</f>
        <v>https://www.facebook.com/rlduldulao</v>
      </c>
      <c r="B561" s="1" t="str">
        <f>IFERROR(__xludf.DUMMYFUNCTION("""COMPUTED_VALUE"""),"Randy Duldulao")</f>
        <v>Randy Duldulao</v>
      </c>
      <c r="C561" s="1" t="str">
        <f>IFERROR(__xludf.DUMMYFUNCTION("""COMPUTED_VALUE"""),"Randy")</f>
        <v>Randy</v>
      </c>
      <c r="D561" s="1" t="str">
        <f>IFERROR(__xludf.DUMMYFUNCTION("""COMPUTED_VALUE"""),"Duldulao")</f>
        <v>Duldulao</v>
      </c>
      <c r="E561" s="1" t="str">
        <f>IFERROR(__xludf.DUMMYFUNCTION("""COMPUTED_VALUE"""),"📍 KANDARAPA RECYCLED NEWS: 43 days to go! 🤭🤣")</f>
        <v>📍 KANDARAPA RECYCLED NEWS: 43 days to go! 🤭🤣</v>
      </c>
      <c r="F561" s="1">
        <f>IFERROR(__xludf.DUMMYFUNCTION("""COMPUTED_VALUE"""),6.0)</f>
        <v>6</v>
      </c>
      <c r="G561" s="1" t="str">
        <f>IFERROR(__xludf.DUMMYFUNCTION("""COMPUTED_VALUE"""),"3 mos")</f>
        <v>3 mos</v>
      </c>
      <c r="H561" s="1" t="str">
        <f>IFERROR(__xludf.DUMMYFUNCTION("""COMPUTED_VALUE"""),"comment")</f>
        <v>comment</v>
      </c>
      <c r="I561"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1" s="1" t="str">
        <f>IFERROR(__xludf.DUMMYFUNCTION("""COMPUTED_VALUE"""),"2022-07-04T11:14:00.237Z")</f>
        <v>2022-07-04T11:14:00.237Z</v>
      </c>
      <c r="K561" s="1"/>
    </row>
    <row r="562">
      <c r="A562" s="2" t="str">
        <f>IFERROR(__xludf.DUMMYFUNCTION("""COMPUTED_VALUE"""),"https://www.facebook.com/ginalita67")</f>
        <v>https://www.facebook.com/ginalita67</v>
      </c>
      <c r="B562" s="1" t="str">
        <f>IFERROR(__xludf.DUMMYFUNCTION("""COMPUTED_VALUE"""),"Gina Valle Est")</f>
        <v>Gina Valle Est</v>
      </c>
      <c r="C562" s="1" t="str">
        <f>IFERROR(__xludf.DUMMYFUNCTION("""COMPUTED_VALUE"""),"Gina")</f>
        <v>Gina</v>
      </c>
      <c r="D562" s="1" t="str">
        <f>IFERROR(__xludf.DUMMYFUNCTION("""COMPUTED_VALUE"""),"Valle Est")</f>
        <v>Valle Est</v>
      </c>
      <c r="E562" s="1" t="str">
        <f>IFERROR(__xludf.DUMMYFUNCTION("""COMPUTED_VALUE"""),"kayo palang dina kapanipaniwala wag kami na pinoy🍔🍔🍔🍔🍔🍔💚✌💚✌💚")</f>
        <v>kayo palang dina kapanipaniwala wag kami na pinoy🍔🍔🍔🍔🍔🍔💚✌💚✌💚</v>
      </c>
      <c r="F562" s="1">
        <f>IFERROR(__xludf.DUMMYFUNCTION("""COMPUTED_VALUE"""),2.0)</f>
        <v>2</v>
      </c>
      <c r="G562" s="1" t="str">
        <f>IFERROR(__xludf.DUMMYFUNCTION("""COMPUTED_VALUE"""),"3 mos")</f>
        <v>3 mos</v>
      </c>
      <c r="H562" s="1" t="str">
        <f>IFERROR(__xludf.DUMMYFUNCTION("""COMPUTED_VALUE"""),"comment")</f>
        <v>comment</v>
      </c>
      <c r="I562"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2" s="1" t="str">
        <f>IFERROR(__xludf.DUMMYFUNCTION("""COMPUTED_VALUE"""),"2022-07-04T11:14:00.237Z")</f>
        <v>2022-07-04T11:14:00.237Z</v>
      </c>
      <c r="K562" s="1"/>
    </row>
    <row r="563">
      <c r="A563" s="2" t="str">
        <f>IFERROR(__xludf.DUMMYFUNCTION("""COMPUTED_VALUE"""),"https://www.facebook.com/ronmsalvador")</f>
        <v>https://www.facebook.com/ronmsalvador</v>
      </c>
      <c r="B563" s="1" t="str">
        <f>IFERROR(__xludf.DUMMYFUNCTION("""COMPUTED_VALUE"""),"Ron Salvador")</f>
        <v>Ron Salvador</v>
      </c>
      <c r="C563" s="1" t="str">
        <f>IFERROR(__xludf.DUMMYFUNCTION("""COMPUTED_VALUE"""),"Ron")</f>
        <v>Ron</v>
      </c>
      <c r="D563" s="1" t="str">
        <f>IFERROR(__xludf.DUMMYFUNCTION("""COMPUTED_VALUE"""),"Salvador")</f>
        <v>Salvador</v>
      </c>
      <c r="E563" s="1" t="str">
        <f>IFERROR(__xludf.DUMMYFUNCTION("""COMPUTED_VALUE"""),"Gina Valle Est so yung yaman nila sa tallano gold ba or sa yamashita treasure galing?")</f>
        <v>Gina Valle Est so yung yaman nila sa tallano gold ba or sa yamashita treasure galing?</v>
      </c>
      <c r="F563" s="1"/>
      <c r="G563" s="1" t="str">
        <f>IFERROR(__xludf.DUMMYFUNCTION("""COMPUTED_VALUE"""),"3 mos")</f>
        <v>3 mos</v>
      </c>
      <c r="H563" s="1" t="str">
        <f>IFERROR(__xludf.DUMMYFUNCTION("""COMPUTED_VALUE"""),"reply")</f>
        <v>reply</v>
      </c>
      <c r="I563"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3" s="1" t="str">
        <f>IFERROR(__xludf.DUMMYFUNCTION("""COMPUTED_VALUE"""),"2022-07-04T11:14:00.237Z")</f>
        <v>2022-07-04T11:14:00.237Z</v>
      </c>
      <c r="K563" s="1"/>
    </row>
    <row r="564">
      <c r="A564" s="2" t="str">
        <f>IFERROR(__xludf.DUMMYFUNCTION("""COMPUTED_VALUE"""),"https://www.facebook.com/marivibalanon0908")</f>
        <v>https://www.facebook.com/marivibalanon0908</v>
      </c>
      <c r="B564" s="1" t="str">
        <f>IFERROR(__xludf.DUMMYFUNCTION("""COMPUTED_VALUE"""),"Marivic Mendoza")</f>
        <v>Marivic Mendoza</v>
      </c>
      <c r="C564" s="1" t="str">
        <f>IFERROR(__xludf.DUMMYFUNCTION("""COMPUTED_VALUE"""),"Marivic")</f>
        <v>Marivic</v>
      </c>
      <c r="D564" s="1" t="str">
        <f>IFERROR(__xludf.DUMMYFUNCTION("""COMPUTED_VALUE"""),"Mendoza")</f>
        <v>Mendoza</v>
      </c>
      <c r="E564" s="1" t="str">
        <f>IFERROR(__xludf.DUMMYFUNCTION("""COMPUTED_VALUE"""),"Grabe talaga maglabas ng milyones ang US. Nakakasilaw!🎭😎")</f>
        <v>Grabe talaga maglabas ng milyones ang US. Nakakasilaw!🎭😎</v>
      </c>
      <c r="F564" s="1">
        <f>IFERROR(__xludf.DUMMYFUNCTION("""COMPUTED_VALUE"""),1.0)</f>
        <v>1</v>
      </c>
      <c r="G564" s="1" t="str">
        <f>IFERROR(__xludf.DUMMYFUNCTION("""COMPUTED_VALUE"""),"3 mos")</f>
        <v>3 mos</v>
      </c>
      <c r="H564" s="1" t="str">
        <f>IFERROR(__xludf.DUMMYFUNCTION("""COMPUTED_VALUE"""),"comment")</f>
        <v>comment</v>
      </c>
      <c r="I564"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4" s="1" t="str">
        <f>IFERROR(__xludf.DUMMYFUNCTION("""COMPUTED_VALUE"""),"2022-07-04T11:14:00.237Z")</f>
        <v>2022-07-04T11:14:00.237Z</v>
      </c>
      <c r="K564" s="1"/>
    </row>
    <row r="565">
      <c r="A565" s="2" t="str">
        <f>IFERROR(__xludf.DUMMYFUNCTION("""COMPUTED_VALUE"""),"https://www.facebook.com/melinda.aldueza")</f>
        <v>https://www.facebook.com/melinda.aldueza</v>
      </c>
      <c r="B565" s="1" t="str">
        <f>IFERROR(__xludf.DUMMYFUNCTION("""COMPUTED_VALUE"""),"Minda Pablo")</f>
        <v>Minda Pablo</v>
      </c>
      <c r="C565" s="1" t="str">
        <f>IFERROR(__xludf.DUMMYFUNCTION("""COMPUTED_VALUE"""),"Minda")</f>
        <v>Minda</v>
      </c>
      <c r="D565" s="1" t="str">
        <f>IFERROR(__xludf.DUMMYFUNCTION("""COMPUTED_VALUE"""),"Pablo")</f>
        <v>Pablo</v>
      </c>
      <c r="E565" s="1" t="str">
        <f>IFERROR(__xludf.DUMMYFUNCTION("""COMPUTED_VALUE"""),"Pikit Ng ndi maingit,, Peace")</f>
        <v>Pikit Ng ndi maingit,, Peace</v>
      </c>
      <c r="F565" s="1">
        <f>IFERROR(__xludf.DUMMYFUNCTION("""COMPUTED_VALUE"""),1.0)</f>
        <v>1</v>
      </c>
      <c r="G565" s="1" t="str">
        <f>IFERROR(__xludf.DUMMYFUNCTION("""COMPUTED_VALUE"""),"3 mos")</f>
        <v>3 mos</v>
      </c>
      <c r="H565" s="1" t="str">
        <f>IFERROR(__xludf.DUMMYFUNCTION("""COMPUTED_VALUE"""),"comment")</f>
        <v>comment</v>
      </c>
      <c r="I565"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5" s="1" t="str">
        <f>IFERROR(__xludf.DUMMYFUNCTION("""COMPUTED_VALUE"""),"2022-07-04T11:14:00.237Z")</f>
        <v>2022-07-04T11:14:00.237Z</v>
      </c>
      <c r="K565" s="1"/>
    </row>
    <row r="566">
      <c r="A566" s="2" t="str">
        <f>IFERROR(__xludf.DUMMYFUNCTION("""COMPUTED_VALUE"""),"https://www.facebook.com/dan.mendoza.5602")</f>
        <v>https://www.facebook.com/dan.mendoza.5602</v>
      </c>
      <c r="B566" s="1" t="str">
        <f>IFERROR(__xludf.DUMMYFUNCTION("""COMPUTED_VALUE"""),"Dan Don Mendoza")</f>
        <v>Dan Don Mendoza</v>
      </c>
      <c r="C566" s="1" t="str">
        <f>IFERROR(__xludf.DUMMYFUNCTION("""COMPUTED_VALUE"""),"Dan")</f>
        <v>Dan</v>
      </c>
      <c r="D566" s="1" t="str">
        <f>IFERROR(__xludf.DUMMYFUNCTION("""COMPUTED_VALUE"""),"Don Mendoza")</f>
        <v>Don Mendoza</v>
      </c>
      <c r="E566" s="1" t="str">
        <f>IFERROR(__xludf.DUMMYFUNCTION("""COMPUTED_VALUE"""),"Maraming sira ang ulo!")</f>
        <v>Maraming sira ang ulo!</v>
      </c>
      <c r="F566" s="1"/>
      <c r="G566" s="1" t="str">
        <f>IFERROR(__xludf.DUMMYFUNCTION("""COMPUTED_VALUE"""),"3 mos")</f>
        <v>3 mos</v>
      </c>
      <c r="H566" s="1" t="str">
        <f>IFERROR(__xludf.DUMMYFUNCTION("""COMPUTED_VALUE"""),"comment")</f>
        <v>comment</v>
      </c>
      <c r="I566"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6" s="1" t="str">
        <f>IFERROR(__xludf.DUMMYFUNCTION("""COMPUTED_VALUE"""),"2022-07-04T11:14:00.237Z")</f>
        <v>2022-07-04T11:14:00.237Z</v>
      </c>
      <c r="K566" s="1"/>
    </row>
    <row r="567">
      <c r="A567" s="2" t="str">
        <f>IFERROR(__xludf.DUMMYFUNCTION("""COMPUTED_VALUE"""),"https://www.facebook.com/j.aizen15")</f>
        <v>https://www.facebook.com/j.aizen15</v>
      </c>
      <c r="B567" s="1" t="str">
        <f>IFERROR(__xludf.DUMMYFUNCTION("""COMPUTED_VALUE"""),"Jhorvin Soria De Mesa")</f>
        <v>Jhorvin Soria De Mesa</v>
      </c>
      <c r="C567" s="1" t="str">
        <f>IFERROR(__xludf.DUMMYFUNCTION("""COMPUTED_VALUE"""),"Jhorvin")</f>
        <v>Jhorvin</v>
      </c>
      <c r="D567" s="1" t="str">
        <f>IFERROR(__xludf.DUMMYFUNCTION("""COMPUTED_VALUE"""),"Soria De Mesa")</f>
        <v>Soria De Mesa</v>
      </c>
      <c r="E567" s="1" t="str">
        <f>IFERROR(__xludf.DUMMYFUNCTION("""COMPUTED_VALUE"""),"Double time malapit nakayo mapasara")</f>
        <v>Double time malapit nakayo mapasara</v>
      </c>
      <c r="F567" s="1">
        <f>IFERROR(__xludf.DUMMYFUNCTION("""COMPUTED_VALUE"""),4.0)</f>
        <v>4</v>
      </c>
      <c r="G567" s="1" t="str">
        <f>IFERROR(__xludf.DUMMYFUNCTION("""COMPUTED_VALUE"""),"3 mos")</f>
        <v>3 mos</v>
      </c>
      <c r="H567" s="1" t="str">
        <f>IFERROR(__xludf.DUMMYFUNCTION("""COMPUTED_VALUE"""),"comment")</f>
        <v>comment</v>
      </c>
      <c r="I567"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7" s="1" t="str">
        <f>IFERROR(__xludf.DUMMYFUNCTION("""COMPUTED_VALUE"""),"2022-07-04T11:14:00.237Z")</f>
        <v>2022-07-04T11:14:00.237Z</v>
      </c>
      <c r="K567" s="1"/>
    </row>
    <row r="568">
      <c r="A568" s="2" t="str">
        <f>IFERROR(__xludf.DUMMYFUNCTION("""COMPUTED_VALUE"""),"https://www.facebook.com/bunny.orogan")</f>
        <v>https://www.facebook.com/bunny.orogan</v>
      </c>
      <c r="B568" s="1" t="str">
        <f>IFERROR(__xludf.DUMMYFUNCTION("""COMPUTED_VALUE"""),"Susany Guinto Orogan")</f>
        <v>Susany Guinto Orogan</v>
      </c>
      <c r="C568" s="1" t="str">
        <f>IFERROR(__xludf.DUMMYFUNCTION("""COMPUTED_VALUE"""),"Susany")</f>
        <v>Susany</v>
      </c>
      <c r="D568" s="1" t="str">
        <f>IFERROR(__xludf.DUMMYFUNCTION("""COMPUTED_VALUE"""),"Guinto Orogan")</f>
        <v>Guinto Orogan</v>
      </c>
      <c r="E568" s="1" t="str">
        <f>IFERROR(__xludf.DUMMYFUNCTION("""COMPUTED_VALUE"""),"Wala kanang maloloko dina mababago pasya nmin✌✌✌✌✌❤❤❤❤💚💚💚💚💚")</f>
        <v>Wala kanang maloloko dina mababago pasya nmin✌✌✌✌✌❤❤❤❤💚💚💚💚💚</v>
      </c>
      <c r="F568" s="1">
        <f>IFERROR(__xludf.DUMMYFUNCTION("""COMPUTED_VALUE"""),4.0)</f>
        <v>4</v>
      </c>
      <c r="G568" s="1" t="str">
        <f>IFERROR(__xludf.DUMMYFUNCTION("""COMPUTED_VALUE"""),"3 mos")</f>
        <v>3 mos</v>
      </c>
      <c r="H568" s="1" t="str">
        <f>IFERROR(__xludf.DUMMYFUNCTION("""COMPUTED_VALUE"""),"comment")</f>
        <v>comment</v>
      </c>
      <c r="I568"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8" s="1" t="str">
        <f>IFERROR(__xludf.DUMMYFUNCTION("""COMPUTED_VALUE"""),"2022-07-04T11:14:00.237Z")</f>
        <v>2022-07-04T11:14:00.237Z</v>
      </c>
      <c r="K568" s="1"/>
    </row>
    <row r="569">
      <c r="A569" s="2" t="str">
        <f>IFERROR(__xludf.DUMMYFUNCTION("""COMPUTED_VALUE"""),"https://www.facebook.com/julie.quintela")</f>
        <v>https://www.facebook.com/julie.quintela</v>
      </c>
      <c r="B569" s="1" t="str">
        <f>IFERROR(__xludf.DUMMYFUNCTION("""COMPUTED_VALUE"""),"Julie Quintela")</f>
        <v>Julie Quintela</v>
      </c>
      <c r="C569" s="1" t="str">
        <f>IFERROR(__xludf.DUMMYFUNCTION("""COMPUTED_VALUE"""),"Julie")</f>
        <v>Julie</v>
      </c>
      <c r="D569" s="1" t="str">
        <f>IFERROR(__xludf.DUMMYFUNCTION("""COMPUTED_VALUE"""),"Quintela")</f>
        <v>Quintela</v>
      </c>
      <c r="E569" s="1" t="str">
        <f>IFERROR(__xludf.DUMMYFUNCTION("""COMPUTED_VALUE"""),"Sama tabas bunganga nyo")</f>
        <v>Sama tabas bunganga nyo</v>
      </c>
      <c r="F569" s="1"/>
      <c r="G569" s="1" t="str">
        <f>IFERROR(__xludf.DUMMYFUNCTION("""COMPUTED_VALUE"""),"3 mos")</f>
        <v>3 mos</v>
      </c>
      <c r="H569" s="1" t="str">
        <f>IFERROR(__xludf.DUMMYFUNCTION("""COMPUTED_VALUE"""),"comment")</f>
        <v>comment</v>
      </c>
      <c r="I569"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69" s="1" t="str">
        <f>IFERROR(__xludf.DUMMYFUNCTION("""COMPUTED_VALUE"""),"2022-07-04T11:14:00.237Z")</f>
        <v>2022-07-04T11:14:00.237Z</v>
      </c>
      <c r="K569" s="1"/>
    </row>
    <row r="570">
      <c r="A570" s="2" t="str">
        <f>IFERROR(__xludf.DUMMYFUNCTION("""COMPUTED_VALUE"""),"https://www.facebook.com/smileatmeliz")</f>
        <v>https://www.facebook.com/smileatmeliz</v>
      </c>
      <c r="B570" s="1" t="str">
        <f>IFERROR(__xludf.DUMMYFUNCTION("""COMPUTED_VALUE"""),"Liz Malbataan Caagbay")</f>
        <v>Liz Malbataan Caagbay</v>
      </c>
      <c r="C570" s="1" t="str">
        <f>IFERROR(__xludf.DUMMYFUNCTION("""COMPUTED_VALUE"""),"Liz")</f>
        <v>Liz</v>
      </c>
      <c r="D570" s="1" t="str">
        <f>IFERROR(__xludf.DUMMYFUNCTION("""COMPUTED_VALUE"""),"Malbataan Caagbay")</f>
        <v>Malbataan Caagbay</v>
      </c>
      <c r="E570" s="1" t="str">
        <f>IFERROR(__xludf.DUMMYFUNCTION("""COMPUTED_VALUE"""),"Haha Sabi wag daw Tiktok ang source 😂😂😂")</f>
        <v>Haha Sabi wag daw Tiktok ang source 😂😂😂</v>
      </c>
      <c r="F570" s="1">
        <f>IFERROR(__xludf.DUMMYFUNCTION("""COMPUTED_VALUE"""),3.0)</f>
        <v>3</v>
      </c>
      <c r="G570" s="1" t="str">
        <f>IFERROR(__xludf.DUMMYFUNCTION("""COMPUTED_VALUE"""),"3 mos")</f>
        <v>3 mos</v>
      </c>
      <c r="H570" s="1" t="str">
        <f>IFERROR(__xludf.DUMMYFUNCTION("""COMPUTED_VALUE"""),"comment")</f>
        <v>comment</v>
      </c>
      <c r="I570"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0" s="1" t="str">
        <f>IFERROR(__xludf.DUMMYFUNCTION("""COMPUTED_VALUE"""),"2022-07-04T11:14:00.237Z")</f>
        <v>2022-07-04T11:14:00.237Z</v>
      </c>
      <c r="K570" s="1"/>
    </row>
    <row r="571">
      <c r="A571" s="2" t="str">
        <f>IFERROR(__xludf.DUMMYFUNCTION("""COMPUTED_VALUE"""),"https://www.facebook.com/ronmsalvador")</f>
        <v>https://www.facebook.com/ronmsalvador</v>
      </c>
      <c r="B571" s="1" t="str">
        <f>IFERROR(__xludf.DUMMYFUNCTION("""COMPUTED_VALUE"""),"Ron Salvador")</f>
        <v>Ron Salvador</v>
      </c>
      <c r="C571" s="1" t="str">
        <f>IFERROR(__xludf.DUMMYFUNCTION("""COMPUTED_VALUE"""),"Ron")</f>
        <v>Ron</v>
      </c>
      <c r="D571" s="1" t="str">
        <f>IFERROR(__xludf.DUMMYFUNCTION("""COMPUTED_VALUE"""),"Salvador")</f>
        <v>Salvador</v>
      </c>
      <c r="E571" s="1" t="str">
        <f>IFERROR(__xludf.DUMMYFUNCTION("""COMPUTED_VALUE"""),"Liz Malbataan Caagbay so yung yaman nila sa tallano gold ba or sa yamashita treasure galing?")</f>
        <v>Liz Malbataan Caagbay so yung yaman nila sa tallano gold ba or sa yamashita treasure galing?</v>
      </c>
      <c r="F571" s="1">
        <f>IFERROR(__xludf.DUMMYFUNCTION("""COMPUTED_VALUE"""),1.0)</f>
        <v>1</v>
      </c>
      <c r="G571" s="1" t="str">
        <f>IFERROR(__xludf.DUMMYFUNCTION("""COMPUTED_VALUE"""),"3 mos")</f>
        <v>3 mos</v>
      </c>
      <c r="H571" s="1" t="str">
        <f>IFERROR(__xludf.DUMMYFUNCTION("""COMPUTED_VALUE"""),"reply")</f>
        <v>reply</v>
      </c>
      <c r="I571"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1" s="1" t="str">
        <f>IFERROR(__xludf.DUMMYFUNCTION("""COMPUTED_VALUE"""),"2022-07-04T11:14:00.237Z")</f>
        <v>2022-07-04T11:14:00.237Z</v>
      </c>
      <c r="K571" s="1"/>
    </row>
    <row r="572">
      <c r="A572" s="2" t="str">
        <f>IFERROR(__xludf.DUMMYFUNCTION("""COMPUTED_VALUE"""),"https://www.facebook.com/smileatmeliz")</f>
        <v>https://www.facebook.com/smileatmeliz</v>
      </c>
      <c r="B572" s="1" t="str">
        <f>IFERROR(__xludf.DUMMYFUNCTION("""COMPUTED_VALUE"""),"Liz Malbataan Caagbay")</f>
        <v>Liz Malbataan Caagbay</v>
      </c>
      <c r="C572" s="1" t="str">
        <f>IFERROR(__xludf.DUMMYFUNCTION("""COMPUTED_VALUE"""),"Liz")</f>
        <v>Liz</v>
      </c>
      <c r="D572" s="1" t="str">
        <f>IFERROR(__xludf.DUMMYFUNCTION("""COMPUTED_VALUE"""),"Malbataan Caagbay")</f>
        <v>Malbataan Caagbay</v>
      </c>
      <c r="E572" s="1" t="str">
        <f>IFERROR(__xludf.DUMMYFUNCTION("""COMPUTED_VALUE"""),"Ron psssttt.. bro I’m not into debate today ok? Talo pa ako sa Casino wag kang epz 😉☕️")</f>
        <v>Ron psssttt.. bro I’m not into debate today ok? Talo pa ako sa Casino wag kang epz 😉☕️</v>
      </c>
      <c r="F572" s="1">
        <f>IFERROR(__xludf.DUMMYFUNCTION("""COMPUTED_VALUE"""),2.0)</f>
        <v>2</v>
      </c>
      <c r="G572" s="1" t="str">
        <f>IFERROR(__xludf.DUMMYFUNCTION("""COMPUTED_VALUE"""),"3 mos")</f>
        <v>3 mos</v>
      </c>
      <c r="H572" s="1" t="str">
        <f>IFERROR(__xludf.DUMMYFUNCTION("""COMPUTED_VALUE"""),"reply")</f>
        <v>reply</v>
      </c>
      <c r="I572"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2" s="1" t="str">
        <f>IFERROR(__xludf.DUMMYFUNCTION("""COMPUTED_VALUE"""),"2022-07-04T11:14:00.237Z")</f>
        <v>2022-07-04T11:14:00.237Z</v>
      </c>
      <c r="K572" s="1"/>
    </row>
    <row r="573">
      <c r="A573" s="2" t="str">
        <f>IFERROR(__xludf.DUMMYFUNCTION("""COMPUTED_VALUE"""),"https://www.facebook.com/ronmsalvador")</f>
        <v>https://www.facebook.com/ronmsalvador</v>
      </c>
      <c r="B573" s="1" t="str">
        <f>IFERROR(__xludf.DUMMYFUNCTION("""COMPUTED_VALUE"""),"Ron Salvador")</f>
        <v>Ron Salvador</v>
      </c>
      <c r="C573" s="1" t="str">
        <f>IFERROR(__xludf.DUMMYFUNCTION("""COMPUTED_VALUE"""),"Ron")</f>
        <v>Ron</v>
      </c>
      <c r="D573" s="1" t="str">
        <f>IFERROR(__xludf.DUMMYFUNCTION("""COMPUTED_VALUE"""),"Salvador")</f>
        <v>Salvador</v>
      </c>
      <c r="E573" s="1" t="str">
        <f>IFERROR(__xludf.DUMMYFUNCTION("""COMPUTED_VALUE"""),"Liz Malbataan Caagbay this is not a debate. naggtatanong lang ako.")</f>
        <v>Liz Malbataan Caagbay this is not a debate. naggtatanong lang ako.</v>
      </c>
      <c r="F573" s="1"/>
      <c r="G573" s="1" t="str">
        <f>IFERROR(__xludf.DUMMYFUNCTION("""COMPUTED_VALUE"""),"3 mos")</f>
        <v>3 mos</v>
      </c>
      <c r="H573" s="1" t="str">
        <f>IFERROR(__xludf.DUMMYFUNCTION("""COMPUTED_VALUE"""),"reply")</f>
        <v>reply</v>
      </c>
      <c r="I573"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3" s="1" t="str">
        <f>IFERROR(__xludf.DUMMYFUNCTION("""COMPUTED_VALUE"""),"2022-07-04T11:14:00.237Z")</f>
        <v>2022-07-04T11:14:00.237Z</v>
      </c>
      <c r="K573" s="1"/>
    </row>
    <row r="574">
      <c r="A574" s="2" t="str">
        <f>IFERROR(__xludf.DUMMYFUNCTION("""COMPUTED_VALUE"""),"https://www.facebook.com/smileatmeliz")</f>
        <v>https://www.facebook.com/smileatmeliz</v>
      </c>
      <c r="B574" s="1" t="str">
        <f>IFERROR(__xludf.DUMMYFUNCTION("""COMPUTED_VALUE"""),"Liz Malbataan Caagbay")</f>
        <v>Liz Malbataan Caagbay</v>
      </c>
      <c r="C574" s="1" t="str">
        <f>IFERROR(__xludf.DUMMYFUNCTION("""COMPUTED_VALUE"""),"Liz")</f>
        <v>Liz</v>
      </c>
      <c r="D574" s="1" t="str">
        <f>IFERROR(__xludf.DUMMYFUNCTION("""COMPUTED_VALUE"""),"Malbataan Caagbay")</f>
        <v>Malbataan Caagbay</v>
      </c>
      <c r="E574" s="1" t="str">
        <f>IFERROR(__xludf.DUMMYFUNCTION("""COMPUTED_VALUE"""),"Ron haha ok, if you say so 😉😂")</f>
        <v>Ron haha ok, if you say so 😉😂</v>
      </c>
      <c r="F574" s="1"/>
      <c r="G574" s="1" t="str">
        <f>IFERROR(__xludf.DUMMYFUNCTION("""COMPUTED_VALUE"""),"3 mos")</f>
        <v>3 mos</v>
      </c>
      <c r="H574" s="1" t="str">
        <f>IFERROR(__xludf.DUMMYFUNCTION("""COMPUTED_VALUE"""),"reply")</f>
        <v>reply</v>
      </c>
      <c r="I574"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4" s="1" t="str">
        <f>IFERROR(__xludf.DUMMYFUNCTION("""COMPUTED_VALUE"""),"2022-07-04T11:14:00.237Z")</f>
        <v>2022-07-04T11:14:00.237Z</v>
      </c>
      <c r="K574" s="1"/>
    </row>
    <row r="575">
      <c r="A575" s="2" t="str">
        <f>IFERROR(__xludf.DUMMYFUNCTION("""COMPUTED_VALUE"""),"https://www.facebook.com/jessel.pascua.1")</f>
        <v>https://www.facebook.com/jessel.pascua.1</v>
      </c>
      <c r="B575" s="1" t="str">
        <f>IFERROR(__xludf.DUMMYFUNCTION("""COMPUTED_VALUE"""),"Jessel Pascua")</f>
        <v>Jessel Pascua</v>
      </c>
      <c r="C575" s="1" t="str">
        <f>IFERROR(__xludf.DUMMYFUNCTION("""COMPUTED_VALUE"""),"Jessel")</f>
        <v>Jessel</v>
      </c>
      <c r="D575" s="1" t="str">
        <f>IFERROR(__xludf.DUMMYFUNCTION("""COMPUTED_VALUE"""),"Pascua")</f>
        <v>Pascua</v>
      </c>
      <c r="E575" s="1" t="str">
        <f>IFERROR(__xludf.DUMMYFUNCTION("""COMPUTED_VALUE"""),"✌️✌️✌️✌️✌️✌️✌️✌️✌️✌️✌️✌️✌️✌️✌️✌️✌️✌️✌️✌️✌️✌️✌️✌️✌️✌️✌️✌️✌️✌️✌️✌️✌️✌️✌️✌️✌️✌️✌️✌️✌️✌️✌️✌️✌️✌️✌️✌️✌️✌️✌️✌️✌️✌️✌️✌️✌️✌️✌️✌️✌️✌️✌️✌️✌️✌️✌️✌️✌️✌️✌️✌️✌️✌️✌️✌️✌️✌️✌️✌️✌️✌️✌️✌️✌️✌️✌️✌️✌️✌️✌️✌️✌️✌️✌️✌️✌️✌️✌️✌️✌️✌️✌️✌️✌️✌️✌️✌️✌️✌️✌️✌️✌️✌️✌️✌️✌️✌️✌️✌️✌️✌️✌️✌️✌️✌️✌️✌"&amp;"️✌️✌️✌️✌️✌️✌️✌️✌️")</f>
        <v>✌️✌️✌️✌️✌️✌️✌️✌️✌️✌️✌️✌️✌️✌️✌️✌️✌️✌️✌️✌️✌️✌️✌️✌️✌️✌️✌️✌️✌️✌️✌️✌️✌️✌️✌️✌️✌️✌️✌️✌️✌️✌️✌️✌️✌️✌️✌️✌️✌️✌️✌️✌️✌️✌️✌️✌️✌️✌️✌️✌️✌️✌️✌️✌️✌️✌️✌️✌️✌️✌️✌️✌️✌️✌️✌️✌️✌️✌️✌️✌️✌️✌️✌️✌️✌️✌️✌️✌️✌️✌️✌️✌️✌️✌️✌️✌️✌️✌️✌️✌️✌️✌️✌️✌️✌️✌️✌️✌️✌️✌️✌️✌️✌️✌️✌️✌️✌️✌️✌️✌️✌️✌️✌️✌️✌️✌️✌️✌️✌️✌️✌️✌️✌️✌️✌️✌️</v>
      </c>
      <c r="F575" s="1">
        <f>IFERROR(__xludf.DUMMYFUNCTION("""COMPUTED_VALUE"""),10.0)</f>
        <v>10</v>
      </c>
      <c r="G575" s="1" t="str">
        <f>IFERROR(__xludf.DUMMYFUNCTION("""COMPUTED_VALUE"""),"3 mos")</f>
        <v>3 mos</v>
      </c>
      <c r="H575" s="1" t="str">
        <f>IFERROR(__xludf.DUMMYFUNCTION("""COMPUTED_VALUE"""),"comment")</f>
        <v>comment</v>
      </c>
      <c r="I575"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5" s="1" t="str">
        <f>IFERROR(__xludf.DUMMYFUNCTION("""COMPUTED_VALUE"""),"2022-07-04T11:14:00.237Z")</f>
        <v>2022-07-04T11:14:00.237Z</v>
      </c>
      <c r="K575" s="1"/>
    </row>
    <row r="576">
      <c r="A576" s="2" t="str">
        <f>IFERROR(__xludf.DUMMYFUNCTION("""COMPUTED_VALUE"""),"https://www.facebook.com/khaylifatakeru")</f>
        <v>https://www.facebook.com/khaylifatakeru</v>
      </c>
      <c r="B576" s="1" t="str">
        <f>IFERROR(__xludf.DUMMYFUNCTION("""COMPUTED_VALUE"""),"Khaylifa Ferolin Campo")</f>
        <v>Khaylifa Ferolin Campo</v>
      </c>
      <c r="C576" s="1" t="str">
        <f>IFERROR(__xludf.DUMMYFUNCTION("""COMPUTED_VALUE"""),"Khaylifa")</f>
        <v>Khaylifa</v>
      </c>
      <c r="D576" s="1" t="str">
        <f>IFERROR(__xludf.DUMMYFUNCTION("""COMPUTED_VALUE"""),"Ferolin Campo")</f>
        <v>Ferolin Campo</v>
      </c>
      <c r="E576" s="1" t="str">
        <f>IFERROR(__xludf.DUMMYFUNCTION("""COMPUTED_VALUE"""),"Tamang impormasyon  Source: Tiktok")</f>
        <v>Tamang impormasyon  Source: Tiktok</v>
      </c>
      <c r="F576" s="1"/>
      <c r="G576" s="1" t="str">
        <f>IFERROR(__xludf.DUMMYFUNCTION("""COMPUTED_VALUE"""),"3 mos")</f>
        <v>3 mos</v>
      </c>
      <c r="H576" s="1" t="str">
        <f>IFERROR(__xludf.DUMMYFUNCTION("""COMPUTED_VALUE"""),"comment")</f>
        <v>comment</v>
      </c>
      <c r="I576"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6" s="1" t="str">
        <f>IFERROR(__xludf.DUMMYFUNCTION("""COMPUTED_VALUE"""),"2022-07-04T11:14:00.237Z")</f>
        <v>2022-07-04T11:14:00.237Z</v>
      </c>
      <c r="K576" s="1"/>
    </row>
    <row r="577">
      <c r="A577" s="2" t="str">
        <f>IFERROR(__xludf.DUMMYFUNCTION("""COMPUTED_VALUE"""),"https://www.facebook.com/ronmsalvador")</f>
        <v>https://www.facebook.com/ronmsalvador</v>
      </c>
      <c r="B577" s="1" t="str">
        <f>IFERROR(__xludf.DUMMYFUNCTION("""COMPUTED_VALUE"""),"Ron Salvador")</f>
        <v>Ron Salvador</v>
      </c>
      <c r="C577" s="1" t="str">
        <f>IFERROR(__xludf.DUMMYFUNCTION("""COMPUTED_VALUE"""),"Ron")</f>
        <v>Ron</v>
      </c>
      <c r="D577" s="1" t="str">
        <f>IFERROR(__xludf.DUMMYFUNCTION("""COMPUTED_VALUE"""),"Salvador")</f>
        <v>Salvador</v>
      </c>
      <c r="E577" s="1" t="str">
        <f>IFERROR(__xludf.DUMMYFUNCTION("""COMPUTED_VALUE"""),"Khaylifa Campo so yung yaman nila sa tallano gold ba or sa yamashita treasure galing?")</f>
        <v>Khaylifa Campo so yung yaman nila sa tallano gold ba or sa yamashita treasure galing?</v>
      </c>
      <c r="F577" s="1"/>
      <c r="G577" s="1" t="str">
        <f>IFERROR(__xludf.DUMMYFUNCTION("""COMPUTED_VALUE"""),"3 mos")</f>
        <v>3 mos</v>
      </c>
      <c r="H577" s="1" t="str">
        <f>IFERROR(__xludf.DUMMYFUNCTION("""COMPUTED_VALUE"""),"reply")</f>
        <v>reply</v>
      </c>
      <c r="I577"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7" s="1" t="str">
        <f>IFERROR(__xludf.DUMMYFUNCTION("""COMPUTED_VALUE"""),"2022-07-04T11:14:00.237Z")</f>
        <v>2022-07-04T11:14:00.237Z</v>
      </c>
      <c r="K577" s="1"/>
    </row>
    <row r="578">
      <c r="A578" s="2" t="str">
        <f>IFERROR(__xludf.DUMMYFUNCTION("""COMPUTED_VALUE"""),"https://www.facebook.com/mariatheresa.aguilar.35")</f>
        <v>https://www.facebook.com/mariatheresa.aguilar.35</v>
      </c>
      <c r="B578" s="1" t="str">
        <f>IFERROR(__xludf.DUMMYFUNCTION("""COMPUTED_VALUE"""),"Maria Theresa Anda Aguilar")</f>
        <v>Maria Theresa Anda Aguilar</v>
      </c>
      <c r="C578" s="1" t="str">
        <f>IFERROR(__xludf.DUMMYFUNCTION("""COMPUTED_VALUE"""),"Maria")</f>
        <v>Maria</v>
      </c>
      <c r="D578" s="1" t="str">
        <f>IFERROR(__xludf.DUMMYFUNCTION("""COMPUTED_VALUE"""),"Theresa Anda Aguilar")</f>
        <v>Theresa Anda Aguilar</v>
      </c>
      <c r="E578" s="1" t="str">
        <f>IFERROR(__xludf.DUMMYFUNCTION("""COMPUTED_VALUE"""),"Gising na kami uy!@")</f>
        <v>Gising na kami uy!@</v>
      </c>
      <c r="F578" s="1">
        <f>IFERROR(__xludf.DUMMYFUNCTION("""COMPUTED_VALUE"""),2.0)</f>
        <v>2</v>
      </c>
      <c r="G578" s="1" t="str">
        <f>IFERROR(__xludf.DUMMYFUNCTION("""COMPUTED_VALUE"""),"3 mos")</f>
        <v>3 mos</v>
      </c>
      <c r="H578" s="1" t="str">
        <f>IFERROR(__xludf.DUMMYFUNCTION("""COMPUTED_VALUE"""),"comment")</f>
        <v>comment</v>
      </c>
      <c r="I578"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8" s="1" t="str">
        <f>IFERROR(__xludf.DUMMYFUNCTION("""COMPUTED_VALUE"""),"2022-07-04T11:14:00.237Z")</f>
        <v>2022-07-04T11:14:00.237Z</v>
      </c>
      <c r="K578" s="1"/>
    </row>
    <row r="579">
      <c r="A579" s="2" t="str">
        <f>IFERROR(__xludf.DUMMYFUNCTION("""COMPUTED_VALUE"""),"https://www.facebook.com/lovely.herrera1")</f>
        <v>https://www.facebook.com/lovely.herrera1</v>
      </c>
      <c r="B579" s="1" t="str">
        <f>IFERROR(__xludf.DUMMYFUNCTION("""COMPUTED_VALUE"""),"Rowena Quitco Herrera Andersson")</f>
        <v>Rowena Quitco Herrera Andersson</v>
      </c>
      <c r="C579" s="1" t="str">
        <f>IFERROR(__xludf.DUMMYFUNCTION("""COMPUTED_VALUE"""),"Rowena")</f>
        <v>Rowena</v>
      </c>
      <c r="D579" s="1" t="str">
        <f>IFERROR(__xludf.DUMMYFUNCTION("""COMPUTED_VALUE"""),"Quitco Herrera Andersson")</f>
        <v>Quitco Herrera Andersson</v>
      </c>
      <c r="E579" s="1" t="str">
        <f>IFERROR(__xludf.DUMMYFUNCTION("""COMPUTED_VALUE"""),"❤💚👊✌🙏😇 God bless Philippines!")</f>
        <v>❤💚👊✌🙏😇 God bless Philippines!</v>
      </c>
      <c r="F579" s="1">
        <f>IFERROR(__xludf.DUMMYFUNCTION("""COMPUTED_VALUE"""),3.0)</f>
        <v>3</v>
      </c>
      <c r="G579" s="1" t="str">
        <f>IFERROR(__xludf.DUMMYFUNCTION("""COMPUTED_VALUE"""),"3 mos")</f>
        <v>3 mos</v>
      </c>
      <c r="H579" s="1" t="str">
        <f>IFERROR(__xludf.DUMMYFUNCTION("""COMPUTED_VALUE"""),"comment")</f>
        <v>comment</v>
      </c>
      <c r="I579"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79" s="1" t="str">
        <f>IFERROR(__xludf.DUMMYFUNCTION("""COMPUTED_VALUE"""),"2022-07-04T11:14:00.237Z")</f>
        <v>2022-07-04T11:14:00.237Z</v>
      </c>
      <c r="K579" s="1"/>
    </row>
    <row r="580">
      <c r="A580" s="2" t="str">
        <f>IFERROR(__xludf.DUMMYFUNCTION("""COMPUTED_VALUE"""),"https://www.facebook.com/Soyiee25")</f>
        <v>https://www.facebook.com/Soyiee25</v>
      </c>
      <c r="B580" s="1" t="str">
        <f>IFERROR(__xludf.DUMMYFUNCTION("""COMPUTED_VALUE"""),"LAPE LORENZ COMAHIG")</f>
        <v>LAPE LORENZ COMAHIG</v>
      </c>
      <c r="C580" s="1" t="str">
        <f>IFERROR(__xludf.DUMMYFUNCTION("""COMPUTED_VALUE"""),"LAPE")</f>
        <v>LAPE</v>
      </c>
      <c r="D580" s="1" t="str">
        <f>IFERROR(__xludf.DUMMYFUNCTION("""COMPUTED_VALUE"""),"LORENZ COMAHIG")</f>
        <v>LORENZ COMAHIG</v>
      </c>
      <c r="E580" s="1" t="str">
        <f>IFERROR(__xludf.DUMMYFUNCTION("""COMPUTED_VALUE"""),"Sanaol utilizing press freedom.")</f>
        <v>Sanaol utilizing press freedom.</v>
      </c>
      <c r="F580" s="1">
        <f>IFERROR(__xludf.DUMMYFUNCTION("""COMPUTED_VALUE"""),3.0)</f>
        <v>3</v>
      </c>
      <c r="G580" s="1" t="str">
        <f>IFERROR(__xludf.DUMMYFUNCTION("""COMPUTED_VALUE"""),"3 mos")</f>
        <v>3 mos</v>
      </c>
      <c r="H580" s="1" t="str">
        <f>IFERROR(__xludf.DUMMYFUNCTION("""COMPUTED_VALUE"""),"comment")</f>
        <v>comment</v>
      </c>
      <c r="I580"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0" s="1" t="str">
        <f>IFERROR(__xludf.DUMMYFUNCTION("""COMPUTED_VALUE"""),"2022-07-04T11:14:00.237Z")</f>
        <v>2022-07-04T11:14:00.237Z</v>
      </c>
      <c r="K580" s="1"/>
    </row>
    <row r="581">
      <c r="A581" s="2" t="str">
        <f>IFERROR(__xludf.DUMMYFUNCTION("""COMPUTED_VALUE"""),"https://www.facebook.com/jansen.vitug.1")</f>
        <v>https://www.facebook.com/jansen.vitug.1</v>
      </c>
      <c r="B581" s="1" t="str">
        <f>IFERROR(__xludf.DUMMYFUNCTION("""COMPUTED_VALUE"""),"Maya Amore P Ilana")</f>
        <v>Maya Amore P Ilana</v>
      </c>
      <c r="C581" s="1" t="str">
        <f>IFERROR(__xludf.DUMMYFUNCTION("""COMPUTED_VALUE"""),"Maya")</f>
        <v>Maya</v>
      </c>
      <c r="D581" s="1" t="str">
        <f>IFERROR(__xludf.DUMMYFUNCTION("""COMPUTED_VALUE"""),"Amore P Ilana")</f>
        <v>Amore P Ilana</v>
      </c>
      <c r="E581" s="1" t="str">
        <f>IFERROR(__xludf.DUMMYFUNCTION("""COMPUTED_VALUE"""),"❤️💚❤️💚❤️💚❤️💚❤️💚❤️💚❤️💚❤️❤️💚❤️💚❤️💚❤️💚❤️💚❤️💚❤️💚❤️💚❤️💚❤️💚❤️💚❤️💚❤️💚❤️💚❤️💚❤️💚❤️💚❤️💚❤️💚❤️💚❤️💚❤️❤️💚❤️💚❤️💚❤️💚❤️💚❤️💚❤️💚💚💚💚💚💚💚💚💚💚💚💚💚❤️❤️❤️❤️❤️❤️❤️❤️❤️❤️❤️❤️💚💚💚💚💚💚❤️❤️❤️❤️❤️❤️💚💚💚💚💚💚❤️❤️❤️❤️❤️❤️❤️❤️❤️❤️❤️❤️💚"&amp;"💚💚💚💚❤️❤️❤️❤️❤️❤️💚💚💚💚💚💚💚💚💚💚💚💚❤️❤️❤️❤️❤️❤️💚💚💚💚💚💚❤️❤️❤️❤️❤️❤️❤️❤️❤️❤️❤️❤️💚💚💚💚💚💚❤️❤️❤️❤️💚💚💚❤️❤️❤️❤️💚💚💚💚💚💚❤️❤️❤️💚💚💚💚")</f>
        <v>❤️💚❤️💚❤️💚❤️💚❤️💚❤️💚❤️💚❤️❤️💚❤️💚❤️💚❤️💚❤️💚❤️💚❤️💚❤️💚❤️💚❤️💚❤️💚❤️💚❤️💚❤️💚❤️💚❤️💚❤️💚❤️💚❤️💚❤️💚❤️💚❤️❤️💚❤️💚❤️💚❤️💚❤️💚❤️💚❤️💚💚💚💚💚💚💚💚💚💚💚💚💚❤️❤️❤️❤️❤️❤️❤️❤️❤️❤️❤️❤️💚💚💚💚💚💚❤️❤️❤️❤️❤️❤️💚💚💚💚💚💚❤️❤️❤️❤️❤️❤️❤️❤️❤️❤️❤️❤️💚💚💚💚💚💚❤️❤️❤️❤️❤️❤️💚💚💚💚💚💚💚💚💚💚💚💚❤️❤️❤️❤️❤️❤️💚💚💚💚💚💚❤️❤️❤️❤️❤️❤️❤️❤️❤️❤️❤️❤️💚💚💚💚💚💚❤️❤️❤️❤️💚💚💚❤️❤️❤️❤️💚💚💚💚💚💚❤️❤️❤️💚💚💚💚</v>
      </c>
      <c r="F581" s="1">
        <f>IFERROR(__xludf.DUMMYFUNCTION("""COMPUTED_VALUE"""),5.0)</f>
        <v>5</v>
      </c>
      <c r="G581" s="1" t="str">
        <f>IFERROR(__xludf.DUMMYFUNCTION("""COMPUTED_VALUE"""),"3 mos")</f>
        <v>3 mos</v>
      </c>
      <c r="H581" s="1" t="str">
        <f>IFERROR(__xludf.DUMMYFUNCTION("""COMPUTED_VALUE"""),"comment")</f>
        <v>comment</v>
      </c>
      <c r="I581"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1" s="1" t="str">
        <f>IFERROR(__xludf.DUMMYFUNCTION("""COMPUTED_VALUE"""),"2022-07-04T11:14:00.237Z")</f>
        <v>2022-07-04T11:14:00.237Z</v>
      </c>
      <c r="K581" s="1"/>
    </row>
    <row r="582">
      <c r="A582" s="2" t="str">
        <f>IFERROR(__xludf.DUMMYFUNCTION("""COMPUTED_VALUE"""),"https://www.facebook.com/ogie.fernandez.731")</f>
        <v>https://www.facebook.com/ogie.fernandez.731</v>
      </c>
      <c r="B582" s="1" t="str">
        <f>IFERROR(__xludf.DUMMYFUNCTION("""COMPUTED_VALUE"""),"Ogie Fernandez")</f>
        <v>Ogie Fernandez</v>
      </c>
      <c r="C582" s="1" t="str">
        <f>IFERROR(__xludf.DUMMYFUNCTION("""COMPUTED_VALUE"""),"Ogie")</f>
        <v>Ogie</v>
      </c>
      <c r="D582" s="1" t="str">
        <f>IFERROR(__xludf.DUMMYFUNCTION("""COMPUTED_VALUE"""),"Fernandez")</f>
        <v>Fernandez</v>
      </c>
      <c r="E582" s="1" t="str">
        <f>IFERROR(__xludf.DUMMYFUNCTION("""COMPUTED_VALUE"""),"Ogie Fernandez")</f>
        <v>Ogie Fernandez</v>
      </c>
      <c r="F582" s="1"/>
      <c r="G582" s="1" t="str">
        <f>IFERROR(__xludf.DUMMYFUNCTION("""COMPUTED_VALUE"""),"3 mos")</f>
        <v>3 mos</v>
      </c>
      <c r="H582" s="1" t="str">
        <f>IFERROR(__xludf.DUMMYFUNCTION("""COMPUTED_VALUE"""),"comment")</f>
        <v>comment</v>
      </c>
      <c r="I582"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2" s="1" t="str">
        <f>IFERROR(__xludf.DUMMYFUNCTION("""COMPUTED_VALUE"""),"2022-07-04T11:14:00.237Z")</f>
        <v>2022-07-04T11:14:00.237Z</v>
      </c>
      <c r="K582" s="1"/>
    </row>
    <row r="583">
      <c r="A583" s="2" t="str">
        <f>IFERROR(__xludf.DUMMYFUNCTION("""COMPUTED_VALUE"""),"https://www.facebook.com/edwin.redz.mangeron")</f>
        <v>https://www.facebook.com/edwin.redz.mangeron</v>
      </c>
      <c r="B583" s="1" t="str">
        <f>IFERROR(__xludf.DUMMYFUNCTION("""COMPUTED_VALUE"""),"Redz Edwin Mangeron")</f>
        <v>Redz Edwin Mangeron</v>
      </c>
      <c r="C583" s="1" t="str">
        <f>IFERROR(__xludf.DUMMYFUNCTION("""COMPUTED_VALUE"""),"Redz")</f>
        <v>Redz</v>
      </c>
      <c r="D583" s="1" t="str">
        <f>IFERROR(__xludf.DUMMYFUNCTION("""COMPUTED_VALUE"""),"Edwin Mangeron")</f>
        <v>Edwin Mangeron</v>
      </c>
      <c r="E583" s="1" t="str">
        <f>IFERROR(__xludf.DUMMYFUNCTION("""COMPUTED_VALUE"""),"Redz Edwin Mangeron")</f>
        <v>Redz Edwin Mangeron</v>
      </c>
      <c r="F583" s="1"/>
      <c r="G583" s="1" t="str">
        <f>IFERROR(__xludf.DUMMYFUNCTION("""COMPUTED_VALUE"""),"3 mos")</f>
        <v>3 mos</v>
      </c>
      <c r="H583" s="1" t="str">
        <f>IFERROR(__xludf.DUMMYFUNCTION("""COMPUTED_VALUE"""),"comment")</f>
        <v>comment</v>
      </c>
      <c r="I583"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3" s="1" t="str">
        <f>IFERROR(__xludf.DUMMYFUNCTION("""COMPUTED_VALUE"""),"2022-07-04T11:14:00.237Z")</f>
        <v>2022-07-04T11:14:00.237Z</v>
      </c>
      <c r="K583" s="1"/>
    </row>
    <row r="584">
      <c r="A584" s="2" t="str">
        <f>IFERROR(__xludf.DUMMYFUNCTION("""COMPUTED_VALUE"""),"https://www.facebook.com/profile.php?id=100000527554200")</f>
        <v>https://www.facebook.com/profile.php?id=100000527554200</v>
      </c>
      <c r="B584" s="1" t="str">
        <f>IFERROR(__xludf.DUMMYFUNCTION("""COMPUTED_VALUE"""),"Edralin Baliguat Magcalayo")</f>
        <v>Edralin Baliguat Magcalayo</v>
      </c>
      <c r="C584" s="1" t="str">
        <f>IFERROR(__xludf.DUMMYFUNCTION("""COMPUTED_VALUE"""),"Edralin")</f>
        <v>Edralin</v>
      </c>
      <c r="D584" s="1" t="str">
        <f>IFERROR(__xludf.DUMMYFUNCTION("""COMPUTED_VALUE"""),"Baliguat Magcalayo")</f>
        <v>Baliguat Magcalayo</v>
      </c>
      <c r="E584" s="1" t="str">
        <f>IFERROR(__xludf.DUMMYFUNCTION("""COMPUTED_VALUE"""),"one sided fact check!")</f>
        <v>one sided fact check!</v>
      </c>
      <c r="F584" s="1"/>
      <c r="G584" s="1" t="str">
        <f>IFERROR(__xludf.DUMMYFUNCTION("""COMPUTED_VALUE"""),"3 mos")</f>
        <v>3 mos</v>
      </c>
      <c r="H584" s="1" t="str">
        <f>IFERROR(__xludf.DUMMYFUNCTION("""COMPUTED_VALUE"""),"comment")</f>
        <v>comment</v>
      </c>
      <c r="I584"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4" s="1" t="str">
        <f>IFERROR(__xludf.DUMMYFUNCTION("""COMPUTED_VALUE"""),"2022-07-04T11:14:00.237Z")</f>
        <v>2022-07-04T11:14:00.237Z</v>
      </c>
      <c r="K584" s="1"/>
    </row>
    <row r="585">
      <c r="A585" s="2" t="str">
        <f>IFERROR(__xludf.DUMMYFUNCTION("""COMPUTED_VALUE"""),"https://www.facebook.com/ronmsalvador")</f>
        <v>https://www.facebook.com/ronmsalvador</v>
      </c>
      <c r="B585" s="1" t="str">
        <f>IFERROR(__xludf.DUMMYFUNCTION("""COMPUTED_VALUE"""),"Ron Salvador")</f>
        <v>Ron Salvador</v>
      </c>
      <c r="C585" s="1" t="str">
        <f>IFERROR(__xludf.DUMMYFUNCTION("""COMPUTED_VALUE"""),"Ron")</f>
        <v>Ron</v>
      </c>
      <c r="D585" s="1" t="str">
        <f>IFERROR(__xludf.DUMMYFUNCTION("""COMPUTED_VALUE"""),"Salvador")</f>
        <v>Salvador</v>
      </c>
      <c r="E585" s="1" t="str">
        <f>IFERROR(__xludf.DUMMYFUNCTION("""COMPUTED_VALUE"""),"Edralin Baliguat Magcalayo so yung yaman nila sa tallano gold ba or sa yamashita treasure galing?")</f>
        <v>Edralin Baliguat Magcalayo so yung yaman nila sa tallano gold ba or sa yamashita treasure galing?</v>
      </c>
      <c r="F585" s="1"/>
      <c r="G585" s="1" t="str">
        <f>IFERROR(__xludf.DUMMYFUNCTION("""COMPUTED_VALUE"""),"3 mos")</f>
        <v>3 mos</v>
      </c>
      <c r="H585" s="1" t="str">
        <f>IFERROR(__xludf.DUMMYFUNCTION("""COMPUTED_VALUE"""),"reply")</f>
        <v>reply</v>
      </c>
      <c r="I585"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5" s="1" t="str">
        <f>IFERROR(__xludf.DUMMYFUNCTION("""COMPUTED_VALUE"""),"2022-07-04T11:14:00.237Z")</f>
        <v>2022-07-04T11:14:00.237Z</v>
      </c>
      <c r="K585" s="1"/>
    </row>
    <row r="586">
      <c r="A586" s="2" t="str">
        <f>IFERROR(__xludf.DUMMYFUNCTION("""COMPUTED_VALUE"""),"https://www.facebook.com/profile.php?id=100008658065734")</f>
        <v>https://www.facebook.com/profile.php?id=100008658065734</v>
      </c>
      <c r="B586" s="1" t="str">
        <f>IFERROR(__xludf.DUMMYFUNCTION("""COMPUTED_VALUE"""),"Janvien Icel Zabala Daguhoy")</f>
        <v>Janvien Icel Zabala Daguhoy</v>
      </c>
      <c r="C586" s="1" t="str">
        <f>IFERROR(__xludf.DUMMYFUNCTION("""COMPUTED_VALUE"""),"Janvien")</f>
        <v>Janvien</v>
      </c>
      <c r="D586" s="1" t="str">
        <f>IFERROR(__xludf.DUMMYFUNCTION("""COMPUTED_VALUE"""),"Icel Zabala Daguhoy")</f>
        <v>Icel Zabala Daguhoy</v>
      </c>
      <c r="E586" s="1" t="str">
        <f>IFERROR(__xludf.DUMMYFUNCTION("""COMPUTED_VALUE"""),"❤️❤️❤️❤️❤️❤️❤️❤️❤️❤️❤️❤️❤️❤️❤️❤️❤️❤️❤️❤️❤️❤️❤️❤️❤️❤️❤️❤️❤️❤️❤️❤️💚💚💚💚💚💚💚💚💚💚💚💚💚💚💚💚💚💚💚💚💚💚💚💚💚💚💚💚💚💚💚💚✌️✌️✌️✌️✌️✌️✌️✌️✌️✌️✌️✌️✌️✌️✌️✌️✌️✌️✌️✌️✌️✌️✌️✌️✌️✌️✌️✌️✌️✌️✌️✌️❤️❤️❤️❤️❤️❤️❤️❤️❤️❤️❤️❤️❤️❤️❤️❤️💚💚💚💚💚💚💚💚💚💚💚💚💚💚💚"&amp;"")</f>
        <v>❤️❤️❤️❤️❤️❤️❤️❤️❤️❤️❤️❤️❤️❤️❤️❤️❤️❤️❤️❤️❤️❤️❤️❤️❤️❤️❤️❤️❤️❤️❤️❤️💚💚💚💚💚💚💚💚💚💚💚💚💚💚💚💚💚💚💚💚💚💚💚💚💚💚💚💚💚💚💚💚✌️✌️✌️✌️✌️✌️✌️✌️✌️✌️✌️✌️✌️✌️✌️✌️✌️✌️✌️✌️✌️✌️✌️✌️✌️✌️✌️✌️✌️✌️✌️✌️❤️❤️❤️❤️❤️❤️❤️❤️❤️❤️❤️❤️❤️❤️❤️❤️💚💚💚💚💚💚💚💚💚💚💚💚💚💚💚💚</v>
      </c>
      <c r="F586" s="1">
        <f>IFERROR(__xludf.DUMMYFUNCTION("""COMPUTED_VALUE"""),11.0)</f>
        <v>11</v>
      </c>
      <c r="G586" s="1" t="str">
        <f>IFERROR(__xludf.DUMMYFUNCTION("""COMPUTED_VALUE"""),"3 mos")</f>
        <v>3 mos</v>
      </c>
      <c r="H586" s="1" t="str">
        <f>IFERROR(__xludf.DUMMYFUNCTION("""COMPUTED_VALUE"""),"comment")</f>
        <v>comment</v>
      </c>
      <c r="I586"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6" s="1" t="str">
        <f>IFERROR(__xludf.DUMMYFUNCTION("""COMPUTED_VALUE"""),"2022-07-04T11:14:00.237Z")</f>
        <v>2022-07-04T11:14:00.237Z</v>
      </c>
      <c r="K586" s="1"/>
    </row>
    <row r="587">
      <c r="A587" s="2" t="str">
        <f>IFERROR(__xludf.DUMMYFUNCTION("""COMPUTED_VALUE"""),"https://www.facebook.com/jessel.pascua.1")</f>
        <v>https://www.facebook.com/jessel.pascua.1</v>
      </c>
      <c r="B587" s="1" t="str">
        <f>IFERROR(__xludf.DUMMYFUNCTION("""COMPUTED_VALUE"""),"Jessel Pascua")</f>
        <v>Jessel Pascua</v>
      </c>
      <c r="C587" s="1" t="str">
        <f>IFERROR(__xludf.DUMMYFUNCTION("""COMPUTED_VALUE"""),"Jessel")</f>
        <v>Jessel</v>
      </c>
      <c r="D587" s="1" t="str">
        <f>IFERROR(__xludf.DUMMYFUNCTION("""COMPUTED_VALUE"""),"Pascua")</f>
        <v>Pascua</v>
      </c>
      <c r="E587" s="1" t="str">
        <f>IFERROR(__xludf.DUMMYFUNCTION("""COMPUTED_VALUE"""),"Jessel Pascua")</f>
        <v>Jessel Pascua</v>
      </c>
      <c r="F587" s="1">
        <f>IFERROR(__xludf.DUMMYFUNCTION("""COMPUTED_VALUE"""),1.0)</f>
        <v>1</v>
      </c>
      <c r="G587" s="1" t="str">
        <f>IFERROR(__xludf.DUMMYFUNCTION("""COMPUTED_VALUE"""),"3 mos")</f>
        <v>3 mos</v>
      </c>
      <c r="H587" s="1" t="str">
        <f>IFERROR(__xludf.DUMMYFUNCTION("""COMPUTED_VALUE"""),"comment")</f>
        <v>comment</v>
      </c>
      <c r="I587"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7" s="1" t="str">
        <f>IFERROR(__xludf.DUMMYFUNCTION("""COMPUTED_VALUE"""),"2022-07-04T11:14:00.237Z")</f>
        <v>2022-07-04T11:14:00.237Z</v>
      </c>
      <c r="K587" s="1"/>
    </row>
    <row r="588">
      <c r="A588" s="2" t="str">
        <f>IFERROR(__xludf.DUMMYFUNCTION("""COMPUTED_VALUE"""),"https://www.facebook.com/maico.lopez.3517")</f>
        <v>https://www.facebook.com/maico.lopez.3517</v>
      </c>
      <c r="B588" s="1" t="str">
        <f>IFERROR(__xludf.DUMMYFUNCTION("""COMPUTED_VALUE"""),"Jeremy トメ")</f>
        <v>Jeremy トメ</v>
      </c>
      <c r="C588" s="1" t="str">
        <f>IFERROR(__xludf.DUMMYFUNCTION("""COMPUTED_VALUE"""),"Jeremy")</f>
        <v>Jeremy</v>
      </c>
      <c r="D588" s="1" t="str">
        <f>IFERROR(__xludf.DUMMYFUNCTION("""COMPUTED_VALUE"""),"トメ")</f>
        <v>トメ</v>
      </c>
      <c r="E588" s="1" t="str">
        <f>IFERROR(__xludf.DUMMYFUNCTION("""COMPUTED_VALUE"""),"Ui hapitin nyo na,, malapit na may 9 🤣🤣")</f>
        <v>Ui hapitin nyo na,, malapit na may 9 🤣🤣</v>
      </c>
      <c r="F588" s="1">
        <f>IFERROR(__xludf.DUMMYFUNCTION("""COMPUTED_VALUE"""),1.0)</f>
        <v>1</v>
      </c>
      <c r="G588" s="1" t="str">
        <f>IFERROR(__xludf.DUMMYFUNCTION("""COMPUTED_VALUE"""),"3 mos")</f>
        <v>3 mos</v>
      </c>
      <c r="H588" s="1" t="str">
        <f>IFERROR(__xludf.DUMMYFUNCTION("""COMPUTED_VALUE"""),"comment")</f>
        <v>comment</v>
      </c>
      <c r="I588"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8" s="1" t="str">
        <f>IFERROR(__xludf.DUMMYFUNCTION("""COMPUTED_VALUE"""),"2022-07-04T11:14:00.237Z")</f>
        <v>2022-07-04T11:14:00.237Z</v>
      </c>
      <c r="K588" s="1"/>
    </row>
    <row r="589">
      <c r="A589" s="2" t="str">
        <f>IFERROR(__xludf.DUMMYFUNCTION("""COMPUTED_VALUE"""),"https://www.facebook.com/venusemano.go.1")</f>
        <v>https://www.facebook.com/venusemano.go.1</v>
      </c>
      <c r="B589" s="1" t="str">
        <f>IFERROR(__xludf.DUMMYFUNCTION("""COMPUTED_VALUE"""),"Venus Zapatos Go")</f>
        <v>Venus Zapatos Go</v>
      </c>
      <c r="C589" s="1" t="str">
        <f>IFERROR(__xludf.DUMMYFUNCTION("""COMPUTED_VALUE"""),"Venus")</f>
        <v>Venus</v>
      </c>
      <c r="D589" s="1" t="str">
        <f>IFERROR(__xludf.DUMMYFUNCTION("""COMPUTED_VALUE"""),"Zapatos Go")</f>
        <v>Zapatos Go</v>
      </c>
      <c r="E589" s="1" t="str">
        <f>IFERROR(__xludf.DUMMYFUNCTION("""COMPUTED_VALUE"""),"Solid BbmSara lng malakas Mindanao,")</f>
        <v>Solid BbmSara lng malakas Mindanao,</v>
      </c>
      <c r="F589" s="1">
        <f>IFERROR(__xludf.DUMMYFUNCTION("""COMPUTED_VALUE"""),3.0)</f>
        <v>3</v>
      </c>
      <c r="G589" s="1" t="str">
        <f>IFERROR(__xludf.DUMMYFUNCTION("""COMPUTED_VALUE"""),"3 mos")</f>
        <v>3 mos</v>
      </c>
      <c r="H589" s="1" t="str">
        <f>IFERROR(__xludf.DUMMYFUNCTION("""COMPUTED_VALUE"""),"comment")</f>
        <v>comment</v>
      </c>
      <c r="I589"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89" s="1" t="str">
        <f>IFERROR(__xludf.DUMMYFUNCTION("""COMPUTED_VALUE"""),"2022-07-04T11:14:00.237Z")</f>
        <v>2022-07-04T11:14:00.237Z</v>
      </c>
      <c r="K589" s="1"/>
    </row>
    <row r="590">
      <c r="A590" s="2" t="str">
        <f>IFERROR(__xludf.DUMMYFUNCTION("""COMPUTED_VALUE"""),"https://www.facebook.com/marializa.ko")</f>
        <v>https://www.facebook.com/marializa.ko</v>
      </c>
      <c r="B590" s="1" t="str">
        <f>IFERROR(__xludf.DUMMYFUNCTION("""COMPUTED_VALUE"""),"Maria Liza Ko")</f>
        <v>Maria Liza Ko</v>
      </c>
      <c r="C590" s="1" t="str">
        <f>IFERROR(__xludf.DUMMYFUNCTION("""COMPUTED_VALUE"""),"Maria")</f>
        <v>Maria</v>
      </c>
      <c r="D590" s="1" t="str">
        <f>IFERROR(__xludf.DUMMYFUNCTION("""COMPUTED_VALUE"""),"Liza Ko")</f>
        <v>Liza Ko</v>
      </c>
      <c r="E590" s="1" t="str">
        <f>IFERROR(__xludf.DUMMYFUNCTION("""COMPUTED_VALUE"""),"Maria Liza Ko")</f>
        <v>Maria Liza Ko</v>
      </c>
      <c r="F590" s="1">
        <f>IFERROR(__xludf.DUMMYFUNCTION("""COMPUTED_VALUE"""),2.0)</f>
        <v>2</v>
      </c>
      <c r="G590" s="1" t="str">
        <f>IFERROR(__xludf.DUMMYFUNCTION("""COMPUTED_VALUE"""),"3 mos")</f>
        <v>3 mos</v>
      </c>
      <c r="H590" s="1" t="str">
        <f>IFERROR(__xludf.DUMMYFUNCTION("""COMPUTED_VALUE"""),"comment")</f>
        <v>comment</v>
      </c>
      <c r="I590"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90" s="1" t="str">
        <f>IFERROR(__xludf.DUMMYFUNCTION("""COMPUTED_VALUE"""),"2022-07-04T11:14:00.237Z")</f>
        <v>2022-07-04T11:14:00.237Z</v>
      </c>
      <c r="K590" s="1"/>
    </row>
    <row r="591">
      <c r="A591" s="2" t="str">
        <f>IFERROR(__xludf.DUMMYFUNCTION("""COMPUTED_VALUE"""),"https://www.facebook.com/makatoldrrmo")</f>
        <v>https://www.facebook.com/makatoldrrmo</v>
      </c>
      <c r="B591" s="1" t="str">
        <f>IFERROR(__xludf.DUMMYFUNCTION("""COMPUTED_VALUE"""),"Makato Ldrrm Officer II")</f>
        <v>Makato Ldrrm Officer II</v>
      </c>
      <c r="C591" s="1" t="str">
        <f>IFERROR(__xludf.DUMMYFUNCTION("""COMPUTED_VALUE"""),"Makato")</f>
        <v>Makato</v>
      </c>
      <c r="D591" s="1" t="str">
        <f>IFERROR(__xludf.DUMMYFUNCTION("""COMPUTED_VALUE"""),"Ldrrm Officer II")</f>
        <v>Ldrrm Officer II</v>
      </c>
      <c r="E591" s="1" t="str">
        <f>IFERROR(__xludf.DUMMYFUNCTION("""COMPUTED_VALUE"""),"Makato Ldrrm Officer II")</f>
        <v>Makato Ldrrm Officer II</v>
      </c>
      <c r="F591" s="1"/>
      <c r="G591" s="1" t="str">
        <f>IFERROR(__xludf.DUMMYFUNCTION("""COMPUTED_VALUE"""),"3 mos")</f>
        <v>3 mos</v>
      </c>
      <c r="H591" s="1" t="str">
        <f>IFERROR(__xludf.DUMMYFUNCTION("""COMPUTED_VALUE"""),"comment")</f>
        <v>comment</v>
      </c>
      <c r="I591"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91" s="1" t="str">
        <f>IFERROR(__xludf.DUMMYFUNCTION("""COMPUTED_VALUE"""),"2022-07-04T11:14:00.238Z")</f>
        <v>2022-07-04T11:14:00.238Z</v>
      </c>
      <c r="K591" s="1"/>
    </row>
    <row r="592">
      <c r="A592" s="2" t="str">
        <f>IFERROR(__xludf.DUMMYFUNCTION("""COMPUTED_VALUE"""),"https://www.facebook.com/paye.dionisio")</f>
        <v>https://www.facebook.com/paye.dionisio</v>
      </c>
      <c r="B592" s="1" t="str">
        <f>IFERROR(__xludf.DUMMYFUNCTION("""COMPUTED_VALUE"""),"Paye Dionisio")</f>
        <v>Paye Dionisio</v>
      </c>
      <c r="C592" s="1" t="str">
        <f>IFERROR(__xludf.DUMMYFUNCTION("""COMPUTED_VALUE"""),"Paye")</f>
        <v>Paye</v>
      </c>
      <c r="D592" s="1" t="str">
        <f>IFERROR(__xludf.DUMMYFUNCTION("""COMPUTED_VALUE"""),"Dionisio")</f>
        <v>Dionisio</v>
      </c>
      <c r="E592" s="1" t="str">
        <f>IFERROR(__xludf.DUMMYFUNCTION("""COMPUTED_VALUE"""),"Kahit nung gwin nu...❤❤❤💚💚💚✌✌✌✌✌✌✌✌✌✌✌✌✌✌✌✌✌✌✌✌✌✌✌✌✌✌✌✌✌✌✌✌✌✌✌✌✌✌✌✌✌✌💚💚💚💚💚💚💚💚💚💚💚💚💚💚💚💚💚💚💚💚💚💚💚💚💚💚💚💚💚💚💚💚💚💚💚💚💚💚💚💚💚💚❤❤❤❤❤❤❤❤❤❤❤❤❤❤❤❤❤❤❤❤❤❤❤❤❤❤❤❤❤❤❤❤❤❤❤❤❤❤❤❤❤❤")</f>
        <v>Kahit nung gwin nu...❤❤❤💚💚💚✌✌✌✌✌✌✌✌✌✌✌✌✌✌✌✌✌✌✌✌✌✌✌✌✌✌✌✌✌✌✌✌✌✌✌✌✌✌✌✌✌✌💚💚💚💚💚💚💚💚💚💚💚💚💚💚💚💚💚💚💚💚💚💚💚💚💚💚💚💚💚💚💚💚💚💚💚💚💚💚💚💚💚💚❤❤❤❤❤❤❤❤❤❤❤❤❤❤❤❤❤❤❤❤❤❤❤❤❤❤❤❤❤❤❤❤❤❤❤❤❤❤❤❤❤❤</v>
      </c>
      <c r="F592" s="1"/>
      <c r="G592" s="1" t="str">
        <f>IFERROR(__xludf.DUMMYFUNCTION("""COMPUTED_VALUE"""),"3 mos")</f>
        <v>3 mos</v>
      </c>
      <c r="H592" s="1" t="str">
        <f>IFERROR(__xludf.DUMMYFUNCTION("""COMPUTED_VALUE"""),"comment")</f>
        <v>comment</v>
      </c>
      <c r="I592"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92" s="1" t="str">
        <f>IFERROR(__xludf.DUMMYFUNCTION("""COMPUTED_VALUE"""),"2022-07-04T11:14:00.238Z")</f>
        <v>2022-07-04T11:14:00.238Z</v>
      </c>
      <c r="K592" s="1"/>
    </row>
    <row r="593">
      <c r="A593" s="2" t="str">
        <f>IFERROR(__xludf.DUMMYFUNCTION("""COMPUTED_VALUE"""),"https://www.facebook.com/rosalia.calmaibanez")</f>
        <v>https://www.facebook.com/rosalia.calmaibanez</v>
      </c>
      <c r="B593" s="1" t="str">
        <f>IFERROR(__xludf.DUMMYFUNCTION("""COMPUTED_VALUE"""),"Rosalia Calma-ibanez")</f>
        <v>Rosalia Calma-ibanez</v>
      </c>
      <c r="C593" s="1" t="str">
        <f>IFERROR(__xludf.DUMMYFUNCTION("""COMPUTED_VALUE"""),"Rosalia")</f>
        <v>Rosalia</v>
      </c>
      <c r="D593" s="1" t="str">
        <f>IFERROR(__xludf.DUMMYFUNCTION("""COMPUTED_VALUE"""),"Calma-ibanez")</f>
        <v>Calma-ibanez</v>
      </c>
      <c r="E593" s="1" t="str">
        <f>IFERROR(__xludf.DUMMYFUNCTION("""COMPUTED_VALUE"""),"Habol pa!")</f>
        <v>Habol pa!</v>
      </c>
      <c r="F593" s="1"/>
      <c r="G593" s="1" t="str">
        <f>IFERROR(__xludf.DUMMYFUNCTION("""COMPUTED_VALUE"""),"3 mos")</f>
        <v>3 mos</v>
      </c>
      <c r="H593" s="1" t="str">
        <f>IFERROR(__xludf.DUMMYFUNCTION("""COMPUTED_VALUE"""),"comment")</f>
        <v>comment</v>
      </c>
      <c r="I593"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93" s="1" t="str">
        <f>IFERROR(__xludf.DUMMYFUNCTION("""COMPUTED_VALUE"""),"2022-07-04T11:14:00.238Z")</f>
        <v>2022-07-04T11:14:00.238Z</v>
      </c>
      <c r="K593" s="1"/>
    </row>
    <row r="594">
      <c r="A594" s="2" t="str">
        <f>IFERROR(__xludf.DUMMYFUNCTION("""COMPUTED_VALUE"""),"https://www.facebook.com/lyn.cobajada")</f>
        <v>https://www.facebook.com/lyn.cobajada</v>
      </c>
      <c r="B594" s="1" t="str">
        <f>IFERROR(__xludf.DUMMYFUNCTION("""COMPUTED_VALUE"""),"Lyn Co-Bajada")</f>
        <v>Lyn Co-Bajada</v>
      </c>
      <c r="C594" s="1" t="str">
        <f>IFERROR(__xludf.DUMMYFUNCTION("""COMPUTED_VALUE"""),"Lyn")</f>
        <v>Lyn</v>
      </c>
      <c r="D594" s="1" t="str">
        <f>IFERROR(__xludf.DUMMYFUNCTION("""COMPUTED_VALUE"""),"Co-Bajada")</f>
        <v>Co-Bajada</v>
      </c>
      <c r="E594" s="1" t="str">
        <f>IFERROR(__xludf.DUMMYFUNCTION("""COMPUTED_VALUE"""),"Lyn Co-Bajada")</f>
        <v>Lyn Co-Bajada</v>
      </c>
      <c r="F594" s="1"/>
      <c r="G594" s="1" t="str">
        <f>IFERROR(__xludf.DUMMYFUNCTION("""COMPUTED_VALUE"""),"3 mos")</f>
        <v>3 mos</v>
      </c>
      <c r="H594" s="1" t="str">
        <f>IFERROR(__xludf.DUMMYFUNCTION("""COMPUTED_VALUE"""),"comment")</f>
        <v>comment</v>
      </c>
      <c r="I594"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94" s="1" t="str">
        <f>IFERROR(__xludf.DUMMYFUNCTION("""COMPUTED_VALUE"""),"2022-07-04T11:14:00.238Z")</f>
        <v>2022-07-04T11:14:00.238Z</v>
      </c>
      <c r="K594" s="1"/>
    </row>
    <row r="595">
      <c r="A595" s="2" t="str">
        <f>IFERROR(__xludf.DUMMYFUNCTION("""COMPUTED_VALUE"""),"https://www.facebook.com/claude.garcia.161")</f>
        <v>https://www.facebook.com/claude.garcia.161</v>
      </c>
      <c r="B595" s="1" t="str">
        <f>IFERROR(__xludf.DUMMYFUNCTION("""COMPUTED_VALUE"""),"Claud Garcia")</f>
        <v>Claud Garcia</v>
      </c>
      <c r="C595" s="1" t="str">
        <f>IFERROR(__xludf.DUMMYFUNCTION("""COMPUTED_VALUE"""),"Claud")</f>
        <v>Claud</v>
      </c>
      <c r="D595" s="1" t="str">
        <f>IFERROR(__xludf.DUMMYFUNCTION("""COMPUTED_VALUE"""),"Garcia")</f>
        <v>Garcia</v>
      </c>
      <c r="E595" s="1" t="str">
        <f>IFERROR(__xludf.DUMMYFUNCTION("""COMPUTED_VALUE"""),"Double time🤣❤️💚")</f>
        <v>Double time🤣❤️💚</v>
      </c>
      <c r="F595" s="1">
        <f>IFERROR(__xludf.DUMMYFUNCTION("""COMPUTED_VALUE"""),1.0)</f>
        <v>1</v>
      </c>
      <c r="G595" s="1" t="str">
        <f>IFERROR(__xludf.DUMMYFUNCTION("""COMPUTED_VALUE"""),"3 mos")</f>
        <v>3 mos</v>
      </c>
      <c r="H595" s="1" t="str">
        <f>IFERROR(__xludf.DUMMYFUNCTION("""COMPUTED_VALUE"""),"comment")</f>
        <v>comment</v>
      </c>
      <c r="I595" s="2" t="str">
        <f>IFERROR(__xludf.DUMMYFUNCTION("""COMPUTED_VALUE"""),"https://www.facebook.com/rapplerdotcom/posts/pfbid02dNgAR64VTtp94Rus4o9MNbU55E2H9Wp7KMKzJGkk6u4UxRyHU8j2pPpwa5iwGcD3l")</f>
        <v>https://www.facebook.com/rapplerdotcom/posts/pfbid02dNgAR64VTtp94Rus4o9MNbU55E2H9Wp7KMKzJGkk6u4UxRyHU8j2pPpwa5iwGcD3l</v>
      </c>
      <c r="J595" s="1" t="str">
        <f>IFERROR(__xludf.DUMMYFUNCTION("""COMPUTED_VALUE"""),"2022-07-04T11:14:00.238Z")</f>
        <v>2022-07-04T11:14:00.238Z</v>
      </c>
      <c r="K595" s="1"/>
    </row>
    <row r="596">
      <c r="A596" s="2" t="str">
        <f>IFERROR(__xludf.DUMMYFUNCTION("""COMPUTED_VALUE"""),"https://www.facebook.com/steve.tamayo.18")</f>
        <v>https://www.facebook.com/steve.tamayo.18</v>
      </c>
      <c r="B596" s="1" t="str">
        <f>IFERROR(__xludf.DUMMYFUNCTION("""COMPUTED_VALUE"""),"Steve Tamayo")</f>
        <v>Steve Tamayo</v>
      </c>
      <c r="C596" s="1" t="str">
        <f>IFERROR(__xludf.DUMMYFUNCTION("""COMPUTED_VALUE"""),"Steve")</f>
        <v>Steve</v>
      </c>
      <c r="D596" s="1" t="str">
        <f>IFERROR(__xludf.DUMMYFUNCTION("""COMPUTED_VALUE"""),"Tamayo")</f>
        <v>Tamayo</v>
      </c>
      <c r="E596" s="1" t="str">
        <f>IFERROR(__xludf.DUMMYFUNCTION("""COMPUTED_VALUE"""),"Ang boto ko ay para sa isang #GobyernongTapatAngatBuhayLahat at #MasRadikalAngMagmahal  #IdasalNa10to #LeniKikoAllTheWay  #CaMaNavaForLeniKiko #RockAndRosas #CaMaNaVaIsPink  #LugawIsWowSaDabaw #DabawIsPink #tarLENIqueño #TarlacIsPink #PUSOtarlac  #Masagan"&amp;"angANEhan  #NuevaEcijaIsPink #IpanaloNa10Ito #10RobredoPresident  #KikoISDAKey #KikoAngManokKo  #7PangilinanForVicePresident  #MASSKARApatDapatLeniKiko  #TeamRObredoPAngilinan2022 kasamahan para sa Senado iboto din ng straight, Atty Alex Lacson, Atty Sonn"&amp;"y Matula, Dean Chel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#CaMaNaVaIsPink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596" s="1">
        <f>IFERROR(__xludf.DUMMYFUNCTION("""COMPUTED_VALUE"""),2.0)</f>
        <v>2</v>
      </c>
      <c r="G596" s="1" t="str">
        <f>IFERROR(__xludf.DUMMYFUNCTION("""COMPUTED_VALUE"""),"3 mos")</f>
        <v>3 mos</v>
      </c>
      <c r="H596" s="1" t="str">
        <f>IFERROR(__xludf.DUMMYFUNCTION("""COMPUTED_VALUE"""),"comment")</f>
        <v>comment</v>
      </c>
      <c r="I596"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596" s="1" t="str">
        <f>IFERROR(__xludf.DUMMYFUNCTION("""COMPUTED_VALUE"""),"2022-07-04T11:14:45.501Z")</f>
        <v>2022-07-04T11:14:45.501Z</v>
      </c>
      <c r="K596" s="1"/>
    </row>
    <row r="597">
      <c r="A597" s="2" t="str">
        <f>IFERROR(__xludf.DUMMYFUNCTION("""COMPUTED_VALUE"""),"https://www.facebook.com/johndiazcortez")</f>
        <v>https://www.facebook.com/johndiazcortez</v>
      </c>
      <c r="B597" s="1" t="str">
        <f>IFERROR(__xludf.DUMMYFUNCTION("""COMPUTED_VALUE"""),"John Diaz Cortez")</f>
        <v>John Diaz Cortez</v>
      </c>
      <c r="C597" s="1" t="str">
        <f>IFERROR(__xludf.DUMMYFUNCTION("""COMPUTED_VALUE"""),"John")</f>
        <v>John</v>
      </c>
      <c r="D597" s="1" t="str">
        <f>IFERROR(__xludf.DUMMYFUNCTION("""COMPUTED_VALUE"""),"Diaz Cortez")</f>
        <v>Diaz Cortez</v>
      </c>
      <c r="E597" s="1" t="str">
        <f>IFERROR(__xludf.DUMMYFUNCTION("""COMPUTED_VALUE"""),"#PinkRevolution  #KakamPINK #LetLeniLead #LeniKiko2022 #AngatBuhayLahat #KulayRosasAngBukas")</f>
        <v>#PinkRevolution  #KakamPINK #LetLeniLead #LeniKiko2022 #AngatBuhayLahat #KulayRosasAngBukas</v>
      </c>
      <c r="F597" s="1"/>
      <c r="G597" s="1" t="str">
        <f>IFERROR(__xludf.DUMMYFUNCTION("""COMPUTED_VALUE"""),"3 mos")</f>
        <v>3 mos</v>
      </c>
      <c r="H597" s="1" t="str">
        <f>IFERROR(__xludf.DUMMYFUNCTION("""COMPUTED_VALUE"""),"comment")</f>
        <v>comment</v>
      </c>
      <c r="I597"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597" s="1" t="str">
        <f>IFERROR(__xludf.DUMMYFUNCTION("""COMPUTED_VALUE"""),"2022-07-04T11:14:45.501Z")</f>
        <v>2022-07-04T11:14:45.501Z</v>
      </c>
      <c r="K597" s="1"/>
    </row>
    <row r="598">
      <c r="A598" s="2" t="str">
        <f>IFERROR(__xludf.DUMMYFUNCTION("""COMPUTED_VALUE"""),"https://www.facebook.com/flor.caimen")</f>
        <v>https://www.facebook.com/flor.caimen</v>
      </c>
      <c r="B598" s="1" t="str">
        <f>IFERROR(__xludf.DUMMYFUNCTION("""COMPUTED_VALUE"""),"Joel Flor Caimen")</f>
        <v>Joel Flor Caimen</v>
      </c>
      <c r="C598" s="1" t="str">
        <f>IFERROR(__xludf.DUMMYFUNCTION("""COMPUTED_VALUE"""),"Joel")</f>
        <v>Joel</v>
      </c>
      <c r="D598" s="1" t="str">
        <f>IFERROR(__xludf.DUMMYFUNCTION("""COMPUTED_VALUE"""),"Flor Caimen")</f>
        <v>Flor Caimen</v>
      </c>
      <c r="E598" s="1" t="str">
        <f>IFERROR(__xludf.DUMMYFUNCTION("""COMPUTED_VALUE"""),"Time for a decent government..")</f>
        <v>Time for a decent government..</v>
      </c>
      <c r="F598" s="1">
        <f>IFERROR(__xludf.DUMMYFUNCTION("""COMPUTED_VALUE"""),3.0)</f>
        <v>3</v>
      </c>
      <c r="G598" s="1" t="str">
        <f>IFERROR(__xludf.DUMMYFUNCTION("""COMPUTED_VALUE"""),"3 mos")</f>
        <v>3 mos</v>
      </c>
      <c r="H598" s="1" t="str">
        <f>IFERROR(__xludf.DUMMYFUNCTION("""COMPUTED_VALUE"""),"comment")</f>
        <v>comment</v>
      </c>
      <c r="I598"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598" s="1" t="str">
        <f>IFERROR(__xludf.DUMMYFUNCTION("""COMPUTED_VALUE"""),"2022-07-04T11:14:45.501Z")</f>
        <v>2022-07-04T11:14:45.501Z</v>
      </c>
      <c r="K598" s="1"/>
    </row>
    <row r="599">
      <c r="A599" s="2" t="str">
        <f>IFERROR(__xludf.DUMMYFUNCTION("""COMPUTED_VALUE"""),"https://www.facebook.com/gmanalotoco")</f>
        <v>https://www.facebook.com/gmanalotoco</v>
      </c>
      <c r="B599" s="1" t="str">
        <f>IFERROR(__xludf.DUMMYFUNCTION("""COMPUTED_VALUE"""),"Grace Manaloto-Co")</f>
        <v>Grace Manaloto-Co</v>
      </c>
      <c r="C599" s="1" t="str">
        <f>IFERROR(__xludf.DUMMYFUNCTION("""COMPUTED_VALUE"""),"Grace")</f>
        <v>Grace</v>
      </c>
      <c r="D599" s="1" t="str">
        <f>IFERROR(__xludf.DUMMYFUNCTION("""COMPUTED_VALUE"""),"Manaloto-Co")</f>
        <v>Manaloto-Co</v>
      </c>
      <c r="E599" s="1" t="str">
        <f>IFERROR(__xludf.DUMMYFUNCTION("""COMPUTED_VALUE"""),"Grace Manaloto-Co")</f>
        <v>Grace Manaloto-Co</v>
      </c>
      <c r="F599" s="1"/>
      <c r="G599" s="1" t="str">
        <f>IFERROR(__xludf.DUMMYFUNCTION("""COMPUTED_VALUE"""),"3 mos")</f>
        <v>3 mos</v>
      </c>
      <c r="H599" s="1" t="str">
        <f>IFERROR(__xludf.DUMMYFUNCTION("""COMPUTED_VALUE"""),"comment")</f>
        <v>comment</v>
      </c>
      <c r="I599"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599" s="1" t="str">
        <f>IFERROR(__xludf.DUMMYFUNCTION("""COMPUTED_VALUE"""),"2022-07-04T11:14:45.501Z")</f>
        <v>2022-07-04T11:14:45.501Z</v>
      </c>
      <c r="K599" s="1"/>
    </row>
    <row r="600">
      <c r="A600" s="2" t="str">
        <f>IFERROR(__xludf.DUMMYFUNCTION("""COMPUTED_VALUE"""),"https://www.facebook.com/undress.bonifacio.100")</f>
        <v>https://www.facebook.com/undress.bonifacio.100</v>
      </c>
      <c r="B600" s="1" t="str">
        <f>IFERROR(__xludf.DUMMYFUNCTION("""COMPUTED_VALUE"""),"Andres Luis")</f>
        <v>Andres Luis</v>
      </c>
      <c r="C600" s="1" t="str">
        <f>IFERROR(__xludf.DUMMYFUNCTION("""COMPUTED_VALUE"""),"Andres")</f>
        <v>Andres</v>
      </c>
      <c r="D600" s="1" t="str">
        <f>IFERROR(__xludf.DUMMYFUNCTION("""COMPUTED_VALUE"""),"Luis")</f>
        <v>Luis</v>
      </c>
      <c r="E600" s="1" t="str">
        <f>IFERROR(__xludf.DUMMYFUNCTION("""COMPUTED_VALUE"""),"Para sa #GobyernongTapat hindi kurap #AngatBuhayLahat #IpanaloNa10To  #LeniKiko2022 po.")</f>
        <v>Para sa #GobyernongTapat hindi kurap #AngatBuhayLahat #IpanaloNa10To  #LeniKiko2022 po.</v>
      </c>
      <c r="F600" s="1">
        <f>IFERROR(__xludf.DUMMYFUNCTION("""COMPUTED_VALUE"""),1.0)</f>
        <v>1</v>
      </c>
      <c r="G600" s="1" t="str">
        <f>IFERROR(__xludf.DUMMYFUNCTION("""COMPUTED_VALUE"""),"3 mos")</f>
        <v>3 mos</v>
      </c>
      <c r="H600" s="1" t="str">
        <f>IFERROR(__xludf.DUMMYFUNCTION("""COMPUTED_VALUE"""),"comment")</f>
        <v>comment</v>
      </c>
      <c r="I600"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0" s="1" t="str">
        <f>IFERROR(__xludf.DUMMYFUNCTION("""COMPUTED_VALUE"""),"2022-07-04T11:14:45.501Z")</f>
        <v>2022-07-04T11:14:45.501Z</v>
      </c>
      <c r="K600" s="1"/>
    </row>
    <row r="601">
      <c r="A601" s="2" t="str">
        <f>IFERROR(__xludf.DUMMYFUNCTION("""COMPUTED_VALUE"""),"https://www.facebook.com/pepe.ledesma.7140")</f>
        <v>https://www.facebook.com/pepe.ledesma.7140</v>
      </c>
      <c r="B601" s="1" t="str">
        <f>IFERROR(__xludf.DUMMYFUNCTION("""COMPUTED_VALUE"""),"Pepe Ledesma")</f>
        <v>Pepe Ledesma</v>
      </c>
      <c r="C601" s="1" t="str">
        <f>IFERROR(__xludf.DUMMYFUNCTION("""COMPUTED_VALUE"""),"Pepe")</f>
        <v>Pepe</v>
      </c>
      <c r="D601" s="1" t="str">
        <f>IFERROR(__xludf.DUMMYFUNCTION("""COMPUTED_VALUE"""),"Ledesma")</f>
        <v>Ledesma</v>
      </c>
      <c r="E601" s="1" t="str">
        <f>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601" s="1">
        <f>IFERROR(__xludf.DUMMYFUNCTION("""COMPUTED_VALUE"""),11.0)</f>
        <v>11</v>
      </c>
      <c r="G601" s="1" t="str">
        <f>IFERROR(__xludf.DUMMYFUNCTION("""COMPUTED_VALUE"""),"3 mos")</f>
        <v>3 mos</v>
      </c>
      <c r="H601" s="1" t="str">
        <f>IFERROR(__xludf.DUMMYFUNCTION("""COMPUTED_VALUE"""),"comment")</f>
        <v>comment</v>
      </c>
      <c r="I601"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1" s="1" t="str">
        <f>IFERROR(__xludf.DUMMYFUNCTION("""COMPUTED_VALUE"""),"2022-07-04T11:14:45.501Z")</f>
        <v>2022-07-04T11:14:45.501Z</v>
      </c>
      <c r="K601" s="1"/>
    </row>
    <row r="602">
      <c r="A602" s="2" t="str">
        <f>IFERROR(__xludf.DUMMYFUNCTION("""COMPUTED_VALUE"""),"https://www.facebook.com/lilzdangazolituanas.cabagnot")</f>
        <v>https://www.facebook.com/lilzdangazolituanas.cabagnot</v>
      </c>
      <c r="B602" s="1" t="str">
        <f>IFERROR(__xludf.DUMMYFUNCTION("""COMPUTED_VALUE"""),"Li Cabz")</f>
        <v>Li Cabz</v>
      </c>
      <c r="C602" s="1" t="str">
        <f>IFERROR(__xludf.DUMMYFUNCTION("""COMPUTED_VALUE"""),"Li")</f>
        <v>Li</v>
      </c>
      <c r="D602" s="1" t="str">
        <f>IFERROR(__xludf.DUMMYFUNCTION("""COMPUTED_VALUE"""),"Cabz")</f>
        <v>Cabz</v>
      </c>
      <c r="E602" s="1" t="str">
        <f>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602" s="1">
        <f>IFERROR(__xludf.DUMMYFUNCTION("""COMPUTED_VALUE"""),20.0)</f>
        <v>20</v>
      </c>
      <c r="G602" s="1" t="str">
        <f>IFERROR(__xludf.DUMMYFUNCTION("""COMPUTED_VALUE"""),"3 mos")</f>
        <v>3 mos</v>
      </c>
      <c r="H602" s="1" t="str">
        <f>IFERROR(__xludf.DUMMYFUNCTION("""COMPUTED_VALUE"""),"comment")</f>
        <v>comment</v>
      </c>
      <c r="I602"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2" s="1" t="str">
        <f>IFERROR(__xludf.DUMMYFUNCTION("""COMPUTED_VALUE"""),"2022-07-04T11:14:45.501Z")</f>
        <v>2022-07-04T11:14:45.501Z</v>
      </c>
      <c r="K602" s="1"/>
    </row>
    <row r="603">
      <c r="A603" s="2" t="str">
        <f>IFERROR(__xludf.DUMMYFUNCTION("""COMPUTED_VALUE"""),"https://www.facebook.com/lina.adlao.cayong")</f>
        <v>https://www.facebook.com/lina.adlao.cayong</v>
      </c>
      <c r="B603" s="1" t="str">
        <f>IFERROR(__xludf.DUMMYFUNCTION("""COMPUTED_VALUE"""),"Lina Cayong")</f>
        <v>Lina Cayong</v>
      </c>
      <c r="C603" s="1" t="str">
        <f>IFERROR(__xludf.DUMMYFUNCTION("""COMPUTED_VALUE"""),"Lina")</f>
        <v>Lina</v>
      </c>
      <c r="D603" s="1" t="str">
        <f>IFERROR(__xludf.DUMMYFUNCTION("""COMPUTED_VALUE"""),"Cayong")</f>
        <v>Cayong</v>
      </c>
      <c r="E603" s="1" t="str">
        <f>IFERROR(__xludf.DUMMYFUNCTION("""COMPUTED_VALUE"""),"#CaMaNaVaIsPink")</f>
        <v>#CaMaNaVaIsPink</v>
      </c>
      <c r="F603" s="1">
        <f>IFERROR(__xludf.DUMMYFUNCTION("""COMPUTED_VALUE"""),1.0)</f>
        <v>1</v>
      </c>
      <c r="G603" s="1" t="str">
        <f>IFERROR(__xludf.DUMMYFUNCTION("""COMPUTED_VALUE"""),"3 mos")</f>
        <v>3 mos</v>
      </c>
      <c r="H603" s="1" t="str">
        <f>IFERROR(__xludf.DUMMYFUNCTION("""COMPUTED_VALUE"""),"comment")</f>
        <v>comment</v>
      </c>
      <c r="I603"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3" s="1" t="str">
        <f>IFERROR(__xludf.DUMMYFUNCTION("""COMPUTED_VALUE"""),"2022-07-04T11:14:45.501Z")</f>
        <v>2022-07-04T11:14:45.501Z</v>
      </c>
      <c r="K603" s="1"/>
    </row>
    <row r="604">
      <c r="A604" s="2" t="str">
        <f>IFERROR(__xludf.DUMMYFUNCTION("""COMPUTED_VALUE"""),"https://www.facebook.com/natie.pelayo")</f>
        <v>https://www.facebook.com/natie.pelayo</v>
      </c>
      <c r="B604" s="1" t="str">
        <f>IFERROR(__xludf.DUMMYFUNCTION("""COMPUTED_VALUE"""),"Natie Pelayo")</f>
        <v>Natie Pelayo</v>
      </c>
      <c r="C604" s="1" t="str">
        <f>IFERROR(__xludf.DUMMYFUNCTION("""COMPUTED_VALUE"""),"Natie")</f>
        <v>Natie</v>
      </c>
      <c r="D604" s="1" t="str">
        <f>IFERROR(__xludf.DUMMYFUNCTION("""COMPUTED_VALUE"""),"Pelayo")</f>
        <v>Pelayo</v>
      </c>
      <c r="E604" s="1" t="str">
        <f>IFERROR(__xludf.DUMMYFUNCTION("""COMPUTED_VALUE"""),"Natie Pelayo")</f>
        <v>Natie Pelayo</v>
      </c>
      <c r="F604" s="1"/>
      <c r="G604" s="1" t="str">
        <f>IFERROR(__xludf.DUMMYFUNCTION("""COMPUTED_VALUE"""),"3 mos")</f>
        <v>3 mos</v>
      </c>
      <c r="H604" s="1" t="str">
        <f>IFERROR(__xludf.DUMMYFUNCTION("""COMPUTED_VALUE"""),"comment")</f>
        <v>comment</v>
      </c>
      <c r="I604"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4" s="1" t="str">
        <f>IFERROR(__xludf.DUMMYFUNCTION("""COMPUTED_VALUE"""),"2022-07-04T11:14:45.501Z")</f>
        <v>2022-07-04T11:14:45.501Z</v>
      </c>
      <c r="K604" s="1"/>
    </row>
    <row r="605">
      <c r="A605" s="2" t="str">
        <f>IFERROR(__xludf.DUMMYFUNCTION("""COMPUTED_VALUE"""),"https://www.facebook.com/mean.agustin")</f>
        <v>https://www.facebook.com/mean.agustin</v>
      </c>
      <c r="B605" s="1" t="str">
        <f>IFERROR(__xludf.DUMMYFUNCTION("""COMPUTED_VALUE"""),"Marianne Agustin")</f>
        <v>Marianne Agustin</v>
      </c>
      <c r="C605" s="1" t="str">
        <f>IFERROR(__xludf.DUMMYFUNCTION("""COMPUTED_VALUE"""),"Marianne")</f>
        <v>Marianne</v>
      </c>
      <c r="D605" s="1" t="str">
        <f>IFERROR(__xludf.DUMMYFUNCTION("""COMPUTED_VALUE"""),"Agustin")</f>
        <v>Agustin</v>
      </c>
      <c r="E605" s="1" t="str">
        <f>IFERROR(__xludf.DUMMYFUNCTION("""COMPUTED_VALUE"""),"Marianne Agustin")</f>
        <v>Marianne Agustin</v>
      </c>
      <c r="F605" s="1">
        <f>IFERROR(__xludf.DUMMYFUNCTION("""COMPUTED_VALUE"""),2.0)</f>
        <v>2</v>
      </c>
      <c r="G605" s="1" t="str">
        <f>IFERROR(__xludf.DUMMYFUNCTION("""COMPUTED_VALUE"""),"3 mos")</f>
        <v>3 mos</v>
      </c>
      <c r="H605" s="1" t="str">
        <f>IFERROR(__xludf.DUMMYFUNCTION("""COMPUTED_VALUE"""),"comment")</f>
        <v>comment</v>
      </c>
      <c r="I605"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5" s="1" t="str">
        <f>IFERROR(__xludf.DUMMYFUNCTION("""COMPUTED_VALUE"""),"2022-07-04T11:14:45.501Z")</f>
        <v>2022-07-04T11:14:45.501Z</v>
      </c>
      <c r="K605" s="1"/>
    </row>
    <row r="606">
      <c r="A606" s="2" t="str">
        <f>IFERROR(__xludf.DUMMYFUNCTION("""COMPUTED_VALUE"""),"https://www.facebook.com/profile.php?id=100077721303949")</f>
        <v>https://www.facebook.com/profile.php?id=100077721303949</v>
      </c>
      <c r="B606" s="1" t="str">
        <f>IFERROR(__xludf.DUMMYFUNCTION("""COMPUTED_VALUE"""),"Sabrina Mamaril")</f>
        <v>Sabrina Mamaril</v>
      </c>
      <c r="C606" s="1" t="str">
        <f>IFERROR(__xludf.DUMMYFUNCTION("""COMPUTED_VALUE"""),"Sabrina")</f>
        <v>Sabrina</v>
      </c>
      <c r="D606" s="1" t="str">
        <f>IFERROR(__xludf.DUMMYFUNCTION("""COMPUTED_VALUE"""),"Mamaril")</f>
        <v>Mamaril</v>
      </c>
      <c r="E606" s="1" t="str">
        <f>IFERROR(__xludf.DUMMYFUNCTION("""COMPUTED_VALUE"""),"sana talaga manalo sila huhu pagpalain dakayo kuma ni Dios Apo")</f>
        <v>sana talaga manalo sila huhu pagpalain dakayo kuma ni Dios Apo</v>
      </c>
      <c r="F606" s="1">
        <f>IFERROR(__xludf.DUMMYFUNCTION("""COMPUTED_VALUE"""),1.0)</f>
        <v>1</v>
      </c>
      <c r="G606" s="1" t="str">
        <f>IFERROR(__xludf.DUMMYFUNCTION("""COMPUTED_VALUE"""),"3 mos")</f>
        <v>3 mos</v>
      </c>
      <c r="H606" s="1" t="str">
        <f>IFERROR(__xludf.DUMMYFUNCTION("""COMPUTED_VALUE"""),"comment")</f>
        <v>comment</v>
      </c>
      <c r="I606"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6" s="1" t="str">
        <f>IFERROR(__xludf.DUMMYFUNCTION("""COMPUTED_VALUE"""),"2022-07-04T11:14:45.501Z")</f>
        <v>2022-07-04T11:14:45.501Z</v>
      </c>
      <c r="K606" s="1"/>
    </row>
    <row r="607">
      <c r="A607" s="2" t="str">
        <f>IFERROR(__xludf.DUMMYFUNCTION("""COMPUTED_VALUE"""),"https://www.facebook.com/nimfa.p.delrosario")</f>
        <v>https://www.facebook.com/nimfa.p.delrosario</v>
      </c>
      <c r="B607" s="1" t="str">
        <f>IFERROR(__xludf.DUMMYFUNCTION("""COMPUTED_VALUE"""),"Nimfa Pontines Del Rosario")</f>
        <v>Nimfa Pontines Del Rosario</v>
      </c>
      <c r="C607" s="1" t="str">
        <f>IFERROR(__xludf.DUMMYFUNCTION("""COMPUTED_VALUE"""),"Nimfa")</f>
        <v>Nimfa</v>
      </c>
      <c r="D607" s="1" t="str">
        <f>IFERROR(__xludf.DUMMYFUNCTION("""COMPUTED_VALUE"""),"Pontines Del Rosario")</f>
        <v>Pontines Del Rosario</v>
      </c>
      <c r="E607" s="1" t="str">
        <f>IFERROR(__xludf.DUMMYFUNCTION("""COMPUTED_VALUE"""),"MARAMING SALAMAT PO CAMANAVA💗💗💗")</f>
        <v>MARAMING SALAMAT PO CAMANAVA💗💗💗</v>
      </c>
      <c r="F607" s="1">
        <f>IFERROR(__xludf.DUMMYFUNCTION("""COMPUTED_VALUE"""),1.0)</f>
        <v>1</v>
      </c>
      <c r="G607" s="1" t="str">
        <f>IFERROR(__xludf.DUMMYFUNCTION("""COMPUTED_VALUE"""),"3 mos")</f>
        <v>3 mos</v>
      </c>
      <c r="H607" s="1" t="str">
        <f>IFERROR(__xludf.DUMMYFUNCTION("""COMPUTED_VALUE"""),"comment")</f>
        <v>comment</v>
      </c>
      <c r="I607"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7" s="1" t="str">
        <f>IFERROR(__xludf.DUMMYFUNCTION("""COMPUTED_VALUE"""),"2022-07-04T11:14:45.501Z")</f>
        <v>2022-07-04T11:14:45.501Z</v>
      </c>
      <c r="K607" s="1"/>
    </row>
    <row r="608">
      <c r="A608" s="2" t="str">
        <f>IFERROR(__xludf.DUMMYFUNCTION("""COMPUTED_VALUE"""),"https://www.facebook.com/rizacastro")</f>
        <v>https://www.facebook.com/rizacastro</v>
      </c>
      <c r="B608" s="1" t="str">
        <f>IFERROR(__xludf.DUMMYFUNCTION("""COMPUTED_VALUE"""),"Missy Z Pi")</f>
        <v>Missy Z Pi</v>
      </c>
      <c r="C608" s="1" t="str">
        <f>IFERROR(__xludf.DUMMYFUNCTION("""COMPUTED_VALUE"""),"Missy")</f>
        <v>Missy</v>
      </c>
      <c r="D608" s="1" t="str">
        <f>IFERROR(__xludf.DUMMYFUNCTION("""COMPUTED_VALUE"""),"Z Pi")</f>
        <v>Z Pi</v>
      </c>
      <c r="E608" s="1" t="str">
        <f>IFERROR(__xludf.DUMMYFUNCTION("""COMPUTED_VALUE"""),"Salamat #CaMaNaVaIsPink ❤️")</f>
        <v>Salamat #CaMaNaVaIsPink ❤️</v>
      </c>
      <c r="F608" s="1">
        <f>IFERROR(__xludf.DUMMYFUNCTION("""COMPUTED_VALUE"""),6.0)</f>
        <v>6</v>
      </c>
      <c r="G608" s="1" t="str">
        <f>IFERROR(__xludf.DUMMYFUNCTION("""COMPUTED_VALUE"""),"3 mos")</f>
        <v>3 mos</v>
      </c>
      <c r="H608" s="1" t="str">
        <f>IFERROR(__xludf.DUMMYFUNCTION("""COMPUTED_VALUE"""),"comment")</f>
        <v>comment</v>
      </c>
      <c r="I608"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8" s="1" t="str">
        <f>IFERROR(__xludf.DUMMYFUNCTION("""COMPUTED_VALUE"""),"2022-07-04T11:14:45.501Z")</f>
        <v>2022-07-04T11:14:45.501Z</v>
      </c>
      <c r="K608" s="1"/>
    </row>
    <row r="609">
      <c r="A609" s="2" t="str">
        <f>IFERROR(__xludf.DUMMYFUNCTION("""COMPUTED_VALUE"""),"https://www.facebook.com/richard.abary")</f>
        <v>https://www.facebook.com/richard.abary</v>
      </c>
      <c r="B609" s="1" t="str">
        <f>IFERROR(__xludf.DUMMYFUNCTION("""COMPUTED_VALUE"""),"Richard Abary")</f>
        <v>Richard Abary</v>
      </c>
      <c r="C609" s="1" t="str">
        <f>IFERROR(__xludf.DUMMYFUNCTION("""COMPUTED_VALUE"""),"Richard")</f>
        <v>Richard</v>
      </c>
      <c r="D609" s="1" t="str">
        <f>IFERROR(__xludf.DUMMYFUNCTION("""COMPUTED_VALUE"""),"Abary")</f>
        <v>Abary</v>
      </c>
      <c r="E609" s="1" t="str">
        <f>IFERROR(__xludf.DUMMYFUNCTION("""COMPUTED_VALUE"""),"Iba talaga  ang mga kakampink alam nila ang tamang gawain at iba ang pakiramdam pag pinaglalaban mo ang kapakanan ng bayan . .naka2 inspire at feeling masaya ka (Y)")</f>
        <v>Iba talaga  ang mga kakampink alam nila ang tamang gawain at iba ang pakiramdam pag pinaglalaban mo ang kapakanan ng bayan . .naka2 inspire at feeling masaya ka (Y)</v>
      </c>
      <c r="F609" s="1">
        <f>IFERROR(__xludf.DUMMYFUNCTION("""COMPUTED_VALUE"""),5.0)</f>
        <v>5</v>
      </c>
      <c r="G609" s="1" t="str">
        <f>IFERROR(__xludf.DUMMYFUNCTION("""COMPUTED_VALUE"""),"3 mos")</f>
        <v>3 mos</v>
      </c>
      <c r="H609" s="1" t="str">
        <f>IFERROR(__xludf.DUMMYFUNCTION("""COMPUTED_VALUE"""),"comment")</f>
        <v>comment</v>
      </c>
      <c r="I609"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09" s="1" t="str">
        <f>IFERROR(__xludf.DUMMYFUNCTION("""COMPUTED_VALUE"""),"2022-07-04T11:14:45.501Z")</f>
        <v>2022-07-04T11:14:45.501Z</v>
      </c>
      <c r="K609" s="1"/>
    </row>
    <row r="610">
      <c r="A610" s="2" t="str">
        <f>IFERROR(__xludf.DUMMYFUNCTION("""COMPUTED_VALUE"""),"https://www.facebook.com/alicia.arcales")</f>
        <v>https://www.facebook.com/alicia.arcales</v>
      </c>
      <c r="B610" s="1" t="str">
        <f>IFERROR(__xludf.DUMMYFUNCTION("""COMPUTED_VALUE"""),"Alicia C. Arcales")</f>
        <v>Alicia C. Arcales</v>
      </c>
      <c r="C610" s="1" t="str">
        <f>IFERROR(__xludf.DUMMYFUNCTION("""COMPUTED_VALUE"""),"Alicia")</f>
        <v>Alicia</v>
      </c>
      <c r="D610" s="1" t="str">
        <f>IFERROR(__xludf.DUMMYFUNCTION("""COMPUTED_VALUE"""),"C. Arcales")</f>
        <v>C. Arcales</v>
      </c>
      <c r="E610" s="1" t="str">
        <f>IFERROR(__xludf.DUMMYFUNCTION("""COMPUTED_VALUE"""),"Richard Abary and they (supporters) symphatised for the climate change.👏👏👏")</f>
        <v>Richard Abary and they (supporters) symphatised for the climate change.👏👏👏</v>
      </c>
      <c r="F610" s="1">
        <f>IFERROR(__xludf.DUMMYFUNCTION("""COMPUTED_VALUE"""),2.0)</f>
        <v>2</v>
      </c>
      <c r="G610" s="1" t="str">
        <f>IFERROR(__xludf.DUMMYFUNCTION("""COMPUTED_VALUE"""),"3 mos")</f>
        <v>3 mos</v>
      </c>
      <c r="H610" s="1" t="str">
        <f>IFERROR(__xludf.DUMMYFUNCTION("""COMPUTED_VALUE"""),"reply")</f>
        <v>reply</v>
      </c>
      <c r="I610"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0" s="1" t="str">
        <f>IFERROR(__xludf.DUMMYFUNCTION("""COMPUTED_VALUE"""),"2022-07-04T11:14:45.501Z")</f>
        <v>2022-07-04T11:14:45.501Z</v>
      </c>
      <c r="K610" s="1"/>
    </row>
    <row r="611">
      <c r="A611" s="2" t="str">
        <f>IFERROR(__xludf.DUMMYFUNCTION("""COMPUTED_VALUE"""),"https://www.facebook.com/imee.francia")</f>
        <v>https://www.facebook.com/imee.francia</v>
      </c>
      <c r="B611" s="1" t="str">
        <f>IFERROR(__xludf.DUMMYFUNCTION("""COMPUTED_VALUE"""),"Imee Lawrence")</f>
        <v>Imee Lawrence</v>
      </c>
      <c r="C611" s="1" t="str">
        <f>IFERROR(__xludf.DUMMYFUNCTION("""COMPUTED_VALUE"""),"Imee")</f>
        <v>Imee</v>
      </c>
      <c r="D611" s="1" t="str">
        <f>IFERROR(__xludf.DUMMYFUNCTION("""COMPUTED_VALUE"""),"Lawrence")</f>
        <v>Lawrence</v>
      </c>
      <c r="E611" s="1" t="str">
        <f>IFERROR(__xludf.DUMMYFUNCTION("""COMPUTED_VALUE"""),"Richard Abary  Indeed... i felt exactly the same when i attended the PasigLaban.")</f>
        <v>Richard Abary  Indeed... i felt exactly the same when i attended the PasigLaban.</v>
      </c>
      <c r="F611" s="1">
        <f>IFERROR(__xludf.DUMMYFUNCTION("""COMPUTED_VALUE"""),2.0)</f>
        <v>2</v>
      </c>
      <c r="G611" s="1" t="str">
        <f>IFERROR(__xludf.DUMMYFUNCTION("""COMPUTED_VALUE"""),"3 mos")</f>
        <v>3 mos</v>
      </c>
      <c r="H611" s="1" t="str">
        <f>IFERROR(__xludf.DUMMYFUNCTION("""COMPUTED_VALUE"""),"reply")</f>
        <v>reply</v>
      </c>
      <c r="I611"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1" s="1" t="str">
        <f>IFERROR(__xludf.DUMMYFUNCTION("""COMPUTED_VALUE"""),"2022-07-04T11:14:45.501Z")</f>
        <v>2022-07-04T11:14:45.501Z</v>
      </c>
      <c r="K611" s="1"/>
    </row>
    <row r="612">
      <c r="A612" s="2" t="str">
        <f>IFERROR(__xludf.DUMMYFUNCTION("""COMPUTED_VALUE"""),"https://www.facebook.com/profile.php?id=100077271243894")</f>
        <v>https://www.facebook.com/profile.php?id=100077271243894</v>
      </c>
      <c r="B612" s="1" t="str">
        <f>IFERROR(__xludf.DUMMYFUNCTION("""COMPUTED_VALUE"""),"Enrique Piatos")</f>
        <v>Enrique Piatos</v>
      </c>
      <c r="C612" s="1" t="str">
        <f>IFERROR(__xludf.DUMMYFUNCTION("""COMPUTED_VALUE"""),"Enrique")</f>
        <v>Enrique</v>
      </c>
      <c r="D612" s="1" t="str">
        <f>IFERROR(__xludf.DUMMYFUNCTION("""COMPUTED_VALUE"""),"Piatos")</f>
        <v>Piatos</v>
      </c>
      <c r="E612" s="1" t="str">
        <f>IFERROR(__xludf.DUMMYFUNCTION("""COMPUTED_VALUE"""),"LODI KO KAYO AMIN YESS NAMAN!!")</f>
        <v>LODI KO KAYO AMIN YESS NAMAN!!</v>
      </c>
      <c r="F612" s="1"/>
      <c r="G612" s="1" t="str">
        <f>IFERROR(__xludf.DUMMYFUNCTION("""COMPUTED_VALUE"""),"3 mos")</f>
        <v>3 mos</v>
      </c>
      <c r="H612" s="1" t="str">
        <f>IFERROR(__xludf.DUMMYFUNCTION("""COMPUTED_VALUE"""),"comment")</f>
        <v>comment</v>
      </c>
      <c r="I612"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2" s="1" t="str">
        <f>IFERROR(__xludf.DUMMYFUNCTION("""COMPUTED_VALUE"""),"2022-07-04T11:14:45.501Z")</f>
        <v>2022-07-04T11:14:45.501Z</v>
      </c>
      <c r="K612" s="1"/>
    </row>
    <row r="613">
      <c r="A613" s="2" t="str">
        <f>IFERROR(__xludf.DUMMYFUNCTION("""COMPUTED_VALUE"""),"https://www.facebook.com/junafel.garin")</f>
        <v>https://www.facebook.com/junafel.garin</v>
      </c>
      <c r="B613" s="1" t="str">
        <f>IFERROR(__xludf.DUMMYFUNCTION("""COMPUTED_VALUE"""),"Junafel Garin")</f>
        <v>Junafel Garin</v>
      </c>
      <c r="C613" s="1" t="str">
        <f>IFERROR(__xludf.DUMMYFUNCTION("""COMPUTED_VALUE"""),"Junafel")</f>
        <v>Junafel</v>
      </c>
      <c r="D613" s="1" t="str">
        <f>IFERROR(__xludf.DUMMYFUNCTION("""COMPUTED_VALUE"""),"Garin")</f>
        <v>Garin</v>
      </c>
      <c r="E613" s="1" t="str">
        <f>IFERROR(__xludf.DUMMYFUNCTION("""COMPUTED_VALUE"""),"Protect the earth.. Protect the Philippines . #LeniKiko2022")</f>
        <v>Protect the earth.. Protect the Philippines . #LeniKiko2022</v>
      </c>
      <c r="F613" s="1">
        <f>IFERROR(__xludf.DUMMYFUNCTION("""COMPUTED_VALUE"""),4.0)</f>
        <v>4</v>
      </c>
      <c r="G613" s="1" t="str">
        <f>IFERROR(__xludf.DUMMYFUNCTION("""COMPUTED_VALUE"""),"3 mos")</f>
        <v>3 mos</v>
      </c>
      <c r="H613" s="1" t="str">
        <f>IFERROR(__xludf.DUMMYFUNCTION("""COMPUTED_VALUE"""),"comment")</f>
        <v>comment</v>
      </c>
      <c r="I613"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3" s="1" t="str">
        <f>IFERROR(__xludf.DUMMYFUNCTION("""COMPUTED_VALUE"""),"2022-07-04T11:14:45.501Z")</f>
        <v>2022-07-04T11:14:45.501Z</v>
      </c>
      <c r="K613" s="1"/>
    </row>
    <row r="614">
      <c r="A614" s="2" t="str">
        <f>IFERROR(__xludf.DUMMYFUNCTION("""COMPUTED_VALUE"""),"https://www.facebook.com/pamela.plamenco")</f>
        <v>https://www.facebook.com/pamela.plamenco</v>
      </c>
      <c r="B614" s="1" t="str">
        <f>IFERROR(__xludf.DUMMYFUNCTION("""COMPUTED_VALUE"""),"Pamela G. Plamenco")</f>
        <v>Pamela G. Plamenco</v>
      </c>
      <c r="C614" s="1" t="str">
        <f>IFERROR(__xludf.DUMMYFUNCTION("""COMPUTED_VALUE"""),"Pamela")</f>
        <v>Pamela</v>
      </c>
      <c r="D614" s="1" t="str">
        <f>IFERROR(__xludf.DUMMYFUNCTION("""COMPUTED_VALUE"""),"G. Plamenco")</f>
        <v>G. Plamenco</v>
      </c>
      <c r="E614" s="1" t="str">
        <f>IFERROR(__xludf.DUMMYFUNCTION("""COMPUTED_VALUE"""),"Turning on their cellphone lights when the stage dims is the zenith of love for each other,  and discipline at its peak . Pat on the back of all the kakampinks .")</f>
        <v>Turning on their cellphone lights when the stage dims is the zenith of love for each other,  and discipline at its peak . Pat on the back of all the kakampinks .</v>
      </c>
      <c r="F614" s="1"/>
      <c r="G614" s="1" t="str">
        <f>IFERROR(__xludf.DUMMYFUNCTION("""COMPUTED_VALUE"""),"3 mos")</f>
        <v>3 mos</v>
      </c>
      <c r="H614" s="1" t="str">
        <f>IFERROR(__xludf.DUMMYFUNCTION("""COMPUTED_VALUE"""),"comment")</f>
        <v>comment</v>
      </c>
      <c r="I614"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4" s="1" t="str">
        <f>IFERROR(__xludf.DUMMYFUNCTION("""COMPUTED_VALUE"""),"2022-07-04T11:14:45.501Z")</f>
        <v>2022-07-04T11:14:45.501Z</v>
      </c>
      <c r="K614" s="1"/>
    </row>
    <row r="615">
      <c r="A615" s="2" t="str">
        <f>IFERROR(__xludf.DUMMYFUNCTION("""COMPUTED_VALUE"""),"https://www.facebook.com/julio.quian")</f>
        <v>https://www.facebook.com/julio.quian</v>
      </c>
      <c r="B615" s="1" t="str">
        <f>IFERROR(__xludf.DUMMYFUNCTION("""COMPUTED_VALUE"""),"Julio Quian")</f>
        <v>Julio Quian</v>
      </c>
      <c r="C615" s="1" t="str">
        <f>IFERROR(__xludf.DUMMYFUNCTION("""COMPUTED_VALUE"""),"Julio")</f>
        <v>Julio</v>
      </c>
      <c r="D615" s="1" t="str">
        <f>IFERROR(__xludf.DUMMYFUNCTION("""COMPUTED_VALUE"""),"Quian")</f>
        <v>Quian</v>
      </c>
      <c r="E615" s="1" t="str">
        <f>IFERROR(__xludf.DUMMYFUNCTION("""COMPUTED_VALUE"""),"Solid Sarah@Marco's nlang ako he is very good leader...!!!")</f>
        <v>Solid Sarah@Marco's nlang ako he is very good leader...!!!</v>
      </c>
      <c r="F615" s="1"/>
      <c r="G615" s="1" t="str">
        <f>IFERROR(__xludf.DUMMYFUNCTION("""COMPUTED_VALUE"""),"3 mos")</f>
        <v>3 mos</v>
      </c>
      <c r="H615" s="1" t="str">
        <f>IFERROR(__xludf.DUMMYFUNCTION("""COMPUTED_VALUE"""),"comment")</f>
        <v>comment</v>
      </c>
      <c r="I615"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5" s="1" t="str">
        <f>IFERROR(__xludf.DUMMYFUNCTION("""COMPUTED_VALUE"""),"2022-07-04T11:14:45.501Z")</f>
        <v>2022-07-04T11:14:45.501Z</v>
      </c>
      <c r="K615" s="1"/>
    </row>
    <row r="616">
      <c r="A616" s="2" t="str">
        <f>IFERROR(__xludf.DUMMYFUNCTION("""COMPUTED_VALUE"""),"https://www.facebook.com/cecilia.rebong")</f>
        <v>https://www.facebook.com/cecilia.rebong</v>
      </c>
      <c r="B616" s="1" t="str">
        <f>IFERROR(__xludf.DUMMYFUNCTION("""COMPUTED_VALUE"""),"Cecilia Rebong")</f>
        <v>Cecilia Rebong</v>
      </c>
      <c r="C616" s="1" t="str">
        <f>IFERROR(__xludf.DUMMYFUNCTION("""COMPUTED_VALUE"""),"Cecilia")</f>
        <v>Cecilia</v>
      </c>
      <c r="D616" s="1" t="str">
        <f>IFERROR(__xludf.DUMMYFUNCTION("""COMPUTED_VALUE"""),"Rebong")</f>
        <v>Rebong</v>
      </c>
      <c r="E616" s="1" t="str">
        <f>IFERROR(__xludf.DUMMYFUNCTION("""COMPUTED_VALUE"""),"Yes to good governance! No to corruption! LeniKiko po tayo!")</f>
        <v>Yes to good governance! No to corruption! LeniKiko po tayo!</v>
      </c>
      <c r="F616" s="1"/>
      <c r="G616" s="1" t="str">
        <f>IFERROR(__xludf.DUMMYFUNCTION("""COMPUTED_VALUE"""),"3 mos")</f>
        <v>3 mos</v>
      </c>
      <c r="H616" s="1" t="str">
        <f>IFERROR(__xludf.DUMMYFUNCTION("""COMPUTED_VALUE"""),"comment")</f>
        <v>comment</v>
      </c>
      <c r="I616"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6" s="1" t="str">
        <f>IFERROR(__xludf.DUMMYFUNCTION("""COMPUTED_VALUE"""),"2022-07-04T11:14:45.501Z")</f>
        <v>2022-07-04T11:14:45.501Z</v>
      </c>
      <c r="K616" s="1"/>
    </row>
    <row r="617">
      <c r="A617" s="2" t="str">
        <f>IFERROR(__xludf.DUMMYFUNCTION("""COMPUTED_VALUE"""),"https://www.facebook.com/marilen.estaniel")</f>
        <v>https://www.facebook.com/marilen.estaniel</v>
      </c>
      <c r="B617" s="1" t="str">
        <f>IFERROR(__xludf.DUMMYFUNCTION("""COMPUTED_VALUE"""),"Marilen Reyes- Estaniel")</f>
        <v>Marilen Reyes- Estaniel</v>
      </c>
      <c r="C617" s="1" t="str">
        <f>IFERROR(__xludf.DUMMYFUNCTION("""COMPUTED_VALUE"""),"Marilen")</f>
        <v>Marilen</v>
      </c>
      <c r="D617" s="1" t="str">
        <f>IFERROR(__xludf.DUMMYFUNCTION("""COMPUTED_VALUE"""),"Reyes- Estaniel")</f>
        <v>Reyes- Estaniel</v>
      </c>
      <c r="E617" s="1" t="str">
        <f>IFERROR(__xludf.DUMMYFUNCTION("""COMPUTED_VALUE"""),"#LeniKiko2022  #lenikiko2022gobernongtapat  #LeniKikoTeam2022  #LeniKikoForTheWin")</f>
        <v>#LeniKiko2022  #lenikiko2022gobernongtapat  #LeniKikoTeam2022  #LeniKikoForTheWin</v>
      </c>
      <c r="F617" s="1"/>
      <c r="G617" s="1" t="str">
        <f>IFERROR(__xludf.DUMMYFUNCTION("""COMPUTED_VALUE"""),"3 mos")</f>
        <v>3 mos</v>
      </c>
      <c r="H617" s="1" t="str">
        <f>IFERROR(__xludf.DUMMYFUNCTION("""COMPUTED_VALUE"""),"comment")</f>
        <v>comment</v>
      </c>
      <c r="I617"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7" s="1" t="str">
        <f>IFERROR(__xludf.DUMMYFUNCTION("""COMPUTED_VALUE"""),"2022-07-04T11:14:45.501Z")</f>
        <v>2022-07-04T11:14:45.501Z</v>
      </c>
      <c r="K617" s="1"/>
    </row>
    <row r="618">
      <c r="A618" s="2" t="str">
        <f>IFERROR(__xludf.DUMMYFUNCTION("""COMPUTED_VALUE"""),"https://www.facebook.com/lanie.luna.52")</f>
        <v>https://www.facebook.com/lanie.luna.52</v>
      </c>
      <c r="B618" s="1" t="str">
        <f>IFERROR(__xludf.DUMMYFUNCTION("""COMPUTED_VALUE"""),"Lanie Luna")</f>
        <v>Lanie Luna</v>
      </c>
      <c r="C618" s="1" t="str">
        <f>IFERROR(__xludf.DUMMYFUNCTION("""COMPUTED_VALUE"""),"Lanie")</f>
        <v>Lanie</v>
      </c>
      <c r="D618" s="1" t="str">
        <f>IFERROR(__xludf.DUMMYFUNCTION("""COMPUTED_VALUE"""),"Luna")</f>
        <v>Luna</v>
      </c>
      <c r="E618" s="1" t="str">
        <f>IFERROR(__xludf.DUMMYFUNCTION("""COMPUTED_VALUE"""),"Iba talaga ang feeling pag taos puso ang pag suporta sa isang kandidato na pinaniniwalaan mo na hinde gagawa ng ano mang pagmamanipula sa kaban ng bayan! Oras na para sa isang maayos na pamahalaan! LetLeniLead! 💖🌸💕")</f>
        <v>Iba talaga ang feeling pag taos puso ang pag suporta sa isang kandidato na pinaniniwalaan mo na hinde gagawa ng ano mang pagmamanipula sa kaban ng bayan! Oras na para sa isang maayos na pamahalaan! LetLeniLead! 💖🌸💕</v>
      </c>
      <c r="F618" s="1"/>
      <c r="G618" s="1" t="str">
        <f>IFERROR(__xludf.DUMMYFUNCTION("""COMPUTED_VALUE"""),"3 mos")</f>
        <v>3 mos</v>
      </c>
      <c r="H618" s="1" t="str">
        <f>IFERROR(__xludf.DUMMYFUNCTION("""COMPUTED_VALUE"""),"comment")</f>
        <v>comment</v>
      </c>
      <c r="I618"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8" s="1" t="str">
        <f>IFERROR(__xludf.DUMMYFUNCTION("""COMPUTED_VALUE"""),"2022-07-04T11:14:45.501Z")</f>
        <v>2022-07-04T11:14:45.501Z</v>
      </c>
      <c r="K618" s="1"/>
    </row>
    <row r="619">
      <c r="A619" s="2" t="str">
        <f>IFERROR(__xludf.DUMMYFUNCTION("""COMPUTED_VALUE"""),"https://www.facebook.com/patrick.bagaan.9")</f>
        <v>https://www.facebook.com/patrick.bagaan.9</v>
      </c>
      <c r="B619" s="1" t="str">
        <f>IFERROR(__xludf.DUMMYFUNCTION("""COMPUTED_VALUE"""),"Patrick Bagaan")</f>
        <v>Patrick Bagaan</v>
      </c>
      <c r="C619" s="1" t="str">
        <f>IFERROR(__xludf.DUMMYFUNCTION("""COMPUTED_VALUE"""),"Patrick")</f>
        <v>Patrick</v>
      </c>
      <c r="D619" s="1" t="str">
        <f>IFERROR(__xludf.DUMMYFUNCTION("""COMPUTED_VALUE"""),"Bagaan")</f>
        <v>Bagaan</v>
      </c>
      <c r="E619" s="1" t="str">
        <f>IFERROR(__xludf.DUMMYFUNCTION("""COMPUTED_VALUE"""),"ambisyoso tlaga kaung mga pink noh😂")</f>
        <v>ambisyoso tlaga kaung mga pink noh😂</v>
      </c>
      <c r="F619" s="1"/>
      <c r="G619" s="1" t="str">
        <f>IFERROR(__xludf.DUMMYFUNCTION("""COMPUTED_VALUE"""),"3 mos")</f>
        <v>3 mos</v>
      </c>
      <c r="H619" s="1" t="str">
        <f>IFERROR(__xludf.DUMMYFUNCTION("""COMPUTED_VALUE"""),"comment")</f>
        <v>comment</v>
      </c>
      <c r="I619"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19" s="1" t="str">
        <f>IFERROR(__xludf.DUMMYFUNCTION("""COMPUTED_VALUE"""),"2022-07-04T11:14:45.501Z")</f>
        <v>2022-07-04T11:14:45.501Z</v>
      </c>
      <c r="K619" s="1"/>
    </row>
    <row r="620">
      <c r="A620" s="2" t="str">
        <f>IFERROR(__xludf.DUMMYFUNCTION("""COMPUTED_VALUE"""),"https://www.facebook.com/raks.vppablo")</f>
        <v>https://www.facebook.com/raks.vppablo</v>
      </c>
      <c r="B620" s="1" t="str">
        <f>IFERROR(__xludf.DUMMYFUNCTION("""COMPUTED_VALUE"""),"Raks VPpablo")</f>
        <v>Raks VPpablo</v>
      </c>
      <c r="C620" s="1" t="str">
        <f>IFERROR(__xludf.DUMMYFUNCTION("""COMPUTED_VALUE"""),"Raks")</f>
        <v>Raks</v>
      </c>
      <c r="D620" s="1" t="str">
        <f>IFERROR(__xludf.DUMMYFUNCTION("""COMPUTED_VALUE"""),"VPpablo")</f>
        <v>VPpablo</v>
      </c>
      <c r="E620" s="1" t="str">
        <f>IFERROR(__xludf.DUMMYFUNCTION("""COMPUTED_VALUE"""),"Raks VPpablo")</f>
        <v>Raks VPpablo</v>
      </c>
      <c r="F620" s="1"/>
      <c r="G620" s="1" t="str">
        <f>IFERROR(__xludf.DUMMYFUNCTION("""COMPUTED_VALUE"""),"3 mos")</f>
        <v>3 mos</v>
      </c>
      <c r="H620" s="1" t="str">
        <f>IFERROR(__xludf.DUMMYFUNCTION("""COMPUTED_VALUE"""),"comment")</f>
        <v>comment</v>
      </c>
      <c r="I620"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0" s="1" t="str">
        <f>IFERROR(__xludf.DUMMYFUNCTION("""COMPUTED_VALUE"""),"2022-07-04T11:14:45.501Z")</f>
        <v>2022-07-04T11:14:45.501Z</v>
      </c>
      <c r="K620" s="1"/>
    </row>
    <row r="621">
      <c r="A621" s="2" t="str">
        <f>IFERROR(__xludf.DUMMYFUNCTION("""COMPUTED_VALUE"""),"https://www.facebook.com/jasper.castrence.1")</f>
        <v>https://www.facebook.com/jasper.castrence.1</v>
      </c>
      <c r="B621" s="1" t="str">
        <f>IFERROR(__xludf.DUMMYFUNCTION("""COMPUTED_VALUE"""),"Jaspher Castrence")</f>
        <v>Jaspher Castrence</v>
      </c>
      <c r="C621" s="1" t="str">
        <f>IFERROR(__xludf.DUMMYFUNCTION("""COMPUTED_VALUE"""),"Jaspher")</f>
        <v>Jaspher</v>
      </c>
      <c r="D621" s="1" t="str">
        <f>IFERROR(__xludf.DUMMYFUNCTION("""COMPUTED_VALUE"""),"Castrence")</f>
        <v>Castrence</v>
      </c>
      <c r="E621" s="1" t="str">
        <f>IFERROR(__xludf.DUMMYFUNCTION("""COMPUTED_VALUE"""),"Ano na hangang Grand rally nalang ba hahahhaa kase maraming mahahakot Well Mag Caravan na naman kayo😂")</f>
        <v>Ano na hangang Grand rally nalang ba hahahhaa kase maraming mahahakot Well Mag Caravan na naman kayo😂</v>
      </c>
      <c r="F621" s="1">
        <f>IFERROR(__xludf.DUMMYFUNCTION("""COMPUTED_VALUE"""),1.0)</f>
        <v>1</v>
      </c>
      <c r="G621" s="1" t="str">
        <f>IFERROR(__xludf.DUMMYFUNCTION("""COMPUTED_VALUE"""),"3 mos")</f>
        <v>3 mos</v>
      </c>
      <c r="H621" s="1" t="str">
        <f>IFERROR(__xludf.DUMMYFUNCTION("""COMPUTED_VALUE"""),"comment")</f>
        <v>comment</v>
      </c>
      <c r="I621"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1" s="1" t="str">
        <f>IFERROR(__xludf.DUMMYFUNCTION("""COMPUTED_VALUE"""),"2022-07-04T11:14:45.501Z")</f>
        <v>2022-07-04T11:14:45.501Z</v>
      </c>
      <c r="K621" s="1"/>
    </row>
    <row r="622">
      <c r="A622" s="2" t="str">
        <f>IFERROR(__xludf.DUMMYFUNCTION("""COMPUTED_VALUE"""),"https://www.facebook.com/profile.php?id=100075281044190")</f>
        <v>https://www.facebook.com/profile.php?id=100075281044190</v>
      </c>
      <c r="B622" s="1" t="str">
        <f>IFERROR(__xludf.DUMMYFUNCTION("""COMPUTED_VALUE"""),"Letty Flores")</f>
        <v>Letty Flores</v>
      </c>
      <c r="C622" s="1" t="str">
        <f>IFERROR(__xludf.DUMMYFUNCTION("""COMPUTED_VALUE"""),"Letty")</f>
        <v>Letty</v>
      </c>
      <c r="D622" s="1" t="str">
        <f>IFERROR(__xludf.DUMMYFUNCTION("""COMPUTED_VALUE"""),"Flores")</f>
        <v>Flores</v>
      </c>
      <c r="E622" s="1" t="str">
        <f>IFERROR(__xludf.DUMMYFUNCTION("""COMPUTED_VALUE"""),"Jåspher Castrencė inggit much hehehe!🤣🤣🤣cool ka lng!🤣")</f>
        <v>Jåspher Castrencė inggit much hehehe!🤣🤣🤣cool ka lng!🤣</v>
      </c>
      <c r="F622" s="1"/>
      <c r="G622" s="1" t="str">
        <f>IFERROR(__xludf.DUMMYFUNCTION("""COMPUTED_VALUE"""),"3 mos")</f>
        <v>3 mos</v>
      </c>
      <c r="H622" s="1" t="str">
        <f>IFERROR(__xludf.DUMMYFUNCTION("""COMPUTED_VALUE"""),"reply")</f>
        <v>reply</v>
      </c>
      <c r="I622"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2" s="1" t="str">
        <f>IFERROR(__xludf.DUMMYFUNCTION("""COMPUTED_VALUE"""),"2022-07-04T11:14:45.501Z")</f>
        <v>2022-07-04T11:14:45.501Z</v>
      </c>
      <c r="K622" s="1"/>
    </row>
    <row r="623">
      <c r="A623" s="2" t="str">
        <f>IFERROR(__xludf.DUMMYFUNCTION("""COMPUTED_VALUE"""),"https://www.facebook.com/jasper.castrence.1")</f>
        <v>https://www.facebook.com/jasper.castrence.1</v>
      </c>
      <c r="B623" s="1" t="str">
        <f>IFERROR(__xludf.DUMMYFUNCTION("""COMPUTED_VALUE"""),"Jaspher Castrence")</f>
        <v>Jaspher Castrence</v>
      </c>
      <c r="C623" s="1" t="str">
        <f>IFERROR(__xludf.DUMMYFUNCTION("""COMPUTED_VALUE"""),"Jaspher")</f>
        <v>Jaspher</v>
      </c>
      <c r="D623" s="1" t="str">
        <f>IFERROR(__xludf.DUMMYFUNCTION("""COMPUTED_VALUE"""),"Castrence")</f>
        <v>Castrence</v>
      </c>
      <c r="E623" s="1" t="str">
        <f>IFERROR(__xludf.DUMMYFUNCTION("""COMPUTED_VALUE"""),"Letty Flores Burger🍔")</f>
        <v>Letty Flores Burger🍔</v>
      </c>
      <c r="F623" s="1"/>
      <c r="G623" s="1" t="str">
        <f>IFERROR(__xludf.DUMMYFUNCTION("""COMPUTED_VALUE"""),"3 mos")</f>
        <v>3 mos</v>
      </c>
      <c r="H623" s="1" t="str">
        <f>IFERROR(__xludf.DUMMYFUNCTION("""COMPUTED_VALUE"""),"reply")</f>
        <v>reply</v>
      </c>
      <c r="I623"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3" s="1" t="str">
        <f>IFERROR(__xludf.DUMMYFUNCTION("""COMPUTED_VALUE"""),"2022-07-04T11:14:45.502Z")</f>
        <v>2022-07-04T11:14:45.502Z</v>
      </c>
      <c r="K623" s="1"/>
    </row>
    <row r="624">
      <c r="A624" s="2" t="str">
        <f>IFERROR(__xludf.DUMMYFUNCTION("""COMPUTED_VALUE"""),"https://www.facebook.com/rey.santos.1426876")</f>
        <v>https://www.facebook.com/rey.santos.1426876</v>
      </c>
      <c r="B624" s="1" t="str">
        <f>IFERROR(__xludf.DUMMYFUNCTION("""COMPUTED_VALUE"""),"Rey Santos")</f>
        <v>Rey Santos</v>
      </c>
      <c r="C624" s="1" t="str">
        <f>IFERROR(__xludf.DUMMYFUNCTION("""COMPUTED_VALUE"""),"Rey")</f>
        <v>Rey</v>
      </c>
      <c r="D624" s="1" t="str">
        <f>IFERROR(__xludf.DUMMYFUNCTION("""COMPUTED_VALUE"""),"Santos")</f>
        <v>Santos</v>
      </c>
      <c r="E624" s="1" t="str">
        <f>IFERROR(__xludf.DUMMYFUNCTION("""COMPUTED_VALUE"""),"Kuha kau Ng picture sa araw ndi puro gabi,madadaya tlga kau,palibhasa puro lubo😅😅😅")</f>
        <v>Kuha kau Ng picture sa araw ndi puro gabi,madadaya tlga kau,palibhasa puro lubo😅😅😅</v>
      </c>
      <c r="F624" s="1">
        <f>IFERROR(__xludf.DUMMYFUNCTION("""COMPUTED_VALUE"""),7.0)</f>
        <v>7</v>
      </c>
      <c r="G624" s="1" t="str">
        <f>IFERROR(__xludf.DUMMYFUNCTION("""COMPUTED_VALUE"""),"3 mos")</f>
        <v>3 mos</v>
      </c>
      <c r="H624" s="1" t="str">
        <f>IFERROR(__xludf.DUMMYFUNCTION("""COMPUTED_VALUE"""),"comment")</f>
        <v>comment</v>
      </c>
      <c r="I624"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4" s="1" t="str">
        <f>IFERROR(__xludf.DUMMYFUNCTION("""COMPUTED_VALUE"""),"2022-07-04T11:14:45.502Z")</f>
        <v>2022-07-04T11:14:45.502Z</v>
      </c>
      <c r="K624" s="1"/>
    </row>
    <row r="625">
      <c r="A625" s="2" t="str">
        <f>IFERROR(__xludf.DUMMYFUNCTION("""COMPUTED_VALUE"""),"https://www.facebook.com/profile.php?id=100059634552488")</f>
        <v>https://www.facebook.com/profile.php?id=100059634552488</v>
      </c>
      <c r="B625" s="1" t="str">
        <f>IFERROR(__xludf.DUMMYFUNCTION("""COMPUTED_VALUE"""),"Andy Lee")</f>
        <v>Andy Lee</v>
      </c>
      <c r="C625" s="1" t="str">
        <f>IFERROR(__xludf.DUMMYFUNCTION("""COMPUTED_VALUE"""),"Andy")</f>
        <v>Andy</v>
      </c>
      <c r="D625" s="1" t="str">
        <f>IFERROR(__xludf.DUMMYFUNCTION("""COMPUTED_VALUE"""),"Lee")</f>
        <v>Lee</v>
      </c>
      <c r="E625" s="1" t="str">
        <f>IFERROR(__xludf.DUMMYFUNCTION("""COMPUTED_VALUE"""),"Rey Santos Sino ka ba?")</f>
        <v>Rey Santos Sino ka ba?</v>
      </c>
      <c r="F625" s="1">
        <f>IFERROR(__xludf.DUMMYFUNCTION("""COMPUTED_VALUE"""),1.0)</f>
        <v>1</v>
      </c>
      <c r="G625" s="1" t="str">
        <f>IFERROR(__xludf.DUMMYFUNCTION("""COMPUTED_VALUE"""),"3 mos")</f>
        <v>3 mos</v>
      </c>
      <c r="H625" s="1" t="str">
        <f>IFERROR(__xludf.DUMMYFUNCTION("""COMPUTED_VALUE"""),"reply")</f>
        <v>reply</v>
      </c>
      <c r="I625"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5" s="1" t="str">
        <f>IFERROR(__xludf.DUMMYFUNCTION("""COMPUTED_VALUE"""),"2022-07-04T11:14:45.502Z")</f>
        <v>2022-07-04T11:14:45.502Z</v>
      </c>
      <c r="K625" s="1"/>
    </row>
    <row r="626">
      <c r="A626" s="2" t="str">
        <f>IFERROR(__xludf.DUMMYFUNCTION("""COMPUTED_VALUE"""),"https://www.facebook.com/rey.santos.1426876")</f>
        <v>https://www.facebook.com/rey.santos.1426876</v>
      </c>
      <c r="B626" s="1" t="str">
        <f>IFERROR(__xludf.DUMMYFUNCTION("""COMPUTED_VALUE"""),"Rey Santos")</f>
        <v>Rey Santos</v>
      </c>
      <c r="C626" s="1" t="str">
        <f>IFERROR(__xludf.DUMMYFUNCTION("""COMPUTED_VALUE"""),"Rey")</f>
        <v>Rey</v>
      </c>
      <c r="D626" s="1" t="str">
        <f>IFERROR(__xludf.DUMMYFUNCTION("""COMPUTED_VALUE"""),"Santos")</f>
        <v>Santos</v>
      </c>
      <c r="E626" s="1" t="str">
        <f>IFERROR(__xludf.DUMMYFUNCTION("""COMPUTED_VALUE"""),"Andy Lee hahaha syempre ako to")</f>
        <v>Andy Lee hahaha syempre ako to</v>
      </c>
      <c r="F626" s="1"/>
      <c r="G626" s="1" t="str">
        <f>IFERROR(__xludf.DUMMYFUNCTION("""COMPUTED_VALUE"""),"3 mos")</f>
        <v>3 mos</v>
      </c>
      <c r="H626" s="1" t="str">
        <f>IFERROR(__xludf.DUMMYFUNCTION("""COMPUTED_VALUE"""),"reply")</f>
        <v>reply</v>
      </c>
      <c r="I626"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6" s="1" t="str">
        <f>IFERROR(__xludf.DUMMYFUNCTION("""COMPUTED_VALUE"""),"2022-07-04T11:14:45.502Z")</f>
        <v>2022-07-04T11:14:45.502Z</v>
      </c>
      <c r="K626" s="1"/>
    </row>
    <row r="627">
      <c r="A627" s="2" t="str">
        <f>IFERROR(__xludf.DUMMYFUNCTION("""COMPUTED_VALUE"""),"https://www.facebook.com/ronniel.deramos")</f>
        <v>https://www.facebook.com/ronniel.deramos</v>
      </c>
      <c r="B627" s="1" t="str">
        <f>IFERROR(__xludf.DUMMYFUNCTION("""COMPUTED_VALUE"""),"Ronniel de Ramos")</f>
        <v>Ronniel de Ramos</v>
      </c>
      <c r="C627" s="1" t="str">
        <f>IFERROR(__xludf.DUMMYFUNCTION("""COMPUTED_VALUE"""),"Ronniel")</f>
        <v>Ronniel</v>
      </c>
      <c r="D627" s="1" t="str">
        <f>IFERROR(__xludf.DUMMYFUNCTION("""COMPUTED_VALUE"""),"de Ramos")</f>
        <v>de Ramos</v>
      </c>
      <c r="E627" s="1" t="str">
        <f>IFERROR(__xludf.DUMMYFUNCTION("""COMPUTED_VALUE"""),"Rey Santos may lubo, lobo pala, na nakakasigaw, nakakakanta at may hawak pang cellphone? 😂😂😂")</f>
        <v>Rey Santos may lubo, lobo pala, na nakakasigaw, nakakakanta at may hawak pang cellphone? 😂😂😂</v>
      </c>
      <c r="F627" s="1">
        <f>IFERROR(__xludf.DUMMYFUNCTION("""COMPUTED_VALUE"""),1.0)</f>
        <v>1</v>
      </c>
      <c r="G627" s="1" t="str">
        <f>IFERROR(__xludf.DUMMYFUNCTION("""COMPUTED_VALUE"""),"3 mos")</f>
        <v>3 mos</v>
      </c>
      <c r="H627" s="1" t="str">
        <f>IFERROR(__xludf.DUMMYFUNCTION("""COMPUTED_VALUE"""),"reply")</f>
        <v>reply</v>
      </c>
      <c r="I627"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7" s="1" t="str">
        <f>IFERROR(__xludf.DUMMYFUNCTION("""COMPUTED_VALUE"""),"2022-07-04T11:14:45.502Z")</f>
        <v>2022-07-04T11:14:45.502Z</v>
      </c>
      <c r="K627" s="1"/>
    </row>
    <row r="628">
      <c r="A628" s="2" t="str">
        <f>IFERROR(__xludf.DUMMYFUNCTION("""COMPUTED_VALUE"""),"https://www.facebook.com/jo.talisaysay")</f>
        <v>https://www.facebook.com/jo.talisaysay</v>
      </c>
      <c r="B628" s="1" t="str">
        <f>IFERROR(__xludf.DUMMYFUNCTION("""COMPUTED_VALUE"""),"Jhoriex Jorry Talisaysay")</f>
        <v>Jhoriex Jorry Talisaysay</v>
      </c>
      <c r="C628" s="1" t="str">
        <f>IFERROR(__xludf.DUMMYFUNCTION("""COMPUTED_VALUE"""),"Jhoriex")</f>
        <v>Jhoriex</v>
      </c>
      <c r="D628" s="1" t="str">
        <f>IFERROR(__xludf.DUMMYFUNCTION("""COMPUTED_VALUE"""),"Jorry Talisaysay")</f>
        <v>Jorry Talisaysay</v>
      </c>
      <c r="E628" s="1" t="str">
        <f>IFERROR(__xludf.DUMMYFUNCTION("""COMPUTED_VALUE"""),"Rey Santos ginaya na naman nila yung rally nila uniteam sa cavite")</f>
        <v>Rey Santos ginaya na naman nila yung rally nila uniteam sa cavite</v>
      </c>
      <c r="F628" s="1">
        <f>IFERROR(__xludf.DUMMYFUNCTION("""COMPUTED_VALUE"""),4.0)</f>
        <v>4</v>
      </c>
      <c r="G628" s="1" t="str">
        <f>IFERROR(__xludf.DUMMYFUNCTION("""COMPUTED_VALUE"""),"3 mos")</f>
        <v>3 mos</v>
      </c>
      <c r="H628" s="1" t="str">
        <f>IFERROR(__xludf.DUMMYFUNCTION("""COMPUTED_VALUE"""),"reply")</f>
        <v>reply</v>
      </c>
      <c r="I628"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8" s="1" t="str">
        <f>IFERROR(__xludf.DUMMYFUNCTION("""COMPUTED_VALUE"""),"2022-07-04T11:14:45.502Z")</f>
        <v>2022-07-04T11:14:45.502Z</v>
      </c>
      <c r="K628" s="1"/>
    </row>
    <row r="629">
      <c r="A629" s="2" t="str">
        <f>IFERROR(__xludf.DUMMYFUNCTION("""COMPUTED_VALUE"""),"https://www.facebook.com/Desha.Glorioso")</f>
        <v>https://www.facebook.com/Desha.Glorioso</v>
      </c>
      <c r="B629" s="1" t="str">
        <f>IFERROR(__xludf.DUMMYFUNCTION("""COMPUTED_VALUE"""),"Desha Desha")</f>
        <v>Desha Desha</v>
      </c>
      <c r="C629" s="1" t="str">
        <f>IFERROR(__xludf.DUMMYFUNCTION("""COMPUTED_VALUE"""),"Desha")</f>
        <v>Desha</v>
      </c>
      <c r="D629" s="1" t="str">
        <f>IFERROR(__xludf.DUMMYFUNCTION("""COMPUTED_VALUE"""),"Desha")</f>
        <v>Desha</v>
      </c>
      <c r="E629" s="1" t="str">
        <f>IFERROR(__xludf.DUMMYFUNCTION("""COMPUTED_VALUE"""),"Jhoriex kahit po every sortie ni VP, since day 1, ganito n po tlga? gaya p rin?  ok, opinyon m po yan eh.. pro dpt based s facts..")</f>
        <v>Jhoriex kahit po every sortie ni VP, since day 1, ganito n po tlga? gaya p rin?  ok, opinyon m po yan eh.. pro dpt based s facts..</v>
      </c>
      <c r="F629" s="1"/>
      <c r="G629" s="1" t="str">
        <f>IFERROR(__xludf.DUMMYFUNCTION("""COMPUTED_VALUE"""),"3 mos")</f>
        <v>3 mos</v>
      </c>
      <c r="H629" s="1" t="str">
        <f>IFERROR(__xludf.DUMMYFUNCTION("""COMPUTED_VALUE"""),"reply")</f>
        <v>reply</v>
      </c>
      <c r="I629"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29" s="1" t="str">
        <f>IFERROR(__xludf.DUMMYFUNCTION("""COMPUTED_VALUE"""),"2022-07-04T11:14:45.502Z")</f>
        <v>2022-07-04T11:14:45.502Z</v>
      </c>
      <c r="K629" s="1"/>
    </row>
    <row r="630">
      <c r="A630" s="2" t="str">
        <f>IFERROR(__xludf.DUMMYFUNCTION("""COMPUTED_VALUE"""),"https://www.facebook.com/ronniel.deramos")</f>
        <v>https://www.facebook.com/ronniel.deramos</v>
      </c>
      <c r="B630" s="1" t="str">
        <f>IFERROR(__xludf.DUMMYFUNCTION("""COMPUTED_VALUE"""),"Ronniel de Ramos")</f>
        <v>Ronniel de Ramos</v>
      </c>
      <c r="C630" s="1" t="str">
        <f>IFERROR(__xludf.DUMMYFUNCTION("""COMPUTED_VALUE"""),"Ronniel")</f>
        <v>Ronniel</v>
      </c>
      <c r="D630" s="1" t="str">
        <f>IFERROR(__xludf.DUMMYFUNCTION("""COMPUTED_VALUE"""),"de Ramos")</f>
        <v>de Ramos</v>
      </c>
      <c r="E630" s="1" t="str">
        <f>IFERROR(__xludf.DUMMYFUNCTION("""COMPUTED_VALUE"""),"Jhoriex Jorry Talisaysay yung na una pa talaga ang nanggaya? Hahahha patawa")</f>
        <v>Jhoriex Jorry Talisaysay yung na una pa talaga ang nanggaya? Hahahha patawa</v>
      </c>
      <c r="F630" s="1"/>
      <c r="G630" s="1" t="str">
        <f>IFERROR(__xludf.DUMMYFUNCTION("""COMPUTED_VALUE"""),"3 mos")</f>
        <v>3 mos</v>
      </c>
      <c r="H630" s="1" t="str">
        <f>IFERROR(__xludf.DUMMYFUNCTION("""COMPUTED_VALUE"""),"reply")</f>
        <v>reply</v>
      </c>
      <c r="I630"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0" s="1" t="str">
        <f>IFERROR(__xludf.DUMMYFUNCTION("""COMPUTED_VALUE"""),"2022-07-04T11:14:45.502Z")</f>
        <v>2022-07-04T11:14:45.502Z</v>
      </c>
      <c r="K630" s="1"/>
    </row>
    <row r="631">
      <c r="A631" s="2" t="str">
        <f>IFERROR(__xludf.DUMMYFUNCTION("""COMPUTED_VALUE"""),"https://www.facebook.com/buenaventura.romy")</f>
        <v>https://www.facebook.com/buenaventura.romy</v>
      </c>
      <c r="B631" s="1" t="str">
        <f>IFERROR(__xludf.DUMMYFUNCTION("""COMPUTED_VALUE"""),"Romy Buenaventura")</f>
        <v>Romy Buenaventura</v>
      </c>
      <c r="C631" s="1" t="str">
        <f>IFERROR(__xludf.DUMMYFUNCTION("""COMPUTED_VALUE"""),"Romy")</f>
        <v>Romy</v>
      </c>
      <c r="D631" s="1" t="str">
        <f>IFERROR(__xludf.DUMMYFUNCTION("""COMPUTED_VALUE"""),"Buenaventura")</f>
        <v>Buenaventura</v>
      </c>
      <c r="E631" s="1" t="str">
        <f>IFERROR(__xludf.DUMMYFUNCTION("""COMPUTED_VALUE"""),"Rey Santos paki alis mo dark shades mo!")</f>
        <v>Rey Santos paki alis mo dark shades mo!</v>
      </c>
      <c r="F631" s="1">
        <f>IFERROR(__xludf.DUMMYFUNCTION("""COMPUTED_VALUE"""),1.0)</f>
        <v>1</v>
      </c>
      <c r="G631" s="1" t="str">
        <f>IFERROR(__xludf.DUMMYFUNCTION("""COMPUTED_VALUE"""),"3 mos")</f>
        <v>3 mos</v>
      </c>
      <c r="H631" s="1" t="str">
        <f>IFERROR(__xludf.DUMMYFUNCTION("""COMPUTED_VALUE"""),"reply")</f>
        <v>reply</v>
      </c>
      <c r="I631"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1" s="1" t="str">
        <f>IFERROR(__xludf.DUMMYFUNCTION("""COMPUTED_VALUE"""),"2022-07-04T11:14:45.502Z")</f>
        <v>2022-07-04T11:14:45.502Z</v>
      </c>
      <c r="K631" s="1"/>
    </row>
    <row r="632">
      <c r="A632" s="2" t="str">
        <f>IFERROR(__xludf.DUMMYFUNCTION("""COMPUTED_VALUE"""),"https://www.facebook.com/renz.jimenez.1048")</f>
        <v>https://www.facebook.com/renz.jimenez.1048</v>
      </c>
      <c r="B632" s="1" t="str">
        <f>IFERROR(__xludf.DUMMYFUNCTION("""COMPUTED_VALUE"""),"Rpj Jimenez")</f>
        <v>Rpj Jimenez</v>
      </c>
      <c r="C632" s="1" t="str">
        <f>IFERROR(__xludf.DUMMYFUNCTION("""COMPUTED_VALUE"""),"Rpj")</f>
        <v>Rpj</v>
      </c>
      <c r="D632" s="1" t="str">
        <f>IFERROR(__xludf.DUMMYFUNCTION("""COMPUTED_VALUE"""),"Jimenez")</f>
        <v>Jimenez</v>
      </c>
      <c r="E632" s="1" t="str">
        <f>IFERROR(__xludf.DUMMYFUNCTION("""COMPUTED_VALUE"""),"Rey Santos LAGI NALANG SA METRO MANILA😏 YUN PUMUNTA SA QC AT PASIG MALAMANG SAME PEOPLE LANG NGAYON SA CALOOCAN😏")</f>
        <v>Rey Santos LAGI NALANG SA METRO MANILA😏 YUN PUMUNTA SA QC AT PASIG MALAMANG SAME PEOPLE LANG NGAYON SA CALOOCAN😏</v>
      </c>
      <c r="F632" s="1"/>
      <c r="G632" s="1" t="str">
        <f>IFERROR(__xludf.DUMMYFUNCTION("""COMPUTED_VALUE"""),"3 mos")</f>
        <v>3 mos</v>
      </c>
      <c r="H632" s="1" t="str">
        <f>IFERROR(__xludf.DUMMYFUNCTION("""COMPUTED_VALUE"""),"reply")</f>
        <v>reply</v>
      </c>
      <c r="I632"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2" s="1" t="str">
        <f>IFERROR(__xludf.DUMMYFUNCTION("""COMPUTED_VALUE"""),"2022-07-04T11:14:45.502Z")</f>
        <v>2022-07-04T11:14:45.502Z</v>
      </c>
      <c r="K632" s="1"/>
    </row>
    <row r="633">
      <c r="A633" s="2" t="str">
        <f>IFERROR(__xludf.DUMMYFUNCTION("""COMPUTED_VALUE"""),"https://www.facebook.com/profile.php?id=100075281044190")</f>
        <v>https://www.facebook.com/profile.php?id=100075281044190</v>
      </c>
      <c r="B633" s="1" t="str">
        <f>IFERROR(__xludf.DUMMYFUNCTION("""COMPUTED_VALUE"""),"Letty Flores")</f>
        <v>Letty Flores</v>
      </c>
      <c r="C633" s="1" t="str">
        <f>IFERROR(__xludf.DUMMYFUNCTION("""COMPUTED_VALUE"""),"Letty")</f>
        <v>Letty</v>
      </c>
      <c r="D633" s="1" t="str">
        <f>IFERROR(__xludf.DUMMYFUNCTION("""COMPUTED_VALUE"""),"Flores")</f>
        <v>Flores</v>
      </c>
      <c r="E633" s="1" t="str">
        <f>IFERROR(__xludf.DUMMYFUNCTION("""COMPUTED_VALUE"""),"Rey Santos punta ka po sa venue pr hnd ka ng gagalaiti ng makita mo totoo..puro kau ngawa,waley din.🤣🤣🤣")</f>
        <v>Rey Santos punta ka po sa venue pr hnd ka ng gagalaiti ng makita mo totoo..puro kau ngawa,waley din.🤣🤣🤣</v>
      </c>
      <c r="F633" s="1">
        <f>IFERROR(__xludf.DUMMYFUNCTION("""COMPUTED_VALUE"""),6.0)</f>
        <v>6</v>
      </c>
      <c r="G633" s="1" t="str">
        <f>IFERROR(__xludf.DUMMYFUNCTION("""COMPUTED_VALUE"""),"3 mos")</f>
        <v>3 mos</v>
      </c>
      <c r="H633" s="1" t="str">
        <f>IFERROR(__xludf.DUMMYFUNCTION("""COMPUTED_VALUE"""),"reply")</f>
        <v>reply</v>
      </c>
      <c r="I633"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3" s="1" t="str">
        <f>IFERROR(__xludf.DUMMYFUNCTION("""COMPUTED_VALUE"""),"2022-07-04T11:14:45.502Z")</f>
        <v>2022-07-04T11:14:45.502Z</v>
      </c>
      <c r="K633" s="1"/>
    </row>
    <row r="634">
      <c r="A634" s="2" t="str">
        <f>IFERROR(__xludf.DUMMYFUNCTION("""COMPUTED_VALUE"""),"https://www.facebook.com/rey.santos.1426876")</f>
        <v>https://www.facebook.com/rey.santos.1426876</v>
      </c>
      <c r="B634" s="1" t="str">
        <f>IFERROR(__xludf.DUMMYFUNCTION("""COMPUTED_VALUE"""),"Rey Santos")</f>
        <v>Rey Santos</v>
      </c>
      <c r="C634" s="1" t="str">
        <f>IFERROR(__xludf.DUMMYFUNCTION("""COMPUTED_VALUE"""),"Rey")</f>
        <v>Rey</v>
      </c>
      <c r="D634" s="1" t="str">
        <f>IFERROR(__xludf.DUMMYFUNCTION("""COMPUTED_VALUE"""),"Santos")</f>
        <v>Santos</v>
      </c>
      <c r="E634" s="1" t="str">
        <f>IFERROR(__xludf.DUMMYFUNCTION("""COMPUTED_VALUE"""),"Letty Flores ndi ako interesado")</f>
        <v>Letty Flores ndi ako interesado</v>
      </c>
      <c r="F634" s="1">
        <f>IFERROR(__xludf.DUMMYFUNCTION("""COMPUTED_VALUE"""),1.0)</f>
        <v>1</v>
      </c>
      <c r="G634" s="1" t="str">
        <f>IFERROR(__xludf.DUMMYFUNCTION("""COMPUTED_VALUE"""),"3 mos")</f>
        <v>3 mos</v>
      </c>
      <c r="H634" s="1" t="str">
        <f>IFERROR(__xludf.DUMMYFUNCTION("""COMPUTED_VALUE"""),"reply")</f>
        <v>reply</v>
      </c>
      <c r="I634"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4" s="1" t="str">
        <f>IFERROR(__xludf.DUMMYFUNCTION("""COMPUTED_VALUE"""),"2022-07-04T11:14:45.502Z")</f>
        <v>2022-07-04T11:14:45.502Z</v>
      </c>
      <c r="K634" s="1"/>
    </row>
    <row r="635">
      <c r="A635" s="2" t="str">
        <f>IFERROR(__xludf.DUMMYFUNCTION("""COMPUTED_VALUE"""),"https://www.facebook.com/profile.php?id=100075281044190")</f>
        <v>https://www.facebook.com/profile.php?id=100075281044190</v>
      </c>
      <c r="B635" s="1" t="str">
        <f>IFERROR(__xludf.DUMMYFUNCTION("""COMPUTED_VALUE"""),"Letty Flores")</f>
        <v>Letty Flores</v>
      </c>
      <c r="C635" s="1" t="str">
        <f>IFERROR(__xludf.DUMMYFUNCTION("""COMPUTED_VALUE"""),"Letty")</f>
        <v>Letty</v>
      </c>
      <c r="D635" s="1" t="str">
        <f>IFERROR(__xludf.DUMMYFUNCTION("""COMPUTED_VALUE"""),"Flores")</f>
        <v>Flores</v>
      </c>
      <c r="E635" s="1" t="str">
        <f>IFERROR(__xludf.DUMMYFUNCTION("""COMPUTED_VALUE"""),"Rey Santos ky wg kng ngawa ng ngawa di ka pl interesado!🤣")</f>
        <v>Rey Santos ky wg kng ngawa ng ngawa di ka pl interesado!🤣</v>
      </c>
      <c r="F635" s="1">
        <f>IFERROR(__xludf.DUMMYFUNCTION("""COMPUTED_VALUE"""),1.0)</f>
        <v>1</v>
      </c>
      <c r="G635" s="1" t="str">
        <f>IFERROR(__xludf.DUMMYFUNCTION("""COMPUTED_VALUE"""),"3 mos")</f>
        <v>3 mos</v>
      </c>
      <c r="H635" s="1" t="str">
        <f>IFERROR(__xludf.DUMMYFUNCTION("""COMPUTED_VALUE"""),"reply")</f>
        <v>reply</v>
      </c>
      <c r="I635"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5" s="1" t="str">
        <f>IFERROR(__xludf.DUMMYFUNCTION("""COMPUTED_VALUE"""),"2022-07-04T11:14:45.502Z")</f>
        <v>2022-07-04T11:14:45.502Z</v>
      </c>
      <c r="K635" s="1"/>
    </row>
    <row r="636">
      <c r="A636" s="2" t="str">
        <f>IFERROR(__xludf.DUMMYFUNCTION("""COMPUTED_VALUE"""),"https://www.facebook.com/michael.elarmo.35")</f>
        <v>https://www.facebook.com/michael.elarmo.35</v>
      </c>
      <c r="B636" s="1" t="str">
        <f>IFERROR(__xludf.DUMMYFUNCTION("""COMPUTED_VALUE"""),"Michael Elarmo")</f>
        <v>Michael Elarmo</v>
      </c>
      <c r="C636" s="1" t="str">
        <f>IFERROR(__xludf.DUMMYFUNCTION("""COMPUTED_VALUE"""),"Michael")</f>
        <v>Michael</v>
      </c>
      <c r="D636" s="1" t="str">
        <f>IFERROR(__xludf.DUMMYFUNCTION("""COMPUTED_VALUE"""),"Elarmo")</f>
        <v>Elarmo</v>
      </c>
      <c r="E636" s="1" t="str">
        <f>IFERROR(__xludf.DUMMYFUNCTION("""COMPUTED_VALUE"""),"Rey Santos sabog ka yata.ano *tingin mo sa mga tao na sumisigaw at gumagalaw ang ilaw ng CP lobo.iba katalagang nilalang.mars turuan mo nga ito mag isip.ibalik ito sa kinder")</f>
        <v>Rey Santos sabog ka yata.ano *tingin mo sa mga tao na sumisigaw at gumagalaw ang ilaw ng CP lobo.iba katalagang nilalang.mars turuan mo nga ito mag isip.ibalik ito sa kinder</v>
      </c>
      <c r="F636" s="1">
        <f>IFERROR(__xludf.DUMMYFUNCTION("""COMPUTED_VALUE"""),3.0)</f>
        <v>3</v>
      </c>
      <c r="G636" s="1" t="str">
        <f>IFERROR(__xludf.DUMMYFUNCTION("""COMPUTED_VALUE"""),"3 mos")</f>
        <v>3 mos</v>
      </c>
      <c r="H636" s="1" t="str">
        <f>IFERROR(__xludf.DUMMYFUNCTION("""COMPUTED_VALUE"""),"reply")</f>
        <v>reply</v>
      </c>
      <c r="I636"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6" s="1" t="str">
        <f>IFERROR(__xludf.DUMMYFUNCTION("""COMPUTED_VALUE"""),"2022-07-04T11:14:45.502Z")</f>
        <v>2022-07-04T11:14:45.502Z</v>
      </c>
      <c r="K636" s="1"/>
    </row>
    <row r="637">
      <c r="A637" s="2" t="str">
        <f>IFERROR(__xludf.DUMMYFUNCTION("""COMPUTED_VALUE"""),"https://www.facebook.com/cat.carrot.50")</f>
        <v>https://www.facebook.com/cat.carrot.50</v>
      </c>
      <c r="B637" s="1" t="str">
        <f>IFERROR(__xludf.DUMMYFUNCTION("""COMPUTED_VALUE"""),"Cat Carrot")</f>
        <v>Cat Carrot</v>
      </c>
      <c r="C637" s="1" t="str">
        <f>IFERROR(__xludf.DUMMYFUNCTION("""COMPUTED_VALUE"""),"Cat")</f>
        <v>Cat</v>
      </c>
      <c r="D637" s="1" t="str">
        <f>IFERROR(__xludf.DUMMYFUNCTION("""COMPUTED_VALUE"""),"Carrot")</f>
        <v>Carrot</v>
      </c>
      <c r="E637" s="1" t="str">
        <f>IFERROR(__xludf.DUMMYFUNCTION("""COMPUTED_VALUE"""),"Rey Santos lubo?")</f>
        <v>Rey Santos lubo?</v>
      </c>
      <c r="F637" s="1"/>
      <c r="G637" s="1" t="str">
        <f>IFERROR(__xludf.DUMMYFUNCTION("""COMPUTED_VALUE"""),"3 mos")</f>
        <v>3 mos</v>
      </c>
      <c r="H637" s="1" t="str">
        <f>IFERROR(__xludf.DUMMYFUNCTION("""COMPUTED_VALUE"""),"reply")</f>
        <v>reply</v>
      </c>
      <c r="I637"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7" s="1" t="str">
        <f>IFERROR(__xludf.DUMMYFUNCTION("""COMPUTED_VALUE"""),"2022-07-04T11:14:45.502Z")</f>
        <v>2022-07-04T11:14:45.502Z</v>
      </c>
      <c r="K637" s="1"/>
    </row>
    <row r="638">
      <c r="A638" s="2" t="str">
        <f>IFERROR(__xludf.DUMMYFUNCTION("""COMPUTED_VALUE"""),"https://www.facebook.com/rey.santos.1426876")</f>
        <v>https://www.facebook.com/rey.santos.1426876</v>
      </c>
      <c r="B638" s="1" t="str">
        <f>IFERROR(__xludf.DUMMYFUNCTION("""COMPUTED_VALUE"""),"Rey Santos")</f>
        <v>Rey Santos</v>
      </c>
      <c r="C638" s="1" t="str">
        <f>IFERROR(__xludf.DUMMYFUNCTION("""COMPUTED_VALUE"""),"Rey")</f>
        <v>Rey</v>
      </c>
      <c r="D638" s="1" t="str">
        <f>IFERROR(__xludf.DUMMYFUNCTION("""COMPUTED_VALUE"""),"Santos")</f>
        <v>Santos</v>
      </c>
      <c r="E638" s="1" t="str">
        <f>IFERROR(__xludf.DUMMYFUNCTION("""COMPUTED_VALUE"""),"Michael Elarmo mas sabog ka Di ndi nlang lobo ilaw nlang 😅😅😅")</f>
        <v>Michael Elarmo mas sabog ka Di ndi nlang lobo ilaw nlang 😅😅😅</v>
      </c>
      <c r="F638" s="1"/>
      <c r="G638" s="1" t="str">
        <f>IFERROR(__xludf.DUMMYFUNCTION("""COMPUTED_VALUE"""),"3 mos")</f>
        <v>3 mos</v>
      </c>
      <c r="H638" s="1" t="str">
        <f>IFERROR(__xludf.DUMMYFUNCTION("""COMPUTED_VALUE"""),"reply")</f>
        <v>reply</v>
      </c>
      <c r="I638"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8" s="1" t="str">
        <f>IFERROR(__xludf.DUMMYFUNCTION("""COMPUTED_VALUE"""),"2022-07-04T11:14:45.502Z")</f>
        <v>2022-07-04T11:14:45.502Z</v>
      </c>
      <c r="K638" s="1"/>
    </row>
    <row r="639">
      <c r="A639" s="2" t="str">
        <f>IFERROR(__xludf.DUMMYFUNCTION("""COMPUTED_VALUE"""),"https://www.facebook.com/ADATL02")</f>
        <v>https://www.facebook.com/ADATL02</v>
      </c>
      <c r="B639" s="1" t="str">
        <f>IFERROR(__xludf.DUMMYFUNCTION("""COMPUTED_VALUE"""),"AudeAr Lopez")</f>
        <v>AudeAr Lopez</v>
      </c>
      <c r="C639" s="1" t="str">
        <f>IFERROR(__xludf.DUMMYFUNCTION("""COMPUTED_VALUE"""),"AudeAr")</f>
        <v>AudeAr</v>
      </c>
      <c r="D639" s="1" t="str">
        <f>IFERROR(__xludf.DUMMYFUNCTION("""COMPUTED_VALUE"""),"Lopez")</f>
        <v>Lopez</v>
      </c>
      <c r="E639" s="1" t="str">
        <f>IFERROR(__xludf.DUMMYFUNCTION("""COMPUTED_VALUE"""),"Insecure na naman ang mga BBMers...di matanggap na sobrang ganda at well attended rallies ni VP😁😁😁...samantalang sa mga rallies nila nagbabatuhan ng silya!😁😁😁")</f>
        <v>Insecure na naman ang mga BBMers...di matanggap na sobrang ganda at well attended rallies ni VP😁😁😁...samantalang sa mga rallies nila nagbabatuhan ng silya!😁😁😁</v>
      </c>
      <c r="F639" s="1">
        <f>IFERROR(__xludf.DUMMYFUNCTION("""COMPUTED_VALUE"""),16.0)</f>
        <v>16</v>
      </c>
      <c r="G639" s="1" t="str">
        <f>IFERROR(__xludf.DUMMYFUNCTION("""COMPUTED_VALUE"""),"3 mos")</f>
        <v>3 mos</v>
      </c>
      <c r="H639" s="1" t="str">
        <f>IFERROR(__xludf.DUMMYFUNCTION("""COMPUTED_VALUE"""),"comment")</f>
        <v>comment</v>
      </c>
      <c r="I639"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39" s="1" t="str">
        <f>IFERROR(__xludf.DUMMYFUNCTION("""COMPUTED_VALUE"""),"2022-07-04T11:14:45.502Z")</f>
        <v>2022-07-04T11:14:45.502Z</v>
      </c>
      <c r="K639" s="1"/>
    </row>
    <row r="640">
      <c r="A640" s="2" t="str">
        <f>IFERROR(__xludf.DUMMYFUNCTION("""COMPUTED_VALUE"""),"https://www.facebook.com/xhianglee")</f>
        <v>https://www.facebook.com/xhianglee</v>
      </c>
      <c r="B640" s="1" t="str">
        <f>IFERROR(__xludf.DUMMYFUNCTION("""COMPUTED_VALUE"""),"Dare Meh")</f>
        <v>Dare Meh</v>
      </c>
      <c r="C640" s="1" t="str">
        <f>IFERROR(__xludf.DUMMYFUNCTION("""COMPUTED_VALUE"""),"Dare")</f>
        <v>Dare</v>
      </c>
      <c r="D640" s="1" t="str">
        <f>IFERROR(__xludf.DUMMYFUNCTION("""COMPUTED_VALUE"""),"Meh")</f>
        <v>Meh</v>
      </c>
      <c r="E640" s="1" t="str">
        <f>IFERROR(__xludf.DUMMYFUNCTION("""COMPUTED_VALUE"""),"Arne Lopez never tlga kmi ma nsecure sa hakot")</f>
        <v>Arne Lopez never tlga kmi ma nsecure sa hakot</v>
      </c>
      <c r="F640" s="1">
        <f>IFERROR(__xludf.DUMMYFUNCTION("""COMPUTED_VALUE"""),2.0)</f>
        <v>2</v>
      </c>
      <c r="G640" s="1" t="str">
        <f>IFERROR(__xludf.DUMMYFUNCTION("""COMPUTED_VALUE"""),"3 mos")</f>
        <v>3 mos</v>
      </c>
      <c r="H640" s="1" t="str">
        <f>IFERROR(__xludf.DUMMYFUNCTION("""COMPUTED_VALUE"""),"reply")</f>
        <v>reply</v>
      </c>
      <c r="I640"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0" s="1" t="str">
        <f>IFERROR(__xludf.DUMMYFUNCTION("""COMPUTED_VALUE"""),"2022-07-04T11:14:45.502Z")</f>
        <v>2022-07-04T11:14:45.502Z</v>
      </c>
      <c r="K640" s="1"/>
    </row>
    <row r="641">
      <c r="A641" s="2" t="str">
        <f>IFERROR(__xludf.DUMMYFUNCTION("""COMPUTED_VALUE"""),"https://www.facebook.com/ADATL02")</f>
        <v>https://www.facebook.com/ADATL02</v>
      </c>
      <c r="B641" s="1" t="str">
        <f>IFERROR(__xludf.DUMMYFUNCTION("""COMPUTED_VALUE"""),"AudeAr Lopez")</f>
        <v>AudeAr Lopez</v>
      </c>
      <c r="C641" s="1" t="str">
        <f>IFERROR(__xludf.DUMMYFUNCTION("""COMPUTED_VALUE"""),"AudeAr")</f>
        <v>AudeAr</v>
      </c>
      <c r="D641" s="1" t="str">
        <f>IFERROR(__xludf.DUMMYFUNCTION("""COMPUTED_VALUE"""),"Lopez")</f>
        <v>Lopez</v>
      </c>
      <c r="E641" s="1" t="str">
        <f>IFERROR(__xludf.DUMMYFUNCTION("""COMPUTED_VALUE"""),"Lhiel Punay Seban uy nagsalita ang expert na hakot at nangangailangan ng pera🤪")</f>
        <v>Lhiel Punay Seban uy nagsalita ang expert na hakot at nangangailangan ng pera🤪</v>
      </c>
      <c r="F641" s="1"/>
      <c r="G641" s="1" t="str">
        <f>IFERROR(__xludf.DUMMYFUNCTION("""COMPUTED_VALUE"""),"3 mos")</f>
        <v>3 mos</v>
      </c>
      <c r="H641" s="1" t="str">
        <f>IFERROR(__xludf.DUMMYFUNCTION("""COMPUTED_VALUE"""),"reply")</f>
        <v>reply</v>
      </c>
      <c r="I641"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1" s="1" t="str">
        <f>IFERROR(__xludf.DUMMYFUNCTION("""COMPUTED_VALUE"""),"2022-07-04T11:14:45.502Z")</f>
        <v>2022-07-04T11:14:45.502Z</v>
      </c>
      <c r="K641" s="1"/>
    </row>
    <row r="642">
      <c r="A642" s="2" t="str">
        <f>IFERROR(__xludf.DUMMYFUNCTION("""COMPUTED_VALUE"""),"https://www.facebook.com/fatiph.rack")</f>
        <v>https://www.facebook.com/fatiph.rack</v>
      </c>
      <c r="B642" s="1" t="str">
        <f>IFERROR(__xludf.DUMMYFUNCTION("""COMPUTED_VALUE"""),"Fatiph Rack")</f>
        <v>Fatiph Rack</v>
      </c>
      <c r="C642" s="1" t="str">
        <f>IFERROR(__xludf.DUMMYFUNCTION("""COMPUTED_VALUE"""),"Fatiph")</f>
        <v>Fatiph</v>
      </c>
      <c r="D642" s="1" t="str">
        <f>IFERROR(__xludf.DUMMYFUNCTION("""COMPUTED_VALUE"""),"Rack")</f>
        <v>Rack</v>
      </c>
      <c r="E642" s="1" t="str">
        <f>IFERROR(__xludf.DUMMYFUNCTION("""COMPUTED_VALUE"""),"Arne Lopez - papano naman si Mayor Isko na kahati nyo sa 45% wala na lang ba?  https://newsinfo.inquirer.net/1573898/65000-batanguenos-show-support-for-isko-moreno-in-lipa-city-grand-rally")</f>
        <v>Arne Lopez - papano naman si Mayor Isko na kahati nyo sa 45% wala na lang ba?  https://newsinfo.inquirer.net/1573898/65000-batanguenos-show-support-for-isko-moreno-in-lipa-city-grand-rally</v>
      </c>
      <c r="F642" s="1"/>
      <c r="G642" s="1" t="str">
        <f>IFERROR(__xludf.DUMMYFUNCTION("""COMPUTED_VALUE"""),"3 mos")</f>
        <v>3 mos</v>
      </c>
      <c r="H642" s="1" t="str">
        <f>IFERROR(__xludf.DUMMYFUNCTION("""COMPUTED_VALUE"""),"reply")</f>
        <v>reply</v>
      </c>
      <c r="I642"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2" s="1" t="str">
        <f>IFERROR(__xludf.DUMMYFUNCTION("""COMPUTED_VALUE"""),"2022-07-04T11:14:45.502Z")</f>
        <v>2022-07-04T11:14:45.502Z</v>
      </c>
      <c r="K642" s="1"/>
    </row>
    <row r="643">
      <c r="A643" s="2" t="str">
        <f>IFERROR(__xludf.DUMMYFUNCTION("""COMPUTED_VALUE"""),"https://www.facebook.com/ADATL02")</f>
        <v>https://www.facebook.com/ADATL02</v>
      </c>
      <c r="B643" s="1" t="str">
        <f>IFERROR(__xludf.DUMMYFUNCTION("""COMPUTED_VALUE"""),"AudeAr Lopez")</f>
        <v>AudeAr Lopez</v>
      </c>
      <c r="C643" s="1" t="str">
        <f>IFERROR(__xludf.DUMMYFUNCTION("""COMPUTED_VALUE"""),"AudeAr")</f>
        <v>AudeAr</v>
      </c>
      <c r="D643" s="1" t="str">
        <f>IFERROR(__xludf.DUMMYFUNCTION("""COMPUTED_VALUE"""),"Lopez")</f>
        <v>Lopez</v>
      </c>
      <c r="E643" s="1" t="str">
        <f>IFERROR(__xludf.DUMMYFUNCTION("""COMPUTED_VALUE"""),"Fatiph Rack dude! Wag pikon😁...ayusin niyo away at rambulan sa bakuran niyo...Unity kuno - Pwe!!!")</f>
        <v>Fatiph Rack dude! Wag pikon😁...ayusin niyo away at rambulan sa bakuran niyo...Unity kuno - Pwe!!!</v>
      </c>
      <c r="F643" s="1"/>
      <c r="G643" s="1" t="str">
        <f>IFERROR(__xludf.DUMMYFUNCTION("""COMPUTED_VALUE"""),"3 mos")</f>
        <v>3 mos</v>
      </c>
      <c r="H643" s="1" t="str">
        <f>IFERROR(__xludf.DUMMYFUNCTION("""COMPUTED_VALUE"""),"reply")</f>
        <v>reply</v>
      </c>
      <c r="I643"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3" s="1" t="str">
        <f>IFERROR(__xludf.DUMMYFUNCTION("""COMPUTED_VALUE"""),"2022-07-04T11:14:45.502Z")</f>
        <v>2022-07-04T11:14:45.502Z</v>
      </c>
      <c r="K643" s="1"/>
    </row>
    <row r="644">
      <c r="A644" s="2" t="str">
        <f>IFERROR(__xludf.DUMMYFUNCTION("""COMPUTED_VALUE"""),"https://www.facebook.com/MrAndMrs.AlRenchie.Jumat")</f>
        <v>https://www.facebook.com/MrAndMrs.AlRenchie.Jumat</v>
      </c>
      <c r="B644" s="1" t="str">
        <f>IFERROR(__xludf.DUMMYFUNCTION("""COMPUTED_VALUE"""),"AL DC Jumat")</f>
        <v>AL DC Jumat</v>
      </c>
      <c r="C644" s="1" t="str">
        <f>IFERROR(__xludf.DUMMYFUNCTION("""COMPUTED_VALUE"""),"AL")</f>
        <v>AL</v>
      </c>
      <c r="D644" s="1" t="str">
        <f>IFERROR(__xludf.DUMMYFUNCTION("""COMPUTED_VALUE"""),"DC Jumat")</f>
        <v>DC Jumat</v>
      </c>
      <c r="E644" s="1" t="str">
        <f>IFERROR(__xludf.DUMMYFUNCTION("""COMPUTED_VALUE"""),"Arne Lopez abno tondo yun away kabataan...hahahahaha wala ka naman alam... Sa bagay libre mag mangarap😂😂😂")</f>
        <v>Arne Lopez abno tondo yun away kabataan...hahahahaha wala ka naman alam... Sa bagay libre mag mangarap😂😂😂</v>
      </c>
      <c r="F644" s="1"/>
      <c r="G644" s="1" t="str">
        <f>IFERROR(__xludf.DUMMYFUNCTION("""COMPUTED_VALUE"""),"3 mos")</f>
        <v>3 mos</v>
      </c>
      <c r="H644" s="1" t="str">
        <f>IFERROR(__xludf.DUMMYFUNCTION("""COMPUTED_VALUE"""),"reply")</f>
        <v>reply</v>
      </c>
      <c r="I644"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4" s="1" t="str">
        <f>IFERROR(__xludf.DUMMYFUNCTION("""COMPUTED_VALUE"""),"2022-07-04T11:14:45.502Z")</f>
        <v>2022-07-04T11:14:45.502Z</v>
      </c>
      <c r="K644" s="1"/>
    </row>
    <row r="645">
      <c r="A645" s="2" t="str">
        <f>IFERROR(__xludf.DUMMYFUNCTION("""COMPUTED_VALUE"""),"https://www.facebook.com/ADATL02")</f>
        <v>https://www.facebook.com/ADATL02</v>
      </c>
      <c r="B645" s="1" t="str">
        <f>IFERROR(__xludf.DUMMYFUNCTION("""COMPUTED_VALUE"""),"AudeAr Lopez")</f>
        <v>AudeAr Lopez</v>
      </c>
      <c r="C645" s="1" t="str">
        <f>IFERROR(__xludf.DUMMYFUNCTION("""COMPUTED_VALUE"""),"AudeAr")</f>
        <v>AudeAr</v>
      </c>
      <c r="D645" s="1" t="str">
        <f>IFERROR(__xludf.DUMMYFUNCTION("""COMPUTED_VALUE"""),"Lopez")</f>
        <v>Lopez</v>
      </c>
      <c r="E645" s="1" t="str">
        <f>IFERROR(__xludf.DUMMYFUNCTION("""COMPUTED_VALUE"""),"AL DC Jumat wag mo nang ipagtanggol ang nangyari...kahit wala ako dun..simple...magulo kayo!")</f>
        <v>AL DC Jumat wag mo nang ipagtanggol ang nangyari...kahit wala ako dun..simple...magulo kayo!</v>
      </c>
      <c r="F645" s="1">
        <f>IFERROR(__xludf.DUMMYFUNCTION("""COMPUTED_VALUE"""),1.0)</f>
        <v>1</v>
      </c>
      <c r="G645" s="1" t="str">
        <f>IFERROR(__xludf.DUMMYFUNCTION("""COMPUTED_VALUE"""),"3 mos")</f>
        <v>3 mos</v>
      </c>
      <c r="H645" s="1" t="str">
        <f>IFERROR(__xludf.DUMMYFUNCTION("""COMPUTED_VALUE"""),"reply")</f>
        <v>reply</v>
      </c>
      <c r="I645"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5" s="1" t="str">
        <f>IFERROR(__xludf.DUMMYFUNCTION("""COMPUTED_VALUE"""),"2022-07-04T11:14:45.502Z")</f>
        <v>2022-07-04T11:14:45.502Z</v>
      </c>
      <c r="K645" s="1"/>
    </row>
    <row r="646">
      <c r="A646" s="2" t="str">
        <f>IFERROR(__xludf.DUMMYFUNCTION("""COMPUTED_VALUE"""),"https://www.facebook.com/ADATL02")</f>
        <v>https://www.facebook.com/ADATL02</v>
      </c>
      <c r="B646" s="1" t="str">
        <f>IFERROR(__xludf.DUMMYFUNCTION("""COMPUTED_VALUE"""),"AudeAr Lopez")</f>
        <v>AudeAr Lopez</v>
      </c>
      <c r="C646" s="1" t="str">
        <f>IFERROR(__xludf.DUMMYFUNCTION("""COMPUTED_VALUE"""),"AudeAr")</f>
        <v>AudeAr</v>
      </c>
      <c r="D646" s="1" t="str">
        <f>IFERROR(__xludf.DUMMYFUNCTION("""COMPUTED_VALUE"""),"Lopez")</f>
        <v>Lopez</v>
      </c>
      <c r="E646" s="1" t="str">
        <f>IFERROR(__xludf.DUMMYFUNCTION("""COMPUTED_VALUE"""),"AL DC Jumat this how you guys do it!!!..https://fb.watch/b-vFavfkMP/")</f>
        <v>AL DC Jumat this how you guys do it!!!..https://fb.watch/b-vFavfkMP/</v>
      </c>
      <c r="F646" s="1"/>
      <c r="G646" s="1" t="str">
        <f>IFERROR(__xludf.DUMMYFUNCTION("""COMPUTED_VALUE"""),"March 26 at 2:12 PM")</f>
        <v>March 26 at 2:12 PM</v>
      </c>
      <c r="H646" s="1" t="str">
        <f>IFERROR(__xludf.DUMMYFUNCTION("""COMPUTED_VALUE"""),"reply")</f>
        <v>reply</v>
      </c>
      <c r="I646"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6" s="1" t="str">
        <f>IFERROR(__xludf.DUMMYFUNCTION("""COMPUTED_VALUE"""),"2022-07-04T11:14:45.502Z")</f>
        <v>2022-07-04T11:14:45.502Z</v>
      </c>
      <c r="K646" s="1"/>
    </row>
    <row r="647">
      <c r="A647" s="2" t="str">
        <f>IFERROR(__xludf.DUMMYFUNCTION("""COMPUTED_VALUE"""),"https://www.facebook.com/marialucresia.laureno.1")</f>
        <v>https://www.facebook.com/marialucresia.laureno.1</v>
      </c>
      <c r="B647" s="1" t="str">
        <f>IFERROR(__xludf.DUMMYFUNCTION("""COMPUTED_VALUE"""),"Villarin Laureno")</f>
        <v>Villarin Laureno</v>
      </c>
      <c r="C647" s="1" t="str">
        <f>IFERROR(__xludf.DUMMYFUNCTION("""COMPUTED_VALUE"""),"Villarin")</f>
        <v>Villarin</v>
      </c>
      <c r="D647" s="1" t="str">
        <f>IFERROR(__xludf.DUMMYFUNCTION("""COMPUTED_VALUE"""),"Laureno")</f>
        <v>Laureno</v>
      </c>
      <c r="E647" s="1" t="str">
        <f>IFERROR(__xludf.DUMMYFUNCTION("""COMPUTED_VALUE"""),"ano yan alitaptap😁😁😁😁😁")</f>
        <v>ano yan alitaptap😁😁😁😁😁</v>
      </c>
      <c r="F647" s="1">
        <f>IFERROR(__xludf.DUMMYFUNCTION("""COMPUTED_VALUE"""),2.0)</f>
        <v>2</v>
      </c>
      <c r="G647" s="1" t="str">
        <f>IFERROR(__xludf.DUMMYFUNCTION("""COMPUTED_VALUE"""),"3 mos")</f>
        <v>3 mos</v>
      </c>
      <c r="H647" s="1" t="str">
        <f>IFERROR(__xludf.DUMMYFUNCTION("""COMPUTED_VALUE"""),"comment")</f>
        <v>comment</v>
      </c>
      <c r="I647"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7" s="1" t="str">
        <f>IFERROR(__xludf.DUMMYFUNCTION("""COMPUTED_VALUE"""),"2022-07-04T11:14:45.502Z")</f>
        <v>2022-07-04T11:14:45.502Z</v>
      </c>
      <c r="K647" s="1"/>
    </row>
    <row r="648">
      <c r="A648" s="2" t="str">
        <f>IFERROR(__xludf.DUMMYFUNCTION("""COMPUTED_VALUE"""),"https://www.facebook.com/nora.valenzuela.96742")</f>
        <v>https://www.facebook.com/nora.valenzuela.96742</v>
      </c>
      <c r="B648" s="1" t="str">
        <f>IFERROR(__xludf.DUMMYFUNCTION("""COMPUTED_VALUE"""),"Nora Valenzuela")</f>
        <v>Nora Valenzuela</v>
      </c>
      <c r="C648" s="1" t="str">
        <f>IFERROR(__xludf.DUMMYFUNCTION("""COMPUTED_VALUE"""),"Nora")</f>
        <v>Nora</v>
      </c>
      <c r="D648" s="1" t="str">
        <f>IFERROR(__xludf.DUMMYFUNCTION("""COMPUTED_VALUE"""),"Valenzuela")</f>
        <v>Valenzuela</v>
      </c>
      <c r="E648" s="1" t="str">
        <f>IFERROR(__xludf.DUMMYFUNCTION("""COMPUTED_VALUE"""),"Villarin Laureno opo sawa na sa lobo at sibuyas")</f>
        <v>Villarin Laureno opo sawa na sa lobo at sibuyas</v>
      </c>
      <c r="F648" s="1">
        <f>IFERROR(__xludf.DUMMYFUNCTION("""COMPUTED_VALUE"""),4.0)</f>
        <v>4</v>
      </c>
      <c r="G648" s="1" t="str">
        <f>IFERROR(__xludf.DUMMYFUNCTION("""COMPUTED_VALUE"""),"3 mos")</f>
        <v>3 mos</v>
      </c>
      <c r="H648" s="1" t="str">
        <f>IFERROR(__xludf.DUMMYFUNCTION("""COMPUTED_VALUE"""),"reply")</f>
        <v>reply</v>
      </c>
      <c r="I648"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8" s="1" t="str">
        <f>IFERROR(__xludf.DUMMYFUNCTION("""COMPUTED_VALUE"""),"2022-07-04T11:14:45.502Z")</f>
        <v>2022-07-04T11:14:45.502Z</v>
      </c>
      <c r="K648" s="1"/>
    </row>
    <row r="649">
      <c r="A649" s="2" t="str">
        <f>IFERROR(__xludf.DUMMYFUNCTION("""COMPUTED_VALUE"""),"https://www.facebook.com/profile.php?id=100075281044190")</f>
        <v>https://www.facebook.com/profile.php?id=100075281044190</v>
      </c>
      <c r="B649" s="1" t="str">
        <f>IFERROR(__xludf.DUMMYFUNCTION("""COMPUTED_VALUE"""),"Letty Flores")</f>
        <v>Letty Flores</v>
      </c>
      <c r="C649" s="1" t="str">
        <f>IFERROR(__xludf.DUMMYFUNCTION("""COMPUTED_VALUE"""),"Letty")</f>
        <v>Letty</v>
      </c>
      <c r="D649" s="1" t="str">
        <f>IFERROR(__xludf.DUMMYFUNCTION("""COMPUTED_VALUE"""),"Flores")</f>
        <v>Flores</v>
      </c>
      <c r="E649" s="1" t="str">
        <f>IFERROR(__xludf.DUMMYFUNCTION("""COMPUTED_VALUE"""),"NO RA Hahhaha mga desperado,dami qng tawa sa inyo!!🤣🤣🤣")</f>
        <v>NO RA Hahhaha mga desperado,dami qng tawa sa inyo!!🤣🤣🤣</v>
      </c>
      <c r="F649" s="1"/>
      <c r="G649" s="1" t="str">
        <f>IFERROR(__xludf.DUMMYFUNCTION("""COMPUTED_VALUE"""),"3 mos")</f>
        <v>3 mos</v>
      </c>
      <c r="H649" s="1" t="str">
        <f>IFERROR(__xludf.DUMMYFUNCTION("""COMPUTED_VALUE"""),"reply")</f>
        <v>reply</v>
      </c>
      <c r="I649"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49" s="1" t="str">
        <f>IFERROR(__xludf.DUMMYFUNCTION("""COMPUTED_VALUE"""),"2022-07-04T11:14:45.502Z")</f>
        <v>2022-07-04T11:14:45.502Z</v>
      </c>
      <c r="K649" s="1"/>
    </row>
    <row r="650">
      <c r="A650" s="2" t="str">
        <f>IFERROR(__xludf.DUMMYFUNCTION("""COMPUTED_VALUE"""),"https://www.facebook.com/karl.andrei.921")</f>
        <v>https://www.facebook.com/karl.andrei.921</v>
      </c>
      <c r="B650" s="1" t="str">
        <f>IFERROR(__xludf.DUMMYFUNCTION("""COMPUTED_VALUE"""),"Karl Andrei Razon")</f>
        <v>Karl Andrei Razon</v>
      </c>
      <c r="C650" s="1" t="str">
        <f>IFERROR(__xludf.DUMMYFUNCTION("""COMPUTED_VALUE"""),"Karl")</f>
        <v>Karl</v>
      </c>
      <c r="D650" s="1" t="str">
        <f>IFERROR(__xludf.DUMMYFUNCTION("""COMPUTED_VALUE"""),"Andrei Razon")</f>
        <v>Andrei Razon</v>
      </c>
      <c r="E650" s="1" t="str">
        <f>IFERROR(__xludf.DUMMYFUNCTION("""COMPUTED_VALUE"""),"Villarin Laureno oo, yung sainyo kasi langaw")</f>
        <v>Villarin Laureno oo, yung sainyo kasi langaw</v>
      </c>
      <c r="F650" s="1"/>
      <c r="G650" s="1" t="str">
        <f>IFERROR(__xludf.DUMMYFUNCTION("""COMPUTED_VALUE"""),"3 mos")</f>
        <v>3 mos</v>
      </c>
      <c r="H650" s="1" t="str">
        <f>IFERROR(__xludf.DUMMYFUNCTION("""COMPUTED_VALUE"""),"reply")</f>
        <v>reply</v>
      </c>
      <c r="I650"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50" s="1" t="str">
        <f>IFERROR(__xludf.DUMMYFUNCTION("""COMPUTED_VALUE"""),"2022-07-04T11:14:45.502Z")</f>
        <v>2022-07-04T11:14:45.502Z</v>
      </c>
      <c r="K650" s="1"/>
    </row>
    <row r="651">
      <c r="A651" s="2" t="str">
        <f>IFERROR(__xludf.DUMMYFUNCTION("""COMPUTED_VALUE"""),"https://www.facebook.com/nora.valenzuela.96742")</f>
        <v>https://www.facebook.com/nora.valenzuela.96742</v>
      </c>
      <c r="B651" s="1" t="str">
        <f>IFERROR(__xludf.DUMMYFUNCTION("""COMPUTED_VALUE"""),"Nora Valenzuela")</f>
        <v>Nora Valenzuela</v>
      </c>
      <c r="C651" s="1" t="str">
        <f>IFERROR(__xludf.DUMMYFUNCTION("""COMPUTED_VALUE"""),"Nora")</f>
        <v>Nora</v>
      </c>
      <c r="D651" s="1" t="str">
        <f>IFERROR(__xludf.DUMMYFUNCTION("""COMPUTED_VALUE"""),"Valenzuela")</f>
        <v>Valenzuela</v>
      </c>
      <c r="E651" s="1" t="str">
        <f>IFERROR(__xludf.DUMMYFUNCTION("""COMPUTED_VALUE"""),"Letty Flores d po kami.desperado sila ang nag tatanong kung mga alitaptap kaya sunagot opo , hinahanap namin yoong maraming nasa dilim para po maliwanagan sila at makapag siyasat wag mag pa budol ,.God bless po")</f>
        <v>Letty Flores d po kami.desperado sila ang nag tatanong kung mga alitaptap kaya sunagot opo , hinahanap namin yoong maraming nasa dilim para po maliwanagan sila at makapag siyasat wag mag pa budol ,.God bless po</v>
      </c>
      <c r="F651" s="1"/>
      <c r="G651" s="1" t="str">
        <f>IFERROR(__xludf.DUMMYFUNCTION("""COMPUTED_VALUE"""),"3 mos")</f>
        <v>3 mos</v>
      </c>
      <c r="H651" s="1" t="str">
        <f>IFERROR(__xludf.DUMMYFUNCTION("""COMPUTED_VALUE"""),"reply")</f>
        <v>reply</v>
      </c>
      <c r="I651"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51" s="1" t="str">
        <f>IFERROR(__xludf.DUMMYFUNCTION("""COMPUTED_VALUE"""),"2022-07-04T11:14:45.502Z")</f>
        <v>2022-07-04T11:14:45.502Z</v>
      </c>
      <c r="K651" s="1"/>
    </row>
    <row r="652">
      <c r="A652" s="2" t="str">
        <f>IFERROR(__xludf.DUMMYFUNCTION("""COMPUTED_VALUE"""),"https://www.facebook.com/Aprilche888")</f>
        <v>https://www.facebook.com/Aprilche888</v>
      </c>
      <c r="B652" s="1" t="str">
        <f>IFERROR(__xludf.DUMMYFUNCTION("""COMPUTED_VALUE"""),"Che Rry")</f>
        <v>Che Rry</v>
      </c>
      <c r="C652" s="1" t="str">
        <f>IFERROR(__xludf.DUMMYFUNCTION("""COMPUTED_VALUE"""),"Che")</f>
        <v>Che</v>
      </c>
      <c r="D652" s="1" t="str">
        <f>IFERROR(__xludf.DUMMYFUNCTION("""COMPUTED_VALUE"""),"Rry")</f>
        <v>Rry</v>
      </c>
      <c r="E652" s="1" t="str">
        <f>IFERROR(__xludf.DUMMYFUNCTION("""COMPUTED_VALUE"""),"Che Rry")</f>
        <v>Che Rry</v>
      </c>
      <c r="F652" s="1">
        <f>IFERROR(__xludf.DUMMYFUNCTION("""COMPUTED_VALUE"""),7.0)</f>
        <v>7</v>
      </c>
      <c r="G652" s="1" t="str">
        <f>IFERROR(__xludf.DUMMYFUNCTION("""COMPUTED_VALUE"""),"3 mos")</f>
        <v>3 mos</v>
      </c>
      <c r="H652" s="1" t="str">
        <f>IFERROR(__xludf.DUMMYFUNCTION("""COMPUTED_VALUE"""),"comment")</f>
        <v>comment</v>
      </c>
      <c r="I652"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52" s="1" t="str">
        <f>IFERROR(__xludf.DUMMYFUNCTION("""COMPUTED_VALUE"""),"2022-07-04T11:14:45.502Z")</f>
        <v>2022-07-04T11:14:45.502Z</v>
      </c>
      <c r="K652" s="1"/>
    </row>
    <row r="653">
      <c r="A653" s="2" t="str">
        <f>IFERROR(__xludf.DUMMYFUNCTION("""COMPUTED_VALUE"""),"https://www.facebook.com/profile.php?id=100060712852407")</f>
        <v>https://www.facebook.com/profile.php?id=100060712852407</v>
      </c>
      <c r="B653" s="1" t="str">
        <f>IFERROR(__xludf.DUMMYFUNCTION("""COMPUTED_VALUE"""),"Bautista Lorraine Lara")</f>
        <v>Bautista Lorraine Lara</v>
      </c>
      <c r="C653" s="1" t="str">
        <f>IFERROR(__xludf.DUMMYFUNCTION("""COMPUTED_VALUE"""),"Bautista")</f>
        <v>Bautista</v>
      </c>
      <c r="D653" s="1" t="str">
        <f>IFERROR(__xludf.DUMMYFUNCTION("""COMPUTED_VALUE"""),"Lorraine Lara")</f>
        <v>Lorraine Lara</v>
      </c>
      <c r="E653" s="1" t="str">
        <f>IFERROR(__xludf.DUMMYFUNCTION("""COMPUTED_VALUE"""),"MIND CONDITIONER LANG ANG PEG NILA.")</f>
        <v>MIND CONDITIONER LANG ANG PEG NILA.</v>
      </c>
      <c r="F653" s="1">
        <f>IFERROR(__xludf.DUMMYFUNCTION("""COMPUTED_VALUE"""),1.0)</f>
        <v>1</v>
      </c>
      <c r="G653" s="1" t="str">
        <f>IFERROR(__xludf.DUMMYFUNCTION("""COMPUTED_VALUE"""),"3 mos")</f>
        <v>3 mos</v>
      </c>
      <c r="H653" s="1" t="str">
        <f>IFERROR(__xludf.DUMMYFUNCTION("""COMPUTED_VALUE"""),"comment")</f>
        <v>comment</v>
      </c>
      <c r="I653"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53" s="1" t="str">
        <f>IFERROR(__xludf.DUMMYFUNCTION("""COMPUTED_VALUE"""),"2022-07-04T11:14:45.502Z")</f>
        <v>2022-07-04T11:14:45.502Z</v>
      </c>
      <c r="K653" s="1"/>
    </row>
    <row r="654">
      <c r="A654" s="2" t="str">
        <f>IFERROR(__xludf.DUMMYFUNCTION("""COMPUTED_VALUE"""),"https://www.facebook.com/pablo.jobs")</f>
        <v>https://www.facebook.com/pablo.jobs</v>
      </c>
      <c r="B654" s="1" t="str">
        <f>IFERROR(__xludf.DUMMYFUNCTION("""COMPUTED_VALUE"""),"Pablo Jobs")</f>
        <v>Pablo Jobs</v>
      </c>
      <c r="C654" s="1" t="str">
        <f>IFERROR(__xludf.DUMMYFUNCTION("""COMPUTED_VALUE"""),"Pablo")</f>
        <v>Pablo</v>
      </c>
      <c r="D654" s="1" t="str">
        <f>IFERROR(__xludf.DUMMYFUNCTION("""COMPUTED_VALUE"""),"Jobs")</f>
        <v>Jobs</v>
      </c>
      <c r="E654" s="1" t="str">
        <f>IFERROR(__xludf.DUMMYFUNCTION("""COMPUTED_VALUE"""),"Bautista Lorraine Lara ikaw walang mind")</f>
        <v>Bautista Lorraine Lara ikaw walang mind</v>
      </c>
      <c r="F654" s="1">
        <f>IFERROR(__xludf.DUMMYFUNCTION("""COMPUTED_VALUE"""),1.0)</f>
        <v>1</v>
      </c>
      <c r="G654" s="1" t="str">
        <f>IFERROR(__xludf.DUMMYFUNCTION("""COMPUTED_VALUE"""),"3 mos")</f>
        <v>3 mos</v>
      </c>
      <c r="H654" s="1" t="str">
        <f>IFERROR(__xludf.DUMMYFUNCTION("""COMPUTED_VALUE"""),"reply")</f>
        <v>reply</v>
      </c>
      <c r="I654"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54" s="1" t="str">
        <f>IFERROR(__xludf.DUMMYFUNCTION("""COMPUTED_VALUE"""),"2022-07-04T11:14:45.502Z")</f>
        <v>2022-07-04T11:14:45.502Z</v>
      </c>
      <c r="K654" s="1"/>
    </row>
    <row r="655">
      <c r="A655" s="2" t="str">
        <f>IFERROR(__xludf.DUMMYFUNCTION("""COMPUTED_VALUE"""),"https://www.facebook.com/israelflores.acesheart")</f>
        <v>https://www.facebook.com/israelflores.acesheart</v>
      </c>
      <c r="B655" s="1" t="str">
        <f>IFERROR(__xludf.DUMMYFUNCTION("""COMPUTED_VALUE"""),"Israel Flores")</f>
        <v>Israel Flores</v>
      </c>
      <c r="C655" s="1" t="str">
        <f>IFERROR(__xludf.DUMMYFUNCTION("""COMPUTED_VALUE"""),"Israel")</f>
        <v>Israel</v>
      </c>
      <c r="D655" s="1" t="str">
        <f>IFERROR(__xludf.DUMMYFUNCTION("""COMPUTED_VALUE"""),"Flores")</f>
        <v>Flores</v>
      </c>
      <c r="E655" s="1" t="str">
        <f>IFERROR(__xludf.DUMMYFUNCTION("""COMPUTED_VALUE"""),"Kitang Kita Ang dilim Ang dami nga daming alitap tap 😂😂😂")</f>
        <v>Kitang Kita Ang dilim Ang dami nga daming alitap tap 😂😂😂</v>
      </c>
      <c r="F655" s="1">
        <f>IFERROR(__xludf.DUMMYFUNCTION("""COMPUTED_VALUE"""),2.0)</f>
        <v>2</v>
      </c>
      <c r="G655" s="1" t="str">
        <f>IFERROR(__xludf.DUMMYFUNCTION("""COMPUTED_VALUE"""),"3 mos")</f>
        <v>3 mos</v>
      </c>
      <c r="H655" s="1" t="str">
        <f>IFERROR(__xludf.DUMMYFUNCTION("""COMPUTED_VALUE"""),"comment")</f>
        <v>comment</v>
      </c>
      <c r="I655" s="2" t="str">
        <f>IFERROR(__xludf.DUMMYFUNCTION("""COMPUTED_VALUE"""),"https://www.facebook.com/rapplerdotcom/posts/pfbid023goEfA6e1ABSWYJFy8fQ5LFWDv4QTSTmAfzySGtMSpy12iqywB2MUZjiZ8GjCxrGl")</f>
        <v>https://www.facebook.com/rapplerdotcom/posts/pfbid023goEfA6e1ABSWYJFy8fQ5LFWDv4QTSTmAfzySGtMSpy12iqywB2MUZjiZ8GjCxrGl</v>
      </c>
      <c r="J655" s="1" t="str">
        <f>IFERROR(__xludf.DUMMYFUNCTION("""COMPUTED_VALUE"""),"2022-07-04T11:14:45.502Z")</f>
        <v>2022-07-04T11:14:45.502Z</v>
      </c>
      <c r="K655" s="1"/>
    </row>
    <row r="656">
      <c r="A656" s="2" t="str">
        <f>IFERROR(__xludf.DUMMYFUNCTION("""COMPUTED_VALUE"""),"https://www.facebook.com/profile.php?id=100071438692260")</f>
        <v>https://www.facebook.com/profile.php?id=100071438692260</v>
      </c>
      <c r="B656" s="1" t="str">
        <f>IFERROR(__xludf.DUMMYFUNCTION("""COMPUTED_VALUE"""),"M.A. Partoza")</f>
        <v>M.A. Partoza</v>
      </c>
      <c r="C656" s="1" t="str">
        <f>IFERROR(__xludf.DUMMYFUNCTION("""COMPUTED_VALUE"""),"M.A.")</f>
        <v>M.A.</v>
      </c>
      <c r="D656" s="1" t="str">
        <f>IFERROR(__xludf.DUMMYFUNCTION("""COMPUTED_VALUE"""),"Partoza")</f>
        <v>Partoza</v>
      </c>
      <c r="E656" s="1" t="str">
        <f>IFERROR(__xludf.DUMMYFUNCTION("""COMPUTED_VALUE"""),"Insatiable greed for power and money. God have mercy on their souls. 🙏🙏🙏")</f>
        <v>Insatiable greed for power and money. God have mercy on their souls. 🙏🙏🙏</v>
      </c>
      <c r="F656" s="1">
        <f>IFERROR(__xludf.DUMMYFUNCTION("""COMPUTED_VALUE"""),22.0)</f>
        <v>22</v>
      </c>
      <c r="G656" s="1" t="str">
        <f>IFERROR(__xludf.DUMMYFUNCTION("""COMPUTED_VALUE"""),"3 mos")</f>
        <v>3 mos</v>
      </c>
      <c r="H656" s="1" t="str">
        <f>IFERROR(__xludf.DUMMYFUNCTION("""COMPUTED_VALUE"""),"comment")</f>
        <v>comment</v>
      </c>
      <c r="I656" s="2" t="str">
        <f>IFERROR(__xludf.DUMMYFUNCTION("""COMPUTED_VALUE"""),"https://www.facebook.com/rapplerdotcom/photos/a.317154781638645/5597116770309060/")</f>
        <v>https://www.facebook.com/rapplerdotcom/photos/a.317154781638645/5597116770309060/</v>
      </c>
      <c r="J656" s="1" t="str">
        <f>IFERROR(__xludf.DUMMYFUNCTION("""COMPUTED_VALUE"""),"2022-07-04T11:15:29.862Z")</f>
        <v>2022-07-04T11:15:29.862Z</v>
      </c>
      <c r="K656" s="1"/>
    </row>
    <row r="657">
      <c r="A657" s="2" t="str">
        <f>IFERROR(__xludf.DUMMYFUNCTION("""COMPUTED_VALUE"""),"https://www.facebook.com/giljrmiranda")</f>
        <v>https://www.facebook.com/giljrmiranda</v>
      </c>
      <c r="B657" s="1" t="str">
        <f>IFERROR(__xludf.DUMMYFUNCTION("""COMPUTED_VALUE"""),"Gil Miranda Jr")</f>
        <v>Gil Miranda Jr</v>
      </c>
      <c r="C657" s="1" t="str">
        <f>IFERROR(__xludf.DUMMYFUNCTION("""COMPUTED_VALUE"""),"Gil")</f>
        <v>Gil</v>
      </c>
      <c r="D657" s="1" t="str">
        <f>IFERROR(__xludf.DUMMYFUNCTION("""COMPUTED_VALUE"""),"Miranda Jr")</f>
        <v>Miranda Jr</v>
      </c>
      <c r="E657" s="1" t="str">
        <f>IFERROR(__xludf.DUMMYFUNCTION("""COMPUTED_VALUE"""),"M.A. Partoza yung mga tao bang ganid, walang awa kung pumatay. Di ba may kasabihan tayo na “ Wala kang Kaluluwa”. Just saying.")</f>
        <v>M.A. Partoza yung mga tao bang ganid, walang awa kung pumatay. Di ba may kasabihan tayo na “ Wala kang Kaluluwa”. Just saying.</v>
      </c>
      <c r="F657" s="1"/>
      <c r="G657" s="1" t="str">
        <f>IFERROR(__xludf.DUMMYFUNCTION("""COMPUTED_VALUE"""),"3 mos")</f>
        <v>3 mos</v>
      </c>
      <c r="H657" s="1" t="str">
        <f>IFERROR(__xludf.DUMMYFUNCTION("""COMPUTED_VALUE"""),"reply")</f>
        <v>reply</v>
      </c>
      <c r="I657" s="2" t="str">
        <f>IFERROR(__xludf.DUMMYFUNCTION("""COMPUTED_VALUE"""),"https://www.facebook.com/rapplerdotcom/photos/a.317154781638645/5597116770309060/")</f>
        <v>https://www.facebook.com/rapplerdotcom/photos/a.317154781638645/5597116770309060/</v>
      </c>
      <c r="J657" s="1" t="str">
        <f>IFERROR(__xludf.DUMMYFUNCTION("""COMPUTED_VALUE"""),"2022-07-04T11:15:29.862Z")</f>
        <v>2022-07-04T11:15:29.862Z</v>
      </c>
      <c r="K657" s="1"/>
    </row>
    <row r="658">
      <c r="A658" s="2" t="str">
        <f>IFERROR(__xludf.DUMMYFUNCTION("""COMPUTED_VALUE"""),"https://www.facebook.com/lou.arsenio")</f>
        <v>https://www.facebook.com/lou.arsenio</v>
      </c>
      <c r="B658" s="1" t="str">
        <f>IFERROR(__xludf.DUMMYFUNCTION("""COMPUTED_VALUE"""),"Lou Arsenio")</f>
        <v>Lou Arsenio</v>
      </c>
      <c r="C658" s="1" t="str">
        <f>IFERROR(__xludf.DUMMYFUNCTION("""COMPUTED_VALUE"""),"Lou")</f>
        <v>Lou</v>
      </c>
      <c r="D658" s="1" t="str">
        <f>IFERROR(__xludf.DUMMYFUNCTION("""COMPUTED_VALUE"""),"Arsenio")</f>
        <v>Arsenio</v>
      </c>
      <c r="E658" s="1" t="str">
        <f>IFERROR(__xludf.DUMMYFUNCTION("""COMPUTED_VALUE"""),"Ilocanos should already stop the marcoses political dynasties.. same in other cities and provinces!  Let young people not belonging to a political dynasty .. the likes of Vico Soto be given space in local politics..")</f>
        <v>Ilocanos should already stop the marcoses political dynasties.. same in other cities and provinces!  Let young people not belonging to a political dynasty .. the likes of Vico Soto be given space in local politics..</v>
      </c>
      <c r="F658" s="1">
        <f>IFERROR(__xludf.DUMMYFUNCTION("""COMPUTED_VALUE"""),114.0)</f>
        <v>114</v>
      </c>
      <c r="G658" s="1" t="str">
        <f>IFERROR(__xludf.DUMMYFUNCTION("""COMPUTED_VALUE"""),"3 mos")</f>
        <v>3 mos</v>
      </c>
      <c r="H658" s="1" t="str">
        <f>IFERROR(__xludf.DUMMYFUNCTION("""COMPUTED_VALUE"""),"comment")</f>
        <v>comment</v>
      </c>
      <c r="I658" s="2" t="str">
        <f>IFERROR(__xludf.DUMMYFUNCTION("""COMPUTED_VALUE"""),"https://www.facebook.com/rapplerdotcom/photos/a.317154781638645/5597116770309060/")</f>
        <v>https://www.facebook.com/rapplerdotcom/photos/a.317154781638645/5597116770309060/</v>
      </c>
      <c r="J658" s="1" t="str">
        <f>IFERROR(__xludf.DUMMYFUNCTION("""COMPUTED_VALUE"""),"2022-07-04T11:15:29.862Z")</f>
        <v>2022-07-04T11:15:29.862Z</v>
      </c>
      <c r="K658" s="1"/>
    </row>
    <row r="659">
      <c r="A659" s="2" t="str">
        <f>IFERROR(__xludf.DUMMYFUNCTION("""COMPUTED_VALUE"""),"https://www.facebook.com/ronilo.tamares.5")</f>
        <v>https://www.facebook.com/ronilo.tamares.5</v>
      </c>
      <c r="B659" s="1" t="str">
        <f>IFERROR(__xludf.DUMMYFUNCTION("""COMPUTED_VALUE"""),"Ronilo Tamares")</f>
        <v>Ronilo Tamares</v>
      </c>
      <c r="C659" s="1" t="str">
        <f>IFERROR(__xludf.DUMMYFUNCTION("""COMPUTED_VALUE"""),"Ronilo")</f>
        <v>Ronilo</v>
      </c>
      <c r="D659" s="1" t="str">
        <f>IFERROR(__xludf.DUMMYFUNCTION("""COMPUTED_VALUE"""),"Tamares")</f>
        <v>Tamares</v>
      </c>
      <c r="E659" s="1" t="str">
        <f>IFERROR(__xludf.DUMMYFUNCTION("""COMPUTED_VALUE"""),"Lou Arsenio sugpuin")</f>
        <v>Lou Arsenio sugpuin</v>
      </c>
      <c r="F659" s="1"/>
      <c r="G659" s="1" t="str">
        <f>IFERROR(__xludf.DUMMYFUNCTION("""COMPUTED_VALUE"""),"3 mos")</f>
        <v>3 mos</v>
      </c>
      <c r="H659" s="1" t="str">
        <f>IFERROR(__xludf.DUMMYFUNCTION("""COMPUTED_VALUE"""),"reply")</f>
        <v>reply</v>
      </c>
      <c r="I659" s="2" t="str">
        <f>IFERROR(__xludf.DUMMYFUNCTION("""COMPUTED_VALUE"""),"https://www.facebook.com/rapplerdotcom/photos/a.317154781638645/5597116770309060/")</f>
        <v>https://www.facebook.com/rapplerdotcom/photos/a.317154781638645/5597116770309060/</v>
      </c>
      <c r="J659" s="1" t="str">
        <f>IFERROR(__xludf.DUMMYFUNCTION("""COMPUTED_VALUE"""),"2022-07-04T11:15:29.862Z")</f>
        <v>2022-07-04T11:15:29.862Z</v>
      </c>
      <c r="K659" s="1"/>
    </row>
    <row r="660">
      <c r="A660" s="2" t="str">
        <f>IFERROR(__xludf.DUMMYFUNCTION("""COMPUTED_VALUE"""),"https://www.facebook.com/sol.reas")</f>
        <v>https://www.facebook.com/sol.reas</v>
      </c>
      <c r="B660" s="1" t="str">
        <f>IFERROR(__xludf.DUMMYFUNCTION("""COMPUTED_VALUE"""),"Sol Catalasan Reas")</f>
        <v>Sol Catalasan Reas</v>
      </c>
      <c r="C660" s="1" t="str">
        <f>IFERROR(__xludf.DUMMYFUNCTION("""COMPUTED_VALUE"""),"Sol")</f>
        <v>Sol</v>
      </c>
      <c r="D660" s="1" t="str">
        <f>IFERROR(__xludf.DUMMYFUNCTION("""COMPUTED_VALUE"""),"Catalasan Reas")</f>
        <v>Catalasan Reas</v>
      </c>
      <c r="E660" s="1" t="str">
        <f>IFERROR(__xludf.DUMMYFUNCTION("""COMPUTED_VALUE"""),"Lou Arsenio dynasty din, Tito Soto, the son vice mayor of Quezon City, vico Soto mayor ng pasig")</f>
        <v>Lou Arsenio dynasty din, Tito Soto, the son vice mayor of Quezon City, vico Soto mayor ng pasig</v>
      </c>
      <c r="F660" s="1"/>
      <c r="G660" s="1" t="str">
        <f>IFERROR(__xludf.DUMMYFUNCTION("""COMPUTED_VALUE"""),"3 mos")</f>
        <v>3 mos</v>
      </c>
      <c r="H660" s="1" t="str">
        <f>IFERROR(__xludf.DUMMYFUNCTION("""COMPUTED_VALUE"""),"reply")</f>
        <v>reply</v>
      </c>
      <c r="I660" s="2" t="str">
        <f>IFERROR(__xludf.DUMMYFUNCTION("""COMPUTED_VALUE"""),"https://www.facebook.com/rapplerdotcom/photos/a.317154781638645/5597116770309060/")</f>
        <v>https://www.facebook.com/rapplerdotcom/photos/a.317154781638645/5597116770309060/</v>
      </c>
      <c r="J660" s="1" t="str">
        <f>IFERROR(__xludf.DUMMYFUNCTION("""COMPUTED_VALUE"""),"2022-07-04T11:15:29.862Z")</f>
        <v>2022-07-04T11:15:29.862Z</v>
      </c>
      <c r="K660" s="1"/>
    </row>
    <row r="661">
      <c r="A661" s="2" t="str">
        <f>IFERROR(__xludf.DUMMYFUNCTION("""COMPUTED_VALUE"""),"https://www.facebook.com/sec.anning")</f>
        <v>https://www.facebook.com/sec.anning</v>
      </c>
      <c r="B661" s="1" t="str">
        <f>IFERROR(__xludf.DUMMYFUNCTION("""COMPUTED_VALUE"""),"Oiretsele Etnar Annyram")</f>
        <v>Oiretsele Etnar Annyram</v>
      </c>
      <c r="C661" s="1" t="str">
        <f>IFERROR(__xludf.DUMMYFUNCTION("""COMPUTED_VALUE"""),"Oiretsele")</f>
        <v>Oiretsele</v>
      </c>
      <c r="D661" s="1" t="str">
        <f>IFERROR(__xludf.DUMMYFUNCTION("""COMPUTED_VALUE"""),"Etnar Annyram")</f>
        <v>Etnar Annyram</v>
      </c>
      <c r="E661" s="1" t="str">
        <f>IFERROR(__xludf.DUMMYFUNCTION("""COMPUTED_VALUE"""),"Lou Arsenio simple lng sagot jan.. love kc cl ng mga ilokano kc till now cla prin ang biniboto..")</f>
        <v>Lou Arsenio simple lng sagot jan.. love kc cl ng mga ilokano kc till now cla prin ang biniboto..</v>
      </c>
      <c r="F661" s="1">
        <f>IFERROR(__xludf.DUMMYFUNCTION("""COMPUTED_VALUE"""),1.0)</f>
        <v>1</v>
      </c>
      <c r="G661" s="1" t="str">
        <f>IFERROR(__xludf.DUMMYFUNCTION("""COMPUTED_VALUE"""),"3 mos")</f>
        <v>3 mos</v>
      </c>
      <c r="H661" s="1" t="str">
        <f>IFERROR(__xludf.DUMMYFUNCTION("""COMPUTED_VALUE"""),"reply")</f>
        <v>reply</v>
      </c>
      <c r="I661" s="2" t="str">
        <f>IFERROR(__xludf.DUMMYFUNCTION("""COMPUTED_VALUE"""),"https://www.facebook.com/rapplerdotcom/photos/a.317154781638645/5597116770309060/")</f>
        <v>https://www.facebook.com/rapplerdotcom/photos/a.317154781638645/5597116770309060/</v>
      </c>
      <c r="J661" s="1" t="str">
        <f>IFERROR(__xludf.DUMMYFUNCTION("""COMPUTED_VALUE"""),"2022-07-04T11:15:29.862Z")</f>
        <v>2022-07-04T11:15:29.862Z</v>
      </c>
      <c r="K661" s="1"/>
    </row>
    <row r="662">
      <c r="A662" s="2" t="str">
        <f>IFERROR(__xludf.DUMMYFUNCTION("""COMPUTED_VALUE"""),"https://www.facebook.com/BimBirimBimBim")</f>
        <v>https://www.facebook.com/BimBirimBimBim</v>
      </c>
      <c r="B662" s="1" t="str">
        <f>IFERROR(__xludf.DUMMYFUNCTION("""COMPUTED_VALUE"""),"Bim Rodriguez")</f>
        <v>Bim Rodriguez</v>
      </c>
      <c r="C662" s="1" t="str">
        <f>IFERROR(__xludf.DUMMYFUNCTION("""COMPUTED_VALUE"""),"Bim")</f>
        <v>Bim</v>
      </c>
      <c r="D662" s="1" t="str">
        <f>IFERROR(__xludf.DUMMYFUNCTION("""COMPUTED_VALUE"""),"Rodriguez")</f>
        <v>Rodriguez</v>
      </c>
      <c r="E662" s="1" t="str">
        <f>IFERROR(__xludf.DUMMYFUNCTION("""COMPUTED_VALUE"""),"Oiretsele Etnar Annyram wrong. Unless they don’t have any other choice.")</f>
        <v>Oiretsele Etnar Annyram wrong. Unless they don’t have any other choice.</v>
      </c>
      <c r="F662" s="1">
        <f>IFERROR(__xludf.DUMMYFUNCTION("""COMPUTED_VALUE"""),2.0)</f>
        <v>2</v>
      </c>
      <c r="G662" s="1" t="str">
        <f>IFERROR(__xludf.DUMMYFUNCTION("""COMPUTED_VALUE"""),"3 mos")</f>
        <v>3 mos</v>
      </c>
      <c r="H662" s="1" t="str">
        <f>IFERROR(__xludf.DUMMYFUNCTION("""COMPUTED_VALUE"""),"reply")</f>
        <v>reply</v>
      </c>
      <c r="I662" s="2" t="str">
        <f>IFERROR(__xludf.DUMMYFUNCTION("""COMPUTED_VALUE"""),"https://www.facebook.com/rapplerdotcom/photos/a.317154781638645/5597116770309060/")</f>
        <v>https://www.facebook.com/rapplerdotcom/photos/a.317154781638645/5597116770309060/</v>
      </c>
      <c r="J662" s="1" t="str">
        <f>IFERROR(__xludf.DUMMYFUNCTION("""COMPUTED_VALUE"""),"2022-07-04T11:15:29.862Z")</f>
        <v>2022-07-04T11:15:29.862Z</v>
      </c>
      <c r="K662" s="1"/>
    </row>
    <row r="663">
      <c r="A663" s="2" t="str">
        <f>IFERROR(__xludf.DUMMYFUNCTION("""COMPUTED_VALUE"""),"https://www.facebook.com/sec.anning")</f>
        <v>https://www.facebook.com/sec.anning</v>
      </c>
      <c r="B663" s="1" t="str">
        <f>IFERROR(__xludf.DUMMYFUNCTION("""COMPUTED_VALUE"""),"Oiretsele Etnar Annyram")</f>
        <v>Oiretsele Etnar Annyram</v>
      </c>
      <c r="C663" s="1" t="str">
        <f>IFERROR(__xludf.DUMMYFUNCTION("""COMPUTED_VALUE"""),"Oiretsele")</f>
        <v>Oiretsele</v>
      </c>
      <c r="D663" s="1" t="str">
        <f>IFERROR(__xludf.DUMMYFUNCTION("""COMPUTED_VALUE"""),"Etnar Annyram")</f>
        <v>Etnar Annyram</v>
      </c>
      <c r="E663" s="1" t="str">
        <f>IFERROR(__xludf.DUMMYFUNCTION("""COMPUTED_VALUE"""),"Bim Rodriguez pwede nmn may tumakbong ibang kalaban..kung tlgang ayaw na ng mga tao sa kanila matatalo cla..")</f>
        <v>Bim Rodriguez pwede nmn may tumakbong ibang kalaban..kung tlgang ayaw na ng mga tao sa kanila matatalo cla..</v>
      </c>
      <c r="F663" s="1"/>
      <c r="G663" s="1" t="str">
        <f>IFERROR(__xludf.DUMMYFUNCTION("""COMPUTED_VALUE"""),"3 mos")</f>
        <v>3 mos</v>
      </c>
      <c r="H663" s="1" t="str">
        <f>IFERROR(__xludf.DUMMYFUNCTION("""COMPUTED_VALUE"""),"reply")</f>
        <v>reply</v>
      </c>
      <c r="I663" s="2" t="str">
        <f>IFERROR(__xludf.DUMMYFUNCTION("""COMPUTED_VALUE"""),"https://www.facebook.com/rapplerdotcom/photos/a.317154781638645/5597116770309060/")</f>
        <v>https://www.facebook.com/rapplerdotcom/photos/a.317154781638645/5597116770309060/</v>
      </c>
      <c r="J663" s="1" t="str">
        <f>IFERROR(__xludf.DUMMYFUNCTION("""COMPUTED_VALUE"""),"2022-07-04T11:15:29.862Z")</f>
        <v>2022-07-04T11:15:29.862Z</v>
      </c>
      <c r="K663" s="1"/>
    </row>
    <row r="664">
      <c r="A664" s="2" t="str">
        <f>IFERROR(__xludf.DUMMYFUNCTION("""COMPUTED_VALUE"""),"https://www.facebook.com/BimBirimBimBim")</f>
        <v>https://www.facebook.com/BimBirimBimBim</v>
      </c>
      <c r="B664" s="1" t="str">
        <f>IFERROR(__xludf.DUMMYFUNCTION("""COMPUTED_VALUE"""),"Bim Rodriguez")</f>
        <v>Bim Rodriguez</v>
      </c>
      <c r="C664" s="1" t="str">
        <f>IFERROR(__xludf.DUMMYFUNCTION("""COMPUTED_VALUE"""),"Bim")</f>
        <v>Bim</v>
      </c>
      <c r="D664" s="1" t="str">
        <f>IFERROR(__xludf.DUMMYFUNCTION("""COMPUTED_VALUE"""),"Rodriguez")</f>
        <v>Rodriguez</v>
      </c>
      <c r="E664" s="1" t="str">
        <f>IFERROR(__xludf.DUMMYFUNCTION("""COMPUTED_VALUE"""),"Oiretsele Etnar Annyram the thing is, they are fanatics. Kahit bigyan mo ng facts, di tatanggapin.")</f>
        <v>Oiretsele Etnar Annyram the thing is, they are fanatics. Kahit bigyan mo ng facts, di tatanggapin.</v>
      </c>
      <c r="F664" s="1">
        <f>IFERROR(__xludf.DUMMYFUNCTION("""COMPUTED_VALUE"""),1.0)</f>
        <v>1</v>
      </c>
      <c r="G664" s="1" t="str">
        <f>IFERROR(__xludf.DUMMYFUNCTION("""COMPUTED_VALUE"""),"3 mos")</f>
        <v>3 mos</v>
      </c>
      <c r="H664" s="1" t="str">
        <f>IFERROR(__xludf.DUMMYFUNCTION("""COMPUTED_VALUE"""),"reply")</f>
        <v>reply</v>
      </c>
      <c r="I664" s="2" t="str">
        <f>IFERROR(__xludf.DUMMYFUNCTION("""COMPUTED_VALUE"""),"https://www.facebook.com/rapplerdotcom/photos/a.317154781638645/5597116770309060/")</f>
        <v>https://www.facebook.com/rapplerdotcom/photos/a.317154781638645/5597116770309060/</v>
      </c>
      <c r="J664" s="1" t="str">
        <f>IFERROR(__xludf.DUMMYFUNCTION("""COMPUTED_VALUE"""),"2022-07-04T11:15:29.862Z")</f>
        <v>2022-07-04T11:15:29.862Z</v>
      </c>
      <c r="K664" s="1"/>
    </row>
    <row r="665">
      <c r="A665" s="2" t="str">
        <f>IFERROR(__xludf.DUMMYFUNCTION("""COMPUTED_VALUE"""),"https://www.facebook.com/sec.anning")</f>
        <v>https://www.facebook.com/sec.anning</v>
      </c>
      <c r="B665" s="1" t="str">
        <f>IFERROR(__xludf.DUMMYFUNCTION("""COMPUTED_VALUE"""),"Oiretsele Etnar Annyram")</f>
        <v>Oiretsele Etnar Annyram</v>
      </c>
      <c r="C665" s="1" t="str">
        <f>IFERROR(__xludf.DUMMYFUNCTION("""COMPUTED_VALUE"""),"Oiretsele")</f>
        <v>Oiretsele</v>
      </c>
      <c r="D665" s="1" t="str">
        <f>IFERROR(__xludf.DUMMYFUNCTION("""COMPUTED_VALUE"""),"Etnar Annyram")</f>
        <v>Etnar Annyram</v>
      </c>
      <c r="E665" s="1" t="str">
        <f>IFERROR(__xludf.DUMMYFUNCTION("""COMPUTED_VALUE"""),"its not for u to decide then..kaya nga merong mga loyalist")</f>
        <v>its not for u to decide then..kaya nga merong mga loyalist</v>
      </c>
      <c r="F665" s="1"/>
      <c r="G665" s="1" t="str">
        <f>IFERROR(__xludf.DUMMYFUNCTION("""COMPUTED_VALUE"""),"3 mos")</f>
        <v>3 mos</v>
      </c>
      <c r="H665" s="1" t="str">
        <f>IFERROR(__xludf.DUMMYFUNCTION("""COMPUTED_VALUE"""),"reply")</f>
        <v>reply</v>
      </c>
      <c r="I665" s="2" t="str">
        <f>IFERROR(__xludf.DUMMYFUNCTION("""COMPUTED_VALUE"""),"https://www.facebook.com/rapplerdotcom/photos/a.317154781638645/5597116770309060/")</f>
        <v>https://www.facebook.com/rapplerdotcom/photos/a.317154781638645/5597116770309060/</v>
      </c>
      <c r="J665" s="1" t="str">
        <f>IFERROR(__xludf.DUMMYFUNCTION("""COMPUTED_VALUE"""),"2022-07-04T11:15:29.862Z")</f>
        <v>2022-07-04T11:15:29.862Z</v>
      </c>
      <c r="K665" s="1"/>
    </row>
    <row r="666">
      <c r="A666" s="2" t="str">
        <f>IFERROR(__xludf.DUMMYFUNCTION("""COMPUTED_VALUE"""),"https://www.facebook.com/BimBirimBimBim")</f>
        <v>https://www.facebook.com/BimBirimBimBim</v>
      </c>
      <c r="B666" s="1" t="str">
        <f>IFERROR(__xludf.DUMMYFUNCTION("""COMPUTED_VALUE"""),"Bim Rodriguez")</f>
        <v>Bim Rodriguez</v>
      </c>
      <c r="C666" s="1" t="str">
        <f>IFERROR(__xludf.DUMMYFUNCTION("""COMPUTED_VALUE"""),"Bim")</f>
        <v>Bim</v>
      </c>
      <c r="D666" s="1" t="str">
        <f>IFERROR(__xludf.DUMMYFUNCTION("""COMPUTED_VALUE"""),"Rodriguez")</f>
        <v>Rodriguez</v>
      </c>
      <c r="E666" s="1" t="str">
        <f>IFERROR(__xludf.DUMMYFUNCTION("""COMPUTED_VALUE"""),"Oiretsele Etnar Annyram it’s not for you decide, yes. But it is for you educate them with facts and not to follow lies.")</f>
        <v>Oiretsele Etnar Annyram it’s not for you decide, yes. But it is for you educate them with facts and not to follow lies.</v>
      </c>
      <c r="F666" s="1"/>
      <c r="G666" s="1" t="str">
        <f>IFERROR(__xludf.DUMMYFUNCTION("""COMPUTED_VALUE"""),"3 mos")</f>
        <v>3 mos</v>
      </c>
      <c r="H666" s="1" t="str">
        <f>IFERROR(__xludf.DUMMYFUNCTION("""COMPUTED_VALUE"""),"reply")</f>
        <v>reply</v>
      </c>
      <c r="I666" s="2" t="str">
        <f>IFERROR(__xludf.DUMMYFUNCTION("""COMPUTED_VALUE"""),"https://www.facebook.com/rapplerdotcom/photos/a.317154781638645/5597116770309060/")</f>
        <v>https://www.facebook.com/rapplerdotcom/photos/a.317154781638645/5597116770309060/</v>
      </c>
      <c r="J666" s="1" t="str">
        <f>IFERROR(__xludf.DUMMYFUNCTION("""COMPUTED_VALUE"""),"2022-07-04T11:15:29.862Z")</f>
        <v>2022-07-04T11:15:29.862Z</v>
      </c>
      <c r="K666" s="1"/>
    </row>
    <row r="667">
      <c r="A667" s="2" t="str">
        <f>IFERROR(__xludf.DUMMYFUNCTION("""COMPUTED_VALUE"""),"https://www.facebook.com/beverly.dalton.161")</f>
        <v>https://www.facebook.com/beverly.dalton.161</v>
      </c>
      <c r="B667" s="1" t="str">
        <f>IFERROR(__xludf.DUMMYFUNCTION("""COMPUTED_VALUE"""),"Beverly Dalton")</f>
        <v>Beverly Dalton</v>
      </c>
      <c r="C667" s="1" t="str">
        <f>IFERROR(__xludf.DUMMYFUNCTION("""COMPUTED_VALUE"""),"Beverly")</f>
        <v>Beverly</v>
      </c>
      <c r="D667" s="1" t="str">
        <f>IFERROR(__xludf.DUMMYFUNCTION("""COMPUTED_VALUE"""),"Dalton")</f>
        <v>Dalton</v>
      </c>
      <c r="E667" s="1" t="str">
        <f>IFERROR(__xludf.DUMMYFUNCTION("""COMPUTED_VALUE"""),"Lou Arsenio bakit sila ang may kakayanan at hangarin makatulong katulad ni FMarcos   anong gusto nyo  yon walang nalalaman para inagsak ang Pilipinas")</f>
        <v>Lou Arsenio bakit sila ang may kakayanan at hangarin makatulong katulad ni FMarcos   anong gusto nyo  yon walang nalalaman para inagsak ang Pilipinas</v>
      </c>
      <c r="F667" s="1">
        <f>IFERROR(__xludf.DUMMYFUNCTION("""COMPUTED_VALUE"""),1.0)</f>
        <v>1</v>
      </c>
      <c r="G667" s="1" t="str">
        <f>IFERROR(__xludf.DUMMYFUNCTION("""COMPUTED_VALUE"""),"3 mos")</f>
        <v>3 mos</v>
      </c>
      <c r="H667" s="1" t="str">
        <f>IFERROR(__xludf.DUMMYFUNCTION("""COMPUTED_VALUE"""),"reply")</f>
        <v>reply</v>
      </c>
      <c r="I667" s="2" t="str">
        <f>IFERROR(__xludf.DUMMYFUNCTION("""COMPUTED_VALUE"""),"https://www.facebook.com/rapplerdotcom/photos/a.317154781638645/5597116770309060/")</f>
        <v>https://www.facebook.com/rapplerdotcom/photos/a.317154781638645/5597116770309060/</v>
      </c>
      <c r="J667" s="1" t="str">
        <f>IFERROR(__xludf.DUMMYFUNCTION("""COMPUTED_VALUE"""),"2022-07-04T11:15:29.862Z")</f>
        <v>2022-07-04T11:15:29.862Z</v>
      </c>
      <c r="K667" s="1"/>
    </row>
    <row r="668">
      <c r="A668" s="2" t="str">
        <f>IFERROR(__xludf.DUMMYFUNCTION("""COMPUTED_VALUE"""),"https://www.facebook.com/We-Chose-Common-Sense-We-Voted-for-Leni-Kiko-2022-100975789090665/")</f>
        <v>https://www.facebook.com/We-Chose-Common-Sense-We-Voted-for-Leni-Kiko-2022-100975789090665/</v>
      </c>
      <c r="B668" s="1" t="str">
        <f>IFERROR(__xludf.DUMMYFUNCTION("""COMPUTED_VALUE"""),"We Chose Common Sense. We Voted for Leni-Kiko 2022")</f>
        <v>We Chose Common Sense. We Voted for Leni-Kiko 2022</v>
      </c>
      <c r="C668" s="1" t="str">
        <f>IFERROR(__xludf.DUMMYFUNCTION("""COMPUTED_VALUE"""),"We")</f>
        <v>We</v>
      </c>
      <c r="D668" s="1" t="str">
        <f>IFERROR(__xludf.DUMMYFUNCTION("""COMPUTED_VALUE"""),"Chose Common Sense. We Voted for Leni-Kiko 2022")</f>
        <v>Chose Common Sense. We Voted for Leni-Kiko 2022</v>
      </c>
      <c r="E668" s="1" t="str">
        <f>IFERROR(__xludf.DUMMYFUNCTION("""COMPUTED_VALUE"""),"Alamano is not a presidential material. Those who are feeble minded accept him. Those who are strong reject him.")</f>
        <v>Alamano is not a presidential material. Those who are feeble minded accept him. Those who are strong reject him.</v>
      </c>
      <c r="F668" s="1">
        <f>IFERROR(__xludf.DUMMYFUNCTION("""COMPUTED_VALUE"""),99.0)</f>
        <v>99</v>
      </c>
      <c r="G668" s="1" t="str">
        <f>IFERROR(__xludf.DUMMYFUNCTION("""COMPUTED_VALUE"""),"3 mos")</f>
        <v>3 mos</v>
      </c>
      <c r="H668" s="1" t="str">
        <f>IFERROR(__xludf.DUMMYFUNCTION("""COMPUTED_VALUE"""),"comment")</f>
        <v>comment</v>
      </c>
      <c r="I668" s="2" t="str">
        <f>IFERROR(__xludf.DUMMYFUNCTION("""COMPUTED_VALUE"""),"https://www.facebook.com/rapplerdotcom/photos/a.317154781638645/5597116770309060/")</f>
        <v>https://www.facebook.com/rapplerdotcom/photos/a.317154781638645/5597116770309060/</v>
      </c>
      <c r="J668" s="1" t="str">
        <f>IFERROR(__xludf.DUMMYFUNCTION("""COMPUTED_VALUE"""),"2022-07-04T11:15:29.862Z")</f>
        <v>2022-07-04T11:15:29.862Z</v>
      </c>
      <c r="K668" s="1"/>
    </row>
    <row r="669">
      <c r="A669" s="2" t="str">
        <f>IFERROR(__xludf.DUMMYFUNCTION("""COMPUTED_VALUE"""),"https://www.facebook.com/roderick.reonal.7")</f>
        <v>https://www.facebook.com/roderick.reonal.7</v>
      </c>
      <c r="B669" s="1" t="str">
        <f>IFERROR(__xludf.DUMMYFUNCTION("""COMPUTED_VALUE"""),"Bong Abeleda Reonal")</f>
        <v>Bong Abeleda Reonal</v>
      </c>
      <c r="C669" s="1" t="str">
        <f>IFERROR(__xludf.DUMMYFUNCTION("""COMPUTED_VALUE"""),"Bong")</f>
        <v>Bong</v>
      </c>
      <c r="D669" s="1" t="str">
        <f>IFERROR(__xludf.DUMMYFUNCTION("""COMPUTED_VALUE"""),"Abeleda Reonal")</f>
        <v>Abeleda Reonal</v>
      </c>
      <c r="E669" s="1" t="str">
        <f>IFERROR(__xludf.DUMMYFUNCTION("""COMPUTED_VALUE"""),"Oh talaga lang ah..ok lang na political dynasty basta ba may nagagawa..peace")</f>
        <v>Oh talaga lang ah..ok lang na political dynasty basta ba may nagagawa..peace</v>
      </c>
      <c r="F669" s="1"/>
      <c r="G669" s="1" t="str">
        <f>IFERROR(__xludf.DUMMYFUNCTION("""COMPUTED_VALUE"""),"3 mos")</f>
        <v>3 mos</v>
      </c>
      <c r="H669" s="1" t="str">
        <f>IFERROR(__xludf.DUMMYFUNCTION("""COMPUTED_VALUE"""),"comment")</f>
        <v>comment</v>
      </c>
      <c r="I669" s="2" t="str">
        <f>IFERROR(__xludf.DUMMYFUNCTION("""COMPUTED_VALUE"""),"https://www.facebook.com/rapplerdotcom/photos/a.317154781638645/5597116770309060/")</f>
        <v>https://www.facebook.com/rapplerdotcom/photos/a.317154781638645/5597116770309060/</v>
      </c>
      <c r="J669" s="1" t="str">
        <f>IFERROR(__xludf.DUMMYFUNCTION("""COMPUTED_VALUE"""),"2022-07-04T11:15:29.862Z")</f>
        <v>2022-07-04T11:15:29.862Z</v>
      </c>
      <c r="K669" s="1"/>
    </row>
    <row r="670">
      <c r="A670" s="2" t="str">
        <f>IFERROR(__xludf.DUMMYFUNCTION("""COMPUTED_VALUE"""),"https://www.facebook.com/ino.reyes.1441")</f>
        <v>https://www.facebook.com/ino.reyes.1441</v>
      </c>
      <c r="B670" s="1" t="str">
        <f>IFERROR(__xludf.DUMMYFUNCTION("""COMPUTED_VALUE"""),"Ino Reyes")</f>
        <v>Ino Reyes</v>
      </c>
      <c r="C670" s="1" t="str">
        <f>IFERROR(__xludf.DUMMYFUNCTION("""COMPUTED_VALUE"""),"Ino")</f>
        <v>Ino</v>
      </c>
      <c r="D670" s="1" t="str">
        <f>IFERROR(__xludf.DUMMYFUNCTION("""COMPUTED_VALUE"""),"Reyes")</f>
        <v>Reyes</v>
      </c>
      <c r="E670" s="1" t="str">
        <f>IFERROR(__xludf.DUMMYFUNCTION("""COMPUTED_VALUE"""),"LOVE YOUR COUNTRY NOT the POLITICAL DYNASTIES!!! #GobyernongTapat #AngatBuhayLahat #LeniKiko2022 TEAM IBOTO ang mas karapatdapat")</f>
        <v>LOVE YOUR COUNTRY NOT the POLITICAL DYNASTIES!!! #GobyernongTapat #AngatBuhayLahat #LeniKiko2022 TEAM IBOTO ang mas karapatdapat</v>
      </c>
      <c r="F670" s="1">
        <f>IFERROR(__xludf.DUMMYFUNCTION("""COMPUTED_VALUE"""),77.0)</f>
        <v>77</v>
      </c>
      <c r="G670" s="1" t="str">
        <f>IFERROR(__xludf.DUMMYFUNCTION("""COMPUTED_VALUE"""),"3 mos")</f>
        <v>3 mos</v>
      </c>
      <c r="H670" s="1" t="str">
        <f>IFERROR(__xludf.DUMMYFUNCTION("""COMPUTED_VALUE"""),"comment")</f>
        <v>comment</v>
      </c>
      <c r="I670" s="2" t="str">
        <f>IFERROR(__xludf.DUMMYFUNCTION("""COMPUTED_VALUE"""),"https://www.facebook.com/rapplerdotcom/photos/a.317154781638645/5597116770309060/")</f>
        <v>https://www.facebook.com/rapplerdotcom/photos/a.317154781638645/5597116770309060/</v>
      </c>
      <c r="J670" s="1" t="str">
        <f>IFERROR(__xludf.DUMMYFUNCTION("""COMPUTED_VALUE"""),"2022-07-04T11:15:29.862Z")</f>
        <v>2022-07-04T11:15:29.862Z</v>
      </c>
      <c r="K670" s="1"/>
    </row>
    <row r="671">
      <c r="A671" s="2" t="str">
        <f>IFERROR(__xludf.DUMMYFUNCTION("""COMPUTED_VALUE"""),"https://www.facebook.com/frandy.arondaing")</f>
        <v>https://www.facebook.com/frandy.arondaing</v>
      </c>
      <c r="B671" s="1" t="str">
        <f>IFERROR(__xludf.DUMMYFUNCTION("""COMPUTED_VALUE"""),"Randy Arondaing")</f>
        <v>Randy Arondaing</v>
      </c>
      <c r="C671" s="1" t="str">
        <f>IFERROR(__xludf.DUMMYFUNCTION("""COMPUTED_VALUE"""),"Randy")</f>
        <v>Randy</v>
      </c>
      <c r="D671" s="1" t="str">
        <f>IFERROR(__xludf.DUMMYFUNCTION("""COMPUTED_VALUE"""),"Arondaing")</f>
        <v>Arondaing</v>
      </c>
      <c r="E671" s="1" t="str">
        <f>IFERROR(__xludf.DUMMYFUNCTION("""COMPUTED_VALUE"""),"Ino Reyes SARA IMEE 2028")</f>
        <v>Ino Reyes SARA IMEE 2028</v>
      </c>
      <c r="F671" s="1">
        <f>IFERROR(__xludf.DUMMYFUNCTION("""COMPUTED_VALUE"""),3.0)</f>
        <v>3</v>
      </c>
      <c r="G671" s="1" t="str">
        <f>IFERROR(__xludf.DUMMYFUNCTION("""COMPUTED_VALUE"""),"3 mos")</f>
        <v>3 mos</v>
      </c>
      <c r="H671" s="1" t="str">
        <f>IFERROR(__xludf.DUMMYFUNCTION("""COMPUTED_VALUE"""),"reply")</f>
        <v>reply</v>
      </c>
      <c r="I671" s="2" t="str">
        <f>IFERROR(__xludf.DUMMYFUNCTION("""COMPUTED_VALUE"""),"https://www.facebook.com/rapplerdotcom/photos/a.317154781638645/5597116770309060/")</f>
        <v>https://www.facebook.com/rapplerdotcom/photos/a.317154781638645/5597116770309060/</v>
      </c>
      <c r="J671" s="1" t="str">
        <f>IFERROR(__xludf.DUMMYFUNCTION("""COMPUTED_VALUE"""),"2022-07-04T11:15:29.862Z")</f>
        <v>2022-07-04T11:15:29.862Z</v>
      </c>
      <c r="K671" s="1"/>
    </row>
    <row r="672">
      <c r="A672" s="2" t="str">
        <f>IFERROR(__xludf.DUMMYFUNCTION("""COMPUTED_VALUE"""),"https://www.facebook.com/ken.chiz.393")</f>
        <v>https://www.facebook.com/ken.chiz.393</v>
      </c>
      <c r="B672" s="1" t="str">
        <f>IFERROR(__xludf.DUMMYFUNCTION("""COMPUTED_VALUE"""),"Ken Chiz")</f>
        <v>Ken Chiz</v>
      </c>
      <c r="C672" s="1" t="str">
        <f>IFERROR(__xludf.DUMMYFUNCTION("""COMPUTED_VALUE"""),"Ken")</f>
        <v>Ken</v>
      </c>
      <c r="D672" s="1" t="str">
        <f>IFERROR(__xludf.DUMMYFUNCTION("""COMPUTED_VALUE"""),"Chiz")</f>
        <v>Chiz</v>
      </c>
      <c r="E672" s="1" t="str">
        <f>IFERROR(__xludf.DUMMYFUNCTION("""COMPUTED_VALUE"""),"Ino Reyes kaya pala pink na flag winawagayway nyo instead of Philippine flag 🤮🤮😂😂😂")</f>
        <v>Ino Reyes kaya pala pink na flag winawagayway nyo instead of Philippine flag 🤮🤮😂😂😂</v>
      </c>
      <c r="F672" s="1">
        <f>IFERROR(__xludf.DUMMYFUNCTION("""COMPUTED_VALUE"""),2.0)</f>
        <v>2</v>
      </c>
      <c r="G672" s="1" t="str">
        <f>IFERROR(__xludf.DUMMYFUNCTION("""COMPUTED_VALUE"""),"3 mos")</f>
        <v>3 mos</v>
      </c>
      <c r="H672" s="1" t="str">
        <f>IFERROR(__xludf.DUMMYFUNCTION("""COMPUTED_VALUE"""),"reply")</f>
        <v>reply</v>
      </c>
      <c r="I672" s="2" t="str">
        <f>IFERROR(__xludf.DUMMYFUNCTION("""COMPUTED_VALUE"""),"https://www.facebook.com/rapplerdotcom/photos/a.317154781638645/5597116770309060/")</f>
        <v>https://www.facebook.com/rapplerdotcom/photos/a.317154781638645/5597116770309060/</v>
      </c>
      <c r="J672" s="1" t="str">
        <f>IFERROR(__xludf.DUMMYFUNCTION("""COMPUTED_VALUE"""),"2022-07-04T11:15:29.862Z")</f>
        <v>2022-07-04T11:15:29.862Z</v>
      </c>
      <c r="K672" s="1"/>
    </row>
    <row r="673">
      <c r="A673" s="2" t="str">
        <f>IFERROR(__xludf.DUMMYFUNCTION("""COMPUTED_VALUE"""),"https://www.facebook.com/marvin.andasan.5")</f>
        <v>https://www.facebook.com/marvin.andasan.5</v>
      </c>
      <c r="B673" s="1" t="str">
        <f>IFERROR(__xludf.DUMMYFUNCTION("""COMPUTED_VALUE"""),"Vinram Andasan")</f>
        <v>Vinram Andasan</v>
      </c>
      <c r="C673" s="1" t="str">
        <f>IFERROR(__xludf.DUMMYFUNCTION("""COMPUTED_VALUE"""),"Vinram")</f>
        <v>Vinram</v>
      </c>
      <c r="D673" s="1" t="str">
        <f>IFERROR(__xludf.DUMMYFUNCTION("""COMPUTED_VALUE"""),"Andasan")</f>
        <v>Andasan</v>
      </c>
      <c r="E673" s="1" t="str">
        <f>IFERROR(__xludf.DUMMYFUNCTION("""COMPUTED_VALUE"""),"Ino Reyes karapat dapat? Haha sana noon pa naging karapat dapat")</f>
        <v>Ino Reyes karapat dapat? Haha sana noon pa naging karapat dapat</v>
      </c>
      <c r="F673" s="1">
        <f>IFERROR(__xludf.DUMMYFUNCTION("""COMPUTED_VALUE"""),1.0)</f>
        <v>1</v>
      </c>
      <c r="G673" s="1" t="str">
        <f>IFERROR(__xludf.DUMMYFUNCTION("""COMPUTED_VALUE"""),"3 mos")</f>
        <v>3 mos</v>
      </c>
      <c r="H673" s="1" t="str">
        <f>IFERROR(__xludf.DUMMYFUNCTION("""COMPUTED_VALUE"""),"reply")</f>
        <v>reply</v>
      </c>
      <c r="I673" s="2" t="str">
        <f>IFERROR(__xludf.DUMMYFUNCTION("""COMPUTED_VALUE"""),"https://www.facebook.com/rapplerdotcom/photos/a.317154781638645/5597116770309060/")</f>
        <v>https://www.facebook.com/rapplerdotcom/photos/a.317154781638645/5597116770309060/</v>
      </c>
      <c r="J673" s="1" t="str">
        <f>IFERROR(__xludf.DUMMYFUNCTION("""COMPUTED_VALUE"""),"2022-07-04T11:15:29.862Z")</f>
        <v>2022-07-04T11:15:29.862Z</v>
      </c>
      <c r="K673" s="1"/>
    </row>
    <row r="674">
      <c r="A674" s="2" t="str">
        <f>IFERROR(__xludf.DUMMYFUNCTION("""COMPUTED_VALUE"""),"https://www.facebook.com/judith.baricuatro")</f>
        <v>https://www.facebook.com/judith.baricuatro</v>
      </c>
      <c r="B674" s="1" t="str">
        <f>IFERROR(__xludf.DUMMYFUNCTION("""COMPUTED_VALUE"""),"Judith Baricuatro")</f>
        <v>Judith Baricuatro</v>
      </c>
      <c r="C674" s="1" t="str">
        <f>IFERROR(__xludf.DUMMYFUNCTION("""COMPUTED_VALUE"""),"Judith")</f>
        <v>Judith</v>
      </c>
      <c r="D674" s="1" t="str">
        <f>IFERROR(__xludf.DUMMYFUNCTION("""COMPUTED_VALUE"""),"Baricuatro")</f>
        <v>Baricuatro</v>
      </c>
      <c r="E674" s="1" t="str">
        <f>IFERROR(__xludf.DUMMYFUNCTION("""COMPUTED_VALUE"""),"Ino Reyes BBMSARA solid kami")</f>
        <v>Ino Reyes BBMSARA solid kami</v>
      </c>
      <c r="F674" s="1">
        <f>IFERROR(__xludf.DUMMYFUNCTION("""COMPUTED_VALUE"""),2.0)</f>
        <v>2</v>
      </c>
      <c r="G674" s="1" t="str">
        <f>IFERROR(__xludf.DUMMYFUNCTION("""COMPUTED_VALUE"""),"3 mos")</f>
        <v>3 mos</v>
      </c>
      <c r="H674" s="1" t="str">
        <f>IFERROR(__xludf.DUMMYFUNCTION("""COMPUTED_VALUE"""),"reply")</f>
        <v>reply</v>
      </c>
      <c r="I674" s="2" t="str">
        <f>IFERROR(__xludf.DUMMYFUNCTION("""COMPUTED_VALUE"""),"https://www.facebook.com/rapplerdotcom/photos/a.317154781638645/5597116770309060/")</f>
        <v>https://www.facebook.com/rapplerdotcom/photos/a.317154781638645/5597116770309060/</v>
      </c>
      <c r="J674" s="1" t="str">
        <f>IFERROR(__xludf.DUMMYFUNCTION("""COMPUTED_VALUE"""),"2022-07-04T11:15:29.862Z")</f>
        <v>2022-07-04T11:15:29.862Z</v>
      </c>
      <c r="K674" s="1"/>
    </row>
    <row r="675">
      <c r="A675" s="2" t="str">
        <f>IFERROR(__xludf.DUMMYFUNCTION("""COMPUTED_VALUE"""),"https://www.facebook.com/alexis.bacquiran")</f>
        <v>https://www.facebook.com/alexis.bacquiran</v>
      </c>
      <c r="B675" s="1" t="str">
        <f>IFERROR(__xludf.DUMMYFUNCTION("""COMPUTED_VALUE"""),"Alexis Bacquiran")</f>
        <v>Alexis Bacquiran</v>
      </c>
      <c r="C675" s="1" t="str">
        <f>IFERROR(__xludf.DUMMYFUNCTION("""COMPUTED_VALUE"""),"Alexis")</f>
        <v>Alexis</v>
      </c>
      <c r="D675" s="1" t="str">
        <f>IFERROR(__xludf.DUMMYFUNCTION("""COMPUTED_VALUE"""),"Bacquiran")</f>
        <v>Bacquiran</v>
      </c>
      <c r="E675" s="1" t="str">
        <f>IFERROR(__xludf.DUMMYFUNCTION("""COMPUTED_VALUE"""),"Ino Reyes VP nga sya Wala man lang nagawa tapos pangarap niya pa Presidente. Manatili nalang sya sa pangarap niya")</f>
        <v>Ino Reyes VP nga sya Wala man lang nagawa tapos pangarap niya pa Presidente. Manatili nalang sya sa pangarap niya</v>
      </c>
      <c r="F675" s="1"/>
      <c r="G675" s="1" t="str">
        <f>IFERROR(__xludf.DUMMYFUNCTION("""COMPUTED_VALUE"""),"3 mos")</f>
        <v>3 mos</v>
      </c>
      <c r="H675" s="1" t="str">
        <f>IFERROR(__xludf.DUMMYFUNCTION("""COMPUTED_VALUE"""),"reply")</f>
        <v>reply</v>
      </c>
      <c r="I675" s="2" t="str">
        <f>IFERROR(__xludf.DUMMYFUNCTION("""COMPUTED_VALUE"""),"https://www.facebook.com/rapplerdotcom/photos/a.317154781638645/5597116770309060/")</f>
        <v>https://www.facebook.com/rapplerdotcom/photos/a.317154781638645/5597116770309060/</v>
      </c>
      <c r="J675" s="1" t="str">
        <f>IFERROR(__xludf.DUMMYFUNCTION("""COMPUTED_VALUE"""),"2022-07-04T11:15:29.862Z")</f>
        <v>2022-07-04T11:15:29.862Z</v>
      </c>
      <c r="K675" s="1"/>
    </row>
    <row r="676">
      <c r="A676" s="2" t="str">
        <f>IFERROR(__xludf.DUMMYFUNCTION("""COMPUTED_VALUE"""),"https://www.facebook.com/profile.php?id=100009111409816")</f>
        <v>https://www.facebook.com/profile.php?id=100009111409816</v>
      </c>
      <c r="B676" s="1" t="str">
        <f>IFERROR(__xludf.DUMMYFUNCTION("""COMPUTED_VALUE"""),"Nida Saldivia")</f>
        <v>Nida Saldivia</v>
      </c>
      <c r="C676" s="1" t="str">
        <f>IFERROR(__xludf.DUMMYFUNCTION("""COMPUTED_VALUE"""),"Nida")</f>
        <v>Nida</v>
      </c>
      <c r="D676" s="1" t="str">
        <f>IFERROR(__xludf.DUMMYFUNCTION("""COMPUTED_VALUE"""),"Saldivia")</f>
        <v>Saldivia</v>
      </c>
      <c r="E676" s="1" t="str">
        <f>IFERROR(__xludf.DUMMYFUNCTION("""COMPUTED_VALUE"""),"Ino Reyes 💚💚💚💖💖💖💖")</f>
        <v>Ino Reyes 💚💚💚💖💖💖💖</v>
      </c>
      <c r="F676" s="1"/>
      <c r="G676" s="1" t="str">
        <f>IFERROR(__xludf.DUMMYFUNCTION("""COMPUTED_VALUE"""),"3 mos")</f>
        <v>3 mos</v>
      </c>
      <c r="H676" s="1" t="str">
        <f>IFERROR(__xludf.DUMMYFUNCTION("""COMPUTED_VALUE"""),"reply")</f>
        <v>reply</v>
      </c>
      <c r="I676" s="2" t="str">
        <f>IFERROR(__xludf.DUMMYFUNCTION("""COMPUTED_VALUE"""),"https://www.facebook.com/rapplerdotcom/photos/a.317154781638645/5597116770309060/")</f>
        <v>https://www.facebook.com/rapplerdotcom/photos/a.317154781638645/5597116770309060/</v>
      </c>
      <c r="J676" s="1" t="str">
        <f>IFERROR(__xludf.DUMMYFUNCTION("""COMPUTED_VALUE"""),"2022-07-04T11:15:29.862Z")</f>
        <v>2022-07-04T11:15:29.862Z</v>
      </c>
      <c r="K676" s="1"/>
    </row>
    <row r="677">
      <c r="A677" s="2" t="str">
        <f>IFERROR(__xludf.DUMMYFUNCTION("""COMPUTED_VALUE"""),"https://www.facebook.com/celyn.guazon")</f>
        <v>https://www.facebook.com/celyn.guazon</v>
      </c>
      <c r="B677" s="1" t="str">
        <f>IFERROR(__xludf.DUMMYFUNCTION("""COMPUTED_VALUE"""),"Celyn Guazon")</f>
        <v>Celyn Guazon</v>
      </c>
      <c r="C677" s="1" t="str">
        <f>IFERROR(__xludf.DUMMYFUNCTION("""COMPUTED_VALUE"""),"Celyn")</f>
        <v>Celyn</v>
      </c>
      <c r="D677" s="1" t="str">
        <f>IFERROR(__xludf.DUMMYFUNCTION("""COMPUTED_VALUE"""),"Guazon")</f>
        <v>Guazon</v>
      </c>
      <c r="E677" s="1" t="str">
        <f>IFERROR(__xludf.DUMMYFUNCTION("""COMPUTED_VALUE"""),"Alexis Bacquiran magresearch ka po pra malaman mo mga nagawa nya.")</f>
        <v>Alexis Bacquiran magresearch ka po pra malaman mo mga nagawa nya.</v>
      </c>
      <c r="F677" s="1"/>
      <c r="G677" s="1" t="str">
        <f>IFERROR(__xludf.DUMMYFUNCTION("""COMPUTED_VALUE"""),"3 mos")</f>
        <v>3 mos</v>
      </c>
      <c r="H677" s="1" t="str">
        <f>IFERROR(__xludf.DUMMYFUNCTION("""COMPUTED_VALUE"""),"reply")</f>
        <v>reply</v>
      </c>
      <c r="I677" s="2" t="str">
        <f>IFERROR(__xludf.DUMMYFUNCTION("""COMPUTED_VALUE"""),"https://www.facebook.com/rapplerdotcom/photos/a.317154781638645/5597116770309060/")</f>
        <v>https://www.facebook.com/rapplerdotcom/photos/a.317154781638645/5597116770309060/</v>
      </c>
      <c r="J677" s="1" t="str">
        <f>IFERROR(__xludf.DUMMYFUNCTION("""COMPUTED_VALUE"""),"2022-07-04T11:15:29.862Z")</f>
        <v>2022-07-04T11:15:29.862Z</v>
      </c>
      <c r="K677" s="1"/>
    </row>
    <row r="678">
      <c r="A678" s="2" t="str">
        <f>IFERROR(__xludf.DUMMYFUNCTION("""COMPUTED_VALUE"""),"https://www.facebook.com/liezl.malinao.1")</f>
        <v>https://www.facebook.com/liezl.malinao.1</v>
      </c>
      <c r="B678" s="1" t="str">
        <f>IFERROR(__xludf.DUMMYFUNCTION("""COMPUTED_VALUE"""),"Liezl Kong")</f>
        <v>Liezl Kong</v>
      </c>
      <c r="C678" s="1" t="str">
        <f>IFERROR(__xludf.DUMMYFUNCTION("""COMPUTED_VALUE"""),"Liezl")</f>
        <v>Liezl</v>
      </c>
      <c r="D678" s="1" t="str">
        <f>IFERROR(__xludf.DUMMYFUNCTION("""COMPUTED_VALUE"""),"Kong")</f>
        <v>Kong</v>
      </c>
      <c r="E678" s="1" t="str">
        <f>IFERROR(__xludf.DUMMYFUNCTION("""COMPUTED_VALUE"""),"Kong ang DUTERTE family hindindi na upo ng DAVAO,hindi ganyan ka diseplinado ang davao,kaya pasalamat ako sa family Duterte na sila ang humawak ng daavao,kahit sila sila ang nag papalitan mag anak... Ang mahalaga maayus ang Davao.")</f>
        <v>Kong ang DUTERTE family hindindi na upo ng DAVAO,hindi ganyan ka diseplinado ang davao,kaya pasalamat ako sa family Duterte na sila ang humawak ng daavao,kahit sila sila ang nag papalitan mag anak... Ang mahalaga maayus ang Davao.</v>
      </c>
      <c r="F678" s="1">
        <f>IFERROR(__xludf.DUMMYFUNCTION("""COMPUTED_VALUE"""),10.0)</f>
        <v>10</v>
      </c>
      <c r="G678" s="1" t="str">
        <f>IFERROR(__xludf.DUMMYFUNCTION("""COMPUTED_VALUE"""),"3 mos")</f>
        <v>3 mos</v>
      </c>
      <c r="H678" s="1" t="str">
        <f>IFERROR(__xludf.DUMMYFUNCTION("""COMPUTED_VALUE"""),"comment")</f>
        <v>comment</v>
      </c>
      <c r="I678" s="2" t="str">
        <f>IFERROR(__xludf.DUMMYFUNCTION("""COMPUTED_VALUE"""),"https://www.facebook.com/rapplerdotcom/photos/a.317154781638645/5597116770309060/")</f>
        <v>https://www.facebook.com/rapplerdotcom/photos/a.317154781638645/5597116770309060/</v>
      </c>
      <c r="J678" s="1" t="str">
        <f>IFERROR(__xludf.DUMMYFUNCTION("""COMPUTED_VALUE"""),"2022-07-04T11:15:29.862Z")</f>
        <v>2022-07-04T11:15:29.862Z</v>
      </c>
      <c r="K678" s="1"/>
    </row>
    <row r="679">
      <c r="A679" s="2" t="str">
        <f>IFERROR(__xludf.DUMMYFUNCTION("""COMPUTED_VALUE"""),"https://www.facebook.com/marjorie.vidad")</f>
        <v>https://www.facebook.com/marjorie.vidad</v>
      </c>
      <c r="B679" s="1" t="str">
        <f>IFERROR(__xludf.DUMMYFUNCTION("""COMPUTED_VALUE"""),"Eirojram Dadiv")</f>
        <v>Eirojram Dadiv</v>
      </c>
      <c r="C679" s="1" t="str">
        <f>IFERROR(__xludf.DUMMYFUNCTION("""COMPUTED_VALUE"""),"Eirojram")</f>
        <v>Eirojram</v>
      </c>
      <c r="D679" s="1" t="str">
        <f>IFERROR(__xludf.DUMMYFUNCTION("""COMPUTED_VALUE"""),"Dadiv")</f>
        <v>Dadiv</v>
      </c>
      <c r="E679" s="1" t="str">
        <f>IFERROR(__xludf.DUMMYFUNCTION("""COMPUTED_VALUE"""),"Liezl Kong ang tanong maayos nga ba? Or censored lang. meaning puro magaganda lang ang balita sayo. Pero wala kang alam sa ibang detalye o issues kasi nga kontrolado kung ano lang ibabalita o isasapubliko.")</f>
        <v>Liezl Kong ang tanong maayos nga ba? Or censored lang. meaning puro magaganda lang ang balita sayo. Pero wala kang alam sa ibang detalye o issues kasi nga kontrolado kung ano lang ibabalita o isasapubliko.</v>
      </c>
      <c r="F679" s="1">
        <f>IFERROR(__xludf.DUMMYFUNCTION("""COMPUTED_VALUE"""),3.0)</f>
        <v>3</v>
      </c>
      <c r="G679" s="1" t="str">
        <f>IFERROR(__xludf.DUMMYFUNCTION("""COMPUTED_VALUE"""),"3 mos")</f>
        <v>3 mos</v>
      </c>
      <c r="H679" s="1" t="str">
        <f>IFERROR(__xludf.DUMMYFUNCTION("""COMPUTED_VALUE"""),"reply")</f>
        <v>reply</v>
      </c>
      <c r="I679" s="2" t="str">
        <f>IFERROR(__xludf.DUMMYFUNCTION("""COMPUTED_VALUE"""),"https://www.facebook.com/rapplerdotcom/photos/a.317154781638645/5597116770309060/")</f>
        <v>https://www.facebook.com/rapplerdotcom/photos/a.317154781638645/5597116770309060/</v>
      </c>
      <c r="J679" s="1" t="str">
        <f>IFERROR(__xludf.DUMMYFUNCTION("""COMPUTED_VALUE"""),"2022-07-04T11:15:29.862Z")</f>
        <v>2022-07-04T11:15:29.862Z</v>
      </c>
      <c r="K679" s="1"/>
    </row>
    <row r="680">
      <c r="A680" s="2" t="str">
        <f>IFERROR(__xludf.DUMMYFUNCTION("""COMPUTED_VALUE"""),"https://www.facebook.com/concesa.orecul")</f>
        <v>https://www.facebook.com/concesa.orecul</v>
      </c>
      <c r="B680" s="1" t="str">
        <f>IFERROR(__xludf.DUMMYFUNCTION("""COMPUTED_VALUE"""),"Bêĺĺa Orecul")</f>
        <v>Bêĺĺa Orecul</v>
      </c>
      <c r="C680" s="1" t="str">
        <f>IFERROR(__xludf.DUMMYFUNCTION("""COMPUTED_VALUE"""),"Bêĺĺa")</f>
        <v>Bêĺĺa</v>
      </c>
      <c r="D680" s="1" t="str">
        <f>IFERROR(__xludf.DUMMYFUNCTION("""COMPUTED_VALUE"""),"Orecul")</f>
        <v>Orecul</v>
      </c>
      <c r="E680" s="1" t="str">
        <f>IFERROR(__xludf.DUMMYFUNCTION("""COMPUTED_VALUE"""),"Ang peperpekto niyo ehhhh nooh??? Puro kayo kuda, kontra here kontra there! Bibitter!🥴🥴🥴")</f>
        <v>Ang peperpekto niyo ehhhh nooh??? Puro kayo kuda, kontra here kontra there! Bibitter!🥴🥴🥴</v>
      </c>
      <c r="F680" s="1">
        <f>IFERROR(__xludf.DUMMYFUNCTION("""COMPUTED_VALUE"""),1.0)</f>
        <v>1</v>
      </c>
      <c r="G680" s="1" t="str">
        <f>IFERROR(__xludf.DUMMYFUNCTION("""COMPUTED_VALUE"""),"3 mos")</f>
        <v>3 mos</v>
      </c>
      <c r="H680" s="1" t="str">
        <f>IFERROR(__xludf.DUMMYFUNCTION("""COMPUTED_VALUE"""),"reply")</f>
        <v>reply</v>
      </c>
      <c r="I680" s="2" t="str">
        <f>IFERROR(__xludf.DUMMYFUNCTION("""COMPUTED_VALUE"""),"https://www.facebook.com/rapplerdotcom/photos/a.317154781638645/5597116770309060/")</f>
        <v>https://www.facebook.com/rapplerdotcom/photos/a.317154781638645/5597116770309060/</v>
      </c>
      <c r="J680" s="1" t="str">
        <f>IFERROR(__xludf.DUMMYFUNCTION("""COMPUTED_VALUE"""),"2022-07-04T11:15:29.862Z")</f>
        <v>2022-07-04T11:15:29.862Z</v>
      </c>
      <c r="K680" s="1"/>
    </row>
    <row r="681">
      <c r="A681" s="2" t="str">
        <f>IFERROR(__xludf.DUMMYFUNCTION("""COMPUTED_VALUE"""),"https://www.facebook.com/liezl.malinao.1")</f>
        <v>https://www.facebook.com/liezl.malinao.1</v>
      </c>
      <c r="B681" s="1" t="str">
        <f>IFERROR(__xludf.DUMMYFUNCTION("""COMPUTED_VALUE"""),"Liezl Kong")</f>
        <v>Liezl Kong</v>
      </c>
      <c r="C681" s="1" t="str">
        <f>IFERROR(__xludf.DUMMYFUNCTION("""COMPUTED_VALUE"""),"Liezl")</f>
        <v>Liezl</v>
      </c>
      <c r="D681" s="1" t="str">
        <f>IFERROR(__xludf.DUMMYFUNCTION("""COMPUTED_VALUE"""),"Kong")</f>
        <v>Kong</v>
      </c>
      <c r="E681" s="1" t="str">
        <f>IFERROR(__xludf.DUMMYFUNCTION("""COMPUTED_VALUE"""),"Eirojram Dadiv laking davao po ako kaya alm po nmin,milya milya ang layo noong hindi Duterte pa ang nka upo...")</f>
        <v>Eirojram Dadiv laking davao po ako kaya alm po nmin,milya milya ang layo noong hindi Duterte pa ang nka upo...</v>
      </c>
      <c r="F681" s="1"/>
      <c r="G681" s="1" t="str">
        <f>IFERROR(__xludf.DUMMYFUNCTION("""COMPUTED_VALUE"""),"3 mos")</f>
        <v>3 mos</v>
      </c>
      <c r="H681" s="1" t="str">
        <f>IFERROR(__xludf.DUMMYFUNCTION("""COMPUTED_VALUE"""),"reply")</f>
        <v>reply</v>
      </c>
      <c r="I681" s="2" t="str">
        <f>IFERROR(__xludf.DUMMYFUNCTION("""COMPUTED_VALUE"""),"https://www.facebook.com/rapplerdotcom/photos/a.317154781638645/5597116770309060/")</f>
        <v>https://www.facebook.com/rapplerdotcom/photos/a.317154781638645/5597116770309060/</v>
      </c>
      <c r="J681" s="1" t="str">
        <f>IFERROR(__xludf.DUMMYFUNCTION("""COMPUTED_VALUE"""),"2022-07-04T11:15:29.862Z")</f>
        <v>2022-07-04T11:15:29.862Z</v>
      </c>
      <c r="K681" s="1"/>
    </row>
    <row r="682">
      <c r="A682" s="2" t="str">
        <f>IFERROR(__xludf.DUMMYFUNCTION("""COMPUTED_VALUE"""),"https://www.facebook.com/pete.villena")</f>
        <v>https://www.facebook.com/pete.villena</v>
      </c>
      <c r="B682" s="1" t="str">
        <f>IFERROR(__xludf.DUMMYFUNCTION("""COMPUTED_VALUE"""),"Pete Villena")</f>
        <v>Pete Villena</v>
      </c>
      <c r="C682" s="1" t="str">
        <f>IFERROR(__xludf.DUMMYFUNCTION("""COMPUTED_VALUE"""),"Pete")</f>
        <v>Pete</v>
      </c>
      <c r="D682" s="1" t="str">
        <f>IFERROR(__xludf.DUMMYFUNCTION("""COMPUTED_VALUE"""),"Villena")</f>
        <v>Villena</v>
      </c>
      <c r="E682" s="1" t="str">
        <f>IFERROR(__xludf.DUMMYFUNCTION("""COMPUTED_VALUE"""),"Wala na talagang hiya yang mga political dynasties, makakapal mukha nila, ginawa ng hanap buhay o negosyo ang politika. Protekyon, inpluwensya at makakuha ng kontrata sa gobyerno ang ibang pakay nila. Mga ganid talaga!!!")</f>
        <v>Wala na talagang hiya yang mga political dynasties, makakapal mukha nila, ginawa ng hanap buhay o negosyo ang politika. Protekyon, inpluwensya at makakuha ng kontrata sa gobyerno ang ibang pakay nila. Mga ganid talaga!!!</v>
      </c>
      <c r="F682" s="1">
        <f>IFERROR(__xludf.DUMMYFUNCTION("""COMPUTED_VALUE"""),12.0)</f>
        <v>12</v>
      </c>
      <c r="G682" s="1" t="str">
        <f>IFERROR(__xludf.DUMMYFUNCTION("""COMPUTED_VALUE"""),"3 mos")</f>
        <v>3 mos</v>
      </c>
      <c r="H682" s="1" t="str">
        <f>IFERROR(__xludf.DUMMYFUNCTION("""COMPUTED_VALUE"""),"comment")</f>
        <v>comment</v>
      </c>
      <c r="I682" s="2" t="str">
        <f>IFERROR(__xludf.DUMMYFUNCTION("""COMPUTED_VALUE"""),"https://www.facebook.com/rapplerdotcom/photos/a.317154781638645/5597116770309060/")</f>
        <v>https://www.facebook.com/rapplerdotcom/photos/a.317154781638645/5597116770309060/</v>
      </c>
      <c r="J682" s="1" t="str">
        <f>IFERROR(__xludf.DUMMYFUNCTION("""COMPUTED_VALUE"""),"2022-07-04T11:15:29.862Z")</f>
        <v>2022-07-04T11:15:29.862Z</v>
      </c>
      <c r="K682" s="1"/>
    </row>
    <row r="683">
      <c r="A683" s="2" t="str">
        <f>IFERROR(__xludf.DUMMYFUNCTION("""COMPUTED_VALUE"""),"https://www.facebook.com/manny.matibag.1")</f>
        <v>https://www.facebook.com/manny.matibag.1</v>
      </c>
      <c r="B683" s="1" t="str">
        <f>IFERROR(__xludf.DUMMYFUNCTION("""COMPUTED_VALUE"""),"Manny Matibag")</f>
        <v>Manny Matibag</v>
      </c>
      <c r="C683" s="1" t="str">
        <f>IFERROR(__xludf.DUMMYFUNCTION("""COMPUTED_VALUE"""),"Manny")</f>
        <v>Manny</v>
      </c>
      <c r="D683" s="1" t="str">
        <f>IFERROR(__xludf.DUMMYFUNCTION("""COMPUTED_VALUE"""),"Matibag")</f>
        <v>Matibag</v>
      </c>
      <c r="E683" s="1" t="str">
        <f>IFERROR(__xludf.DUMMYFUNCTION("""COMPUTED_VALUE"""),"Ilocos wake up..., now is the time to free yourselves from chained of fanaticism and idolatry for real progress in your region.")</f>
        <v>Ilocos wake up..., now is the time to free yourselves from chained of fanaticism and idolatry for real progress in your region.</v>
      </c>
      <c r="F683" s="1">
        <f>IFERROR(__xludf.DUMMYFUNCTION("""COMPUTED_VALUE"""),3.0)</f>
        <v>3</v>
      </c>
      <c r="G683" s="1" t="str">
        <f>IFERROR(__xludf.DUMMYFUNCTION("""COMPUTED_VALUE"""),"3 mos")</f>
        <v>3 mos</v>
      </c>
      <c r="H683" s="1" t="str">
        <f>IFERROR(__xludf.DUMMYFUNCTION("""COMPUTED_VALUE"""),"comment")</f>
        <v>comment</v>
      </c>
      <c r="I683" s="2" t="str">
        <f>IFERROR(__xludf.DUMMYFUNCTION("""COMPUTED_VALUE"""),"https://www.facebook.com/rapplerdotcom/photos/a.317154781638645/5597116770309060/")</f>
        <v>https://www.facebook.com/rapplerdotcom/photos/a.317154781638645/5597116770309060/</v>
      </c>
      <c r="J683" s="1" t="str">
        <f>IFERROR(__xludf.DUMMYFUNCTION("""COMPUTED_VALUE"""),"2022-07-04T11:15:29.863Z")</f>
        <v>2022-07-04T11:15:29.863Z</v>
      </c>
      <c r="K683" s="1"/>
    </row>
    <row r="684">
      <c r="A684" s="2" t="str">
        <f>IFERROR(__xludf.DUMMYFUNCTION("""COMPUTED_VALUE"""),"https://www.facebook.com/denis.sahagon")</f>
        <v>https://www.facebook.com/denis.sahagon</v>
      </c>
      <c r="B684" s="1" t="str">
        <f>IFERROR(__xludf.DUMMYFUNCTION("""COMPUTED_VALUE"""),"Denis Sahagon")</f>
        <v>Denis Sahagon</v>
      </c>
      <c r="C684" s="1" t="str">
        <f>IFERROR(__xludf.DUMMYFUNCTION("""COMPUTED_VALUE"""),"Denis")</f>
        <v>Denis</v>
      </c>
      <c r="D684" s="1" t="str">
        <f>IFERROR(__xludf.DUMMYFUNCTION("""COMPUTED_VALUE"""),"Sahagon")</f>
        <v>Sahagon</v>
      </c>
      <c r="E684" s="1" t="str">
        <f>IFERROR(__xludf.DUMMYFUNCTION("""COMPUTED_VALUE"""),"REALTALK LANG: Your choice of candidates reflects your principle, character and values.  Simply because you see yourself in them.")</f>
        <v>REALTALK LANG: Your choice of candidates reflects your principle, character and values.  Simply because you see yourself in them.</v>
      </c>
      <c r="F684" s="1">
        <f>IFERROR(__xludf.DUMMYFUNCTION("""COMPUTED_VALUE"""),30.0)</f>
        <v>30</v>
      </c>
      <c r="G684" s="1" t="str">
        <f>IFERROR(__xludf.DUMMYFUNCTION("""COMPUTED_VALUE"""),"3 mos")</f>
        <v>3 mos</v>
      </c>
      <c r="H684" s="1" t="str">
        <f>IFERROR(__xludf.DUMMYFUNCTION("""COMPUTED_VALUE"""),"comment")</f>
        <v>comment</v>
      </c>
      <c r="I684" s="2" t="str">
        <f>IFERROR(__xludf.DUMMYFUNCTION("""COMPUTED_VALUE"""),"https://www.facebook.com/rapplerdotcom/photos/a.317154781638645/5597116770309060/")</f>
        <v>https://www.facebook.com/rapplerdotcom/photos/a.317154781638645/5597116770309060/</v>
      </c>
      <c r="J684" s="1" t="str">
        <f>IFERROR(__xludf.DUMMYFUNCTION("""COMPUTED_VALUE"""),"2022-07-04T11:15:29.863Z")</f>
        <v>2022-07-04T11:15:29.863Z</v>
      </c>
      <c r="K684" s="1"/>
    </row>
    <row r="685">
      <c r="A685" s="2" t="str">
        <f>IFERROR(__xludf.DUMMYFUNCTION("""COMPUTED_VALUE"""),"https://www.facebook.com/profile.php?id=100009111409816")</f>
        <v>https://www.facebook.com/profile.php?id=100009111409816</v>
      </c>
      <c r="B685" s="1" t="str">
        <f>IFERROR(__xludf.DUMMYFUNCTION("""COMPUTED_VALUE"""),"Nida Saldivia")</f>
        <v>Nida Saldivia</v>
      </c>
      <c r="C685" s="1" t="str">
        <f>IFERROR(__xludf.DUMMYFUNCTION("""COMPUTED_VALUE"""),"Nida")</f>
        <v>Nida</v>
      </c>
      <c r="D685" s="1" t="str">
        <f>IFERROR(__xludf.DUMMYFUNCTION("""COMPUTED_VALUE"""),"Saldivia")</f>
        <v>Saldivia</v>
      </c>
      <c r="E685" s="1" t="str">
        <f>IFERROR(__xludf.DUMMYFUNCTION("""COMPUTED_VALUE"""),"Denis Sahagon 💚💚💚💖💖💖")</f>
        <v>Denis Sahagon 💚💚💚💖💖💖</v>
      </c>
      <c r="F685" s="1"/>
      <c r="G685" s="1" t="str">
        <f>IFERROR(__xludf.DUMMYFUNCTION("""COMPUTED_VALUE"""),"3 mos")</f>
        <v>3 mos</v>
      </c>
      <c r="H685" s="1" t="str">
        <f>IFERROR(__xludf.DUMMYFUNCTION("""COMPUTED_VALUE"""),"reply")</f>
        <v>reply</v>
      </c>
      <c r="I685" s="2" t="str">
        <f>IFERROR(__xludf.DUMMYFUNCTION("""COMPUTED_VALUE"""),"https://www.facebook.com/rapplerdotcom/photos/a.317154781638645/5597116770309060/")</f>
        <v>https://www.facebook.com/rapplerdotcom/photos/a.317154781638645/5597116770309060/</v>
      </c>
      <c r="J685" s="1" t="str">
        <f>IFERROR(__xludf.DUMMYFUNCTION("""COMPUTED_VALUE"""),"2022-07-04T11:15:29.863Z")</f>
        <v>2022-07-04T11:15:29.863Z</v>
      </c>
      <c r="K685" s="1"/>
    </row>
    <row r="686">
      <c r="A686" s="2" t="str">
        <f>IFERROR(__xludf.DUMMYFUNCTION("""COMPUTED_VALUE"""),"https://www.facebook.com/mario.beroya")</f>
        <v>https://www.facebook.com/mario.beroya</v>
      </c>
      <c r="B686" s="1" t="str">
        <f>IFERROR(__xludf.DUMMYFUNCTION("""COMPUTED_VALUE"""),"Mario Beroya")</f>
        <v>Mario Beroya</v>
      </c>
      <c r="C686" s="1" t="str">
        <f>IFERROR(__xludf.DUMMYFUNCTION("""COMPUTED_VALUE"""),"Mario")</f>
        <v>Mario</v>
      </c>
      <c r="D686" s="1" t="str">
        <f>IFERROR(__xludf.DUMMYFUNCTION("""COMPUTED_VALUE"""),"Beroya")</f>
        <v>Beroya</v>
      </c>
      <c r="E686" s="1" t="str">
        <f>IFERROR(__xludf.DUMMYFUNCTION("""COMPUTED_VALUE"""),"A BIG NO TO MARCOSES...NO RETURN TO MALACANANG!!!")</f>
        <v>A BIG NO TO MARCOSES...NO RETURN TO MALACANANG!!!</v>
      </c>
      <c r="F686" s="1">
        <f>IFERROR(__xludf.DUMMYFUNCTION("""COMPUTED_VALUE"""),8.0)</f>
        <v>8</v>
      </c>
      <c r="G686" s="1" t="str">
        <f>IFERROR(__xludf.DUMMYFUNCTION("""COMPUTED_VALUE"""),"3 mos")</f>
        <v>3 mos</v>
      </c>
      <c r="H686" s="1" t="str">
        <f>IFERROR(__xludf.DUMMYFUNCTION("""COMPUTED_VALUE"""),"comment")</f>
        <v>comment</v>
      </c>
      <c r="I686" s="2" t="str">
        <f>IFERROR(__xludf.DUMMYFUNCTION("""COMPUTED_VALUE"""),"https://www.facebook.com/rapplerdotcom/photos/a.317154781638645/5597116770309060/")</f>
        <v>https://www.facebook.com/rapplerdotcom/photos/a.317154781638645/5597116770309060/</v>
      </c>
      <c r="J686" s="1" t="str">
        <f>IFERROR(__xludf.DUMMYFUNCTION("""COMPUTED_VALUE"""),"2022-07-04T11:15:29.863Z")</f>
        <v>2022-07-04T11:15:29.863Z</v>
      </c>
      <c r="K686" s="1"/>
    </row>
    <row r="687">
      <c r="A687" s="2" t="str">
        <f>IFERROR(__xludf.DUMMYFUNCTION("""COMPUTED_VALUE"""),"https://www.facebook.com/profile.php?id=100070135061875")</f>
        <v>https://www.facebook.com/profile.php?id=100070135061875</v>
      </c>
      <c r="B687" s="1" t="str">
        <f>IFERROR(__xludf.DUMMYFUNCTION("""COMPUTED_VALUE"""),"Reyes Anjo")</f>
        <v>Reyes Anjo</v>
      </c>
      <c r="C687" s="1" t="str">
        <f>IFERROR(__xludf.DUMMYFUNCTION("""COMPUTED_VALUE"""),"Reyes")</f>
        <v>Reyes</v>
      </c>
      <c r="D687" s="1" t="str">
        <f>IFERROR(__xludf.DUMMYFUNCTION("""COMPUTED_VALUE"""),"Anjo")</f>
        <v>Anjo</v>
      </c>
      <c r="E687" s="1" t="str">
        <f>IFERROR(__xludf.DUMMYFUNCTION("""COMPUTED_VALUE"""),"Mario Beroya buahahahaha")</f>
        <v>Mario Beroya buahahahaha</v>
      </c>
      <c r="F687" s="1"/>
      <c r="G687" s="1" t="str">
        <f>IFERROR(__xludf.DUMMYFUNCTION("""COMPUTED_VALUE"""),"3 mos")</f>
        <v>3 mos</v>
      </c>
      <c r="H687" s="1" t="str">
        <f>IFERROR(__xludf.DUMMYFUNCTION("""COMPUTED_VALUE"""),"reply")</f>
        <v>reply</v>
      </c>
      <c r="I687" s="2" t="str">
        <f>IFERROR(__xludf.DUMMYFUNCTION("""COMPUTED_VALUE"""),"https://www.facebook.com/rapplerdotcom/photos/a.317154781638645/5597116770309060/")</f>
        <v>https://www.facebook.com/rapplerdotcom/photos/a.317154781638645/5597116770309060/</v>
      </c>
      <c r="J687" s="1" t="str">
        <f>IFERROR(__xludf.DUMMYFUNCTION("""COMPUTED_VALUE"""),"2022-07-04T11:15:29.863Z")</f>
        <v>2022-07-04T11:15:29.863Z</v>
      </c>
      <c r="K687" s="1"/>
    </row>
    <row r="688">
      <c r="A688" s="2" t="str">
        <f>IFERROR(__xludf.DUMMYFUNCTION("""COMPUTED_VALUE"""),"https://www.facebook.com/profile.php?id=100009111409816")</f>
        <v>https://www.facebook.com/profile.php?id=100009111409816</v>
      </c>
      <c r="B688" s="1" t="str">
        <f>IFERROR(__xludf.DUMMYFUNCTION("""COMPUTED_VALUE"""),"Nida Saldivia")</f>
        <v>Nida Saldivia</v>
      </c>
      <c r="C688" s="1" t="str">
        <f>IFERROR(__xludf.DUMMYFUNCTION("""COMPUTED_VALUE"""),"Nida")</f>
        <v>Nida</v>
      </c>
      <c r="D688" s="1" t="str">
        <f>IFERROR(__xludf.DUMMYFUNCTION("""COMPUTED_VALUE"""),"Saldivia")</f>
        <v>Saldivia</v>
      </c>
      <c r="E688" s="1" t="str">
        <f>IFERROR(__xludf.DUMMYFUNCTION("""COMPUTED_VALUE"""),"Mario Beroya 💚💖💚💖💚💖💚💖💚")</f>
        <v>Mario Beroya 💚💖💚💖💚💖💚💖💚</v>
      </c>
      <c r="F688" s="1"/>
      <c r="G688" s="1" t="str">
        <f>IFERROR(__xludf.DUMMYFUNCTION("""COMPUTED_VALUE"""),"3 mos")</f>
        <v>3 mos</v>
      </c>
      <c r="H688" s="1" t="str">
        <f>IFERROR(__xludf.DUMMYFUNCTION("""COMPUTED_VALUE"""),"reply")</f>
        <v>reply</v>
      </c>
      <c r="I688" s="2" t="str">
        <f>IFERROR(__xludf.DUMMYFUNCTION("""COMPUTED_VALUE"""),"https://www.facebook.com/rapplerdotcom/photos/a.317154781638645/5597116770309060/")</f>
        <v>https://www.facebook.com/rapplerdotcom/photos/a.317154781638645/5597116770309060/</v>
      </c>
      <c r="J688" s="1" t="str">
        <f>IFERROR(__xludf.DUMMYFUNCTION("""COMPUTED_VALUE"""),"2022-07-04T11:15:29.863Z")</f>
        <v>2022-07-04T11:15:29.863Z</v>
      </c>
      <c r="K688" s="1"/>
    </row>
    <row r="689">
      <c r="A689" s="2" t="str">
        <f>IFERROR(__xludf.DUMMYFUNCTION("""COMPUTED_VALUE"""),"https://www.facebook.com/jeery.s.gerard")</f>
        <v>https://www.facebook.com/jeery.s.gerard</v>
      </c>
      <c r="B689" s="1" t="str">
        <f>IFERROR(__xludf.DUMMYFUNCTION("""COMPUTED_VALUE"""),"Elvis Basil")</f>
        <v>Elvis Basil</v>
      </c>
      <c r="C689" s="1" t="str">
        <f>IFERROR(__xludf.DUMMYFUNCTION("""COMPUTED_VALUE"""),"Elvis")</f>
        <v>Elvis</v>
      </c>
      <c r="D689" s="1" t="str">
        <f>IFERROR(__xludf.DUMMYFUNCTION("""COMPUTED_VALUE"""),"Basil")</f>
        <v>Basil</v>
      </c>
      <c r="E689" s="1" t="str">
        <f>IFERROR(__xludf.DUMMYFUNCTION("""COMPUTED_VALUE"""),"Very true.No more Solid North.")</f>
        <v>Very true.No more Solid North.</v>
      </c>
      <c r="F689" s="1">
        <f>IFERROR(__xludf.DUMMYFUNCTION("""COMPUTED_VALUE"""),2.0)</f>
        <v>2</v>
      </c>
      <c r="G689" s="1" t="str">
        <f>IFERROR(__xludf.DUMMYFUNCTION("""COMPUTED_VALUE"""),"3 mos")</f>
        <v>3 mos</v>
      </c>
      <c r="H689" s="1" t="str">
        <f>IFERROR(__xludf.DUMMYFUNCTION("""COMPUTED_VALUE"""),"comment")</f>
        <v>comment</v>
      </c>
      <c r="I689" s="2" t="str">
        <f>IFERROR(__xludf.DUMMYFUNCTION("""COMPUTED_VALUE"""),"https://www.facebook.com/rapplerdotcom/photos/a.317154781638645/5597116770309060/")</f>
        <v>https://www.facebook.com/rapplerdotcom/photos/a.317154781638645/5597116770309060/</v>
      </c>
      <c r="J689" s="1" t="str">
        <f>IFERROR(__xludf.DUMMYFUNCTION("""COMPUTED_VALUE"""),"2022-07-04T11:15:29.863Z")</f>
        <v>2022-07-04T11:15:29.863Z</v>
      </c>
      <c r="K689" s="1"/>
    </row>
    <row r="690">
      <c r="A690" s="2" t="str">
        <f>IFERROR(__xludf.DUMMYFUNCTION("""COMPUTED_VALUE"""),"https://www.facebook.com/obe.m.cruz")</f>
        <v>https://www.facebook.com/obe.m.cruz</v>
      </c>
      <c r="B690" s="1" t="str">
        <f>IFERROR(__xludf.DUMMYFUNCTION("""COMPUTED_VALUE"""),"Obe Ma Cruz")</f>
        <v>Obe Ma Cruz</v>
      </c>
      <c r="C690" s="1" t="str">
        <f>IFERROR(__xludf.DUMMYFUNCTION("""COMPUTED_VALUE"""),"Obe")</f>
        <v>Obe</v>
      </c>
      <c r="D690" s="1" t="str">
        <f>IFERROR(__xludf.DUMMYFUNCTION("""COMPUTED_VALUE"""),"Ma Cruz")</f>
        <v>Ma Cruz</v>
      </c>
      <c r="E690" s="1" t="str">
        <f>IFERROR(__xludf.DUMMYFUNCTION("""COMPUTED_VALUE"""),"There is nothing wrong in dynasty as long as they have the result of their duty. Dynasty is Given since in the Old Testament.")</f>
        <v>There is nothing wrong in dynasty as long as they have the result of their duty. Dynasty is Given since in the Old Testament.</v>
      </c>
      <c r="F690" s="1">
        <f>IFERROR(__xludf.DUMMYFUNCTION("""COMPUTED_VALUE"""),18.0)</f>
        <v>18</v>
      </c>
      <c r="G690" s="1" t="str">
        <f>IFERROR(__xludf.DUMMYFUNCTION("""COMPUTED_VALUE"""),"3 mos")</f>
        <v>3 mos</v>
      </c>
      <c r="H690" s="1" t="str">
        <f>IFERROR(__xludf.DUMMYFUNCTION("""COMPUTED_VALUE"""),"comment")</f>
        <v>comment</v>
      </c>
      <c r="I690" s="2" t="str">
        <f>IFERROR(__xludf.DUMMYFUNCTION("""COMPUTED_VALUE"""),"https://www.facebook.com/rapplerdotcom/photos/a.317154781638645/5597116770309060/")</f>
        <v>https://www.facebook.com/rapplerdotcom/photos/a.317154781638645/5597116770309060/</v>
      </c>
      <c r="J690" s="1" t="str">
        <f>IFERROR(__xludf.DUMMYFUNCTION("""COMPUTED_VALUE"""),"2022-07-04T11:15:29.863Z")</f>
        <v>2022-07-04T11:15:29.863Z</v>
      </c>
      <c r="K690" s="1"/>
    </row>
    <row r="691">
      <c r="A691" s="2" t="str">
        <f>IFERROR(__xludf.DUMMYFUNCTION("""COMPUTED_VALUE"""),"https://www.facebook.com/joanamarcelabauson")</f>
        <v>https://www.facebook.com/joanamarcelabauson</v>
      </c>
      <c r="B691" s="1" t="str">
        <f>IFERROR(__xludf.DUMMYFUNCTION("""COMPUTED_VALUE"""),"Joana Bauson")</f>
        <v>Joana Bauson</v>
      </c>
      <c r="C691" s="1" t="str">
        <f>IFERROR(__xludf.DUMMYFUNCTION("""COMPUTED_VALUE"""),"Joana")</f>
        <v>Joana</v>
      </c>
      <c r="D691" s="1" t="str">
        <f>IFERROR(__xludf.DUMMYFUNCTION("""COMPUTED_VALUE"""),"Bauson")</f>
        <v>Bauson</v>
      </c>
      <c r="E691" s="1" t="str">
        <f>IFERROR(__xludf.DUMMYFUNCTION("""COMPUTED_VALUE"""),"Obe Ma Cruz MONARCHIAL PO SA OT.")</f>
        <v>Obe Ma Cruz MONARCHIAL PO SA OT.</v>
      </c>
      <c r="F691" s="1">
        <f>IFERROR(__xludf.DUMMYFUNCTION("""COMPUTED_VALUE"""),5.0)</f>
        <v>5</v>
      </c>
      <c r="G691" s="1" t="str">
        <f>IFERROR(__xludf.DUMMYFUNCTION("""COMPUTED_VALUE"""),"3 mos")</f>
        <v>3 mos</v>
      </c>
      <c r="H691" s="1" t="str">
        <f>IFERROR(__xludf.DUMMYFUNCTION("""COMPUTED_VALUE"""),"reply")</f>
        <v>reply</v>
      </c>
      <c r="I691" s="2" t="str">
        <f>IFERROR(__xludf.DUMMYFUNCTION("""COMPUTED_VALUE"""),"https://www.facebook.com/rapplerdotcom/photos/a.317154781638645/5597116770309060/")</f>
        <v>https://www.facebook.com/rapplerdotcom/photos/a.317154781638645/5597116770309060/</v>
      </c>
      <c r="J691" s="1" t="str">
        <f>IFERROR(__xludf.DUMMYFUNCTION("""COMPUTED_VALUE"""),"2022-07-04T11:15:29.863Z")</f>
        <v>2022-07-04T11:15:29.863Z</v>
      </c>
      <c r="K691" s="1"/>
    </row>
    <row r="692">
      <c r="A692" s="2" t="str">
        <f>IFERROR(__xludf.DUMMYFUNCTION("""COMPUTED_VALUE"""),"https://www.facebook.com/tito.comesario")</f>
        <v>https://www.facebook.com/tito.comesario</v>
      </c>
      <c r="B692" s="1" t="str">
        <f>IFERROR(__xludf.DUMMYFUNCTION("""COMPUTED_VALUE"""),"Tito Comesario")</f>
        <v>Tito Comesario</v>
      </c>
      <c r="C692" s="1" t="str">
        <f>IFERROR(__xludf.DUMMYFUNCTION("""COMPUTED_VALUE"""),"Tito")</f>
        <v>Tito</v>
      </c>
      <c r="D692" s="1" t="str">
        <f>IFERROR(__xludf.DUMMYFUNCTION("""COMPUTED_VALUE"""),"Comesario")</f>
        <v>Comesario</v>
      </c>
      <c r="E692" s="1" t="str">
        <f>IFERROR(__xludf.DUMMYFUNCTION("""COMPUTED_VALUE"""),"Obe Ma Cruz kaya walang unlad ang pilipinas dahil sa kagaya mo")</f>
        <v>Obe Ma Cruz kaya walang unlad ang pilipinas dahil sa kagaya mo</v>
      </c>
      <c r="F692" s="1">
        <f>IFERROR(__xludf.DUMMYFUNCTION("""COMPUTED_VALUE"""),3.0)</f>
        <v>3</v>
      </c>
      <c r="G692" s="1" t="str">
        <f>IFERROR(__xludf.DUMMYFUNCTION("""COMPUTED_VALUE"""),"3 mos")</f>
        <v>3 mos</v>
      </c>
      <c r="H692" s="1" t="str">
        <f>IFERROR(__xludf.DUMMYFUNCTION("""COMPUTED_VALUE"""),"reply")</f>
        <v>reply</v>
      </c>
      <c r="I692" s="2" t="str">
        <f>IFERROR(__xludf.DUMMYFUNCTION("""COMPUTED_VALUE"""),"https://www.facebook.com/rapplerdotcom/photos/a.317154781638645/5597116770309060/")</f>
        <v>https://www.facebook.com/rapplerdotcom/photos/a.317154781638645/5597116770309060/</v>
      </c>
      <c r="J692" s="1" t="str">
        <f>IFERROR(__xludf.DUMMYFUNCTION("""COMPUTED_VALUE"""),"2022-07-04T11:15:29.863Z")</f>
        <v>2022-07-04T11:15:29.863Z</v>
      </c>
      <c r="K692" s="1"/>
    </row>
    <row r="693">
      <c r="A693" s="2" t="str">
        <f>IFERROR(__xludf.DUMMYFUNCTION("""COMPUTED_VALUE"""),"https://www.facebook.com/eva.jimenez.39794895")</f>
        <v>https://www.facebook.com/eva.jimenez.39794895</v>
      </c>
      <c r="B693" s="1" t="str">
        <f>IFERROR(__xludf.DUMMYFUNCTION("""COMPUTED_VALUE"""),"Eva Jimenez")</f>
        <v>Eva Jimenez</v>
      </c>
      <c r="C693" s="1" t="str">
        <f>IFERROR(__xludf.DUMMYFUNCTION("""COMPUTED_VALUE"""),"Eva")</f>
        <v>Eva</v>
      </c>
      <c r="D693" s="1" t="str">
        <f>IFERROR(__xludf.DUMMYFUNCTION("""COMPUTED_VALUE"""),"Jimenez")</f>
        <v>Jimenez</v>
      </c>
      <c r="E693" s="1" t="str">
        <f>IFERROR(__xludf.DUMMYFUNCTION("""COMPUTED_VALUE"""),"Good luck to the winner to be.God bless you all. Huwag mandaya ,consensiya ninyo ang uusig sa iyo forever kung mamanalo kayo dahil sa dayaan.")</f>
        <v>Good luck to the winner to be.God bless you all. Huwag mandaya ,consensiya ninyo ang uusig sa iyo forever kung mamanalo kayo dahil sa dayaan.</v>
      </c>
      <c r="F693" s="1"/>
      <c r="G693" s="1" t="str">
        <f>IFERROR(__xludf.DUMMYFUNCTION("""COMPUTED_VALUE"""),"3 mos")</f>
        <v>3 mos</v>
      </c>
      <c r="H693" s="1" t="str">
        <f>IFERROR(__xludf.DUMMYFUNCTION("""COMPUTED_VALUE"""),"comment")</f>
        <v>comment</v>
      </c>
      <c r="I693" s="2" t="str">
        <f>IFERROR(__xludf.DUMMYFUNCTION("""COMPUTED_VALUE"""),"https://www.facebook.com/rapplerdotcom/photos/a.317154781638645/5597116770309060/")</f>
        <v>https://www.facebook.com/rapplerdotcom/photos/a.317154781638645/5597116770309060/</v>
      </c>
      <c r="J693" s="1" t="str">
        <f>IFERROR(__xludf.DUMMYFUNCTION("""COMPUTED_VALUE"""),"2022-07-04T11:15:29.863Z")</f>
        <v>2022-07-04T11:15:29.863Z</v>
      </c>
      <c r="K693" s="1"/>
    </row>
    <row r="694">
      <c r="A694" s="2" t="str">
        <f>IFERROR(__xludf.DUMMYFUNCTION("""COMPUTED_VALUE"""),"https://www.facebook.com/marylynacopiadodaganasol")</f>
        <v>https://www.facebook.com/marylynacopiadodaganasol</v>
      </c>
      <c r="B694" s="1" t="str">
        <f>IFERROR(__xludf.DUMMYFUNCTION("""COMPUTED_VALUE"""),"Mary Lyn Daganasol")</f>
        <v>Mary Lyn Daganasol</v>
      </c>
      <c r="C694" s="1" t="str">
        <f>IFERROR(__xludf.DUMMYFUNCTION("""COMPUTED_VALUE"""),"Mary")</f>
        <v>Mary</v>
      </c>
      <c r="D694" s="1" t="str">
        <f>IFERROR(__xludf.DUMMYFUNCTION("""COMPUTED_VALUE"""),"Lyn Daganasol")</f>
        <v>Lyn Daganasol</v>
      </c>
      <c r="E694" s="1" t="str">
        <f>IFERROR(__xludf.DUMMYFUNCTION("""COMPUTED_VALUE"""),"Yon ang problema magpapamilya ang tumakbo ano nga nman choice mo di pamilya din nila ang tanging magagawa mo nalang mag isip sino ba sa kanila ang sa tingin mo medyo mabuti buti ang pagkatao at may konting malasakit sa mamamayan🤭🤭🤔🤔")</f>
        <v>Yon ang problema magpapamilya ang tumakbo ano nga nman choice mo di pamilya din nila ang tanging magagawa mo nalang mag isip sino ba sa kanila ang sa tingin mo medyo mabuti buti ang pagkatao at may konting malasakit sa mamamayan🤭🤭🤔🤔</v>
      </c>
      <c r="F694" s="1"/>
      <c r="G694" s="1" t="str">
        <f>IFERROR(__xludf.DUMMYFUNCTION("""COMPUTED_VALUE"""),"3 mos")</f>
        <v>3 mos</v>
      </c>
      <c r="H694" s="1" t="str">
        <f>IFERROR(__xludf.DUMMYFUNCTION("""COMPUTED_VALUE"""),"comment")</f>
        <v>comment</v>
      </c>
      <c r="I694" s="2" t="str">
        <f>IFERROR(__xludf.DUMMYFUNCTION("""COMPUTED_VALUE"""),"https://www.facebook.com/rapplerdotcom/photos/a.317154781638645/5597116770309060/")</f>
        <v>https://www.facebook.com/rapplerdotcom/photos/a.317154781638645/5597116770309060/</v>
      </c>
      <c r="J694" s="1" t="str">
        <f>IFERROR(__xludf.DUMMYFUNCTION("""COMPUTED_VALUE"""),"2022-07-04T11:15:29.863Z")</f>
        <v>2022-07-04T11:15:29.863Z</v>
      </c>
      <c r="K694" s="1"/>
    </row>
    <row r="695">
      <c r="A695" s="2" t="str">
        <f>IFERROR(__xludf.DUMMYFUNCTION("""COMPUTED_VALUE"""),"https://www.facebook.com/profile.php?id=100011919187220")</f>
        <v>https://www.facebook.com/profile.php?id=100011919187220</v>
      </c>
      <c r="B695" s="1" t="str">
        <f>IFERROR(__xludf.DUMMYFUNCTION("""COMPUTED_VALUE"""),"Pedro Penduko")</f>
        <v>Pedro Penduko</v>
      </c>
      <c r="C695" s="1" t="str">
        <f>IFERROR(__xludf.DUMMYFUNCTION("""COMPUTED_VALUE"""),"Pedro")</f>
        <v>Pedro</v>
      </c>
      <c r="D695" s="1" t="str">
        <f>IFERROR(__xludf.DUMMYFUNCTION("""COMPUTED_VALUE"""),"Penduko")</f>
        <v>Penduko</v>
      </c>
      <c r="E695" s="1" t="str">
        <f>IFERROR(__xludf.DUMMYFUNCTION("""COMPUTED_VALUE"""),"The worst dynastic oligarchy.")</f>
        <v>The worst dynastic oligarchy.</v>
      </c>
      <c r="F695" s="1"/>
      <c r="G695" s="1" t="str">
        <f>IFERROR(__xludf.DUMMYFUNCTION("""COMPUTED_VALUE"""),"3 mos")</f>
        <v>3 mos</v>
      </c>
      <c r="H695" s="1" t="str">
        <f>IFERROR(__xludf.DUMMYFUNCTION("""COMPUTED_VALUE"""),"comment")</f>
        <v>comment</v>
      </c>
      <c r="I695" s="2" t="str">
        <f>IFERROR(__xludf.DUMMYFUNCTION("""COMPUTED_VALUE"""),"https://www.facebook.com/rapplerdotcom/photos/a.317154781638645/5597116770309060/")</f>
        <v>https://www.facebook.com/rapplerdotcom/photos/a.317154781638645/5597116770309060/</v>
      </c>
      <c r="J695" s="1" t="str">
        <f>IFERROR(__xludf.DUMMYFUNCTION("""COMPUTED_VALUE"""),"2022-07-04T11:15:29.863Z")</f>
        <v>2022-07-04T11:15:29.863Z</v>
      </c>
      <c r="K695" s="1"/>
    </row>
    <row r="696">
      <c r="A696" s="2" t="str">
        <f>IFERROR(__xludf.DUMMYFUNCTION("""COMPUTED_VALUE"""),"https://www.facebook.com/edgardo.eva")</f>
        <v>https://www.facebook.com/edgardo.eva</v>
      </c>
      <c r="B696" s="1" t="str">
        <f>IFERROR(__xludf.DUMMYFUNCTION("""COMPUTED_VALUE"""),"Edgardo Eva")</f>
        <v>Edgardo Eva</v>
      </c>
      <c r="C696" s="1" t="str">
        <f>IFERROR(__xludf.DUMMYFUNCTION("""COMPUTED_VALUE"""),"Edgardo")</f>
        <v>Edgardo</v>
      </c>
      <c r="D696" s="1" t="str">
        <f>IFERROR(__xludf.DUMMYFUNCTION("""COMPUTED_VALUE"""),"Eva")</f>
        <v>Eva</v>
      </c>
      <c r="E696" s="1" t="str">
        <f>IFERROR(__xludf.DUMMYFUNCTION("""COMPUTED_VALUE"""),"When the present generation are weak and liars, the tower of arrogance has nowhere to go  but crumble...")</f>
        <v>When the present generation are weak and liars, the tower of arrogance has nowhere to go  but crumble...</v>
      </c>
      <c r="F696" s="1"/>
      <c r="G696" s="1" t="str">
        <f>IFERROR(__xludf.DUMMYFUNCTION("""COMPUTED_VALUE"""),"3 mos")</f>
        <v>3 mos</v>
      </c>
      <c r="H696" s="1" t="str">
        <f>IFERROR(__xludf.DUMMYFUNCTION("""COMPUTED_VALUE"""),"comment")</f>
        <v>comment</v>
      </c>
      <c r="I696" s="2" t="str">
        <f>IFERROR(__xludf.DUMMYFUNCTION("""COMPUTED_VALUE"""),"https://www.facebook.com/rapplerdotcom/photos/a.317154781638645/5597116770309060/")</f>
        <v>https://www.facebook.com/rapplerdotcom/photos/a.317154781638645/5597116770309060/</v>
      </c>
      <c r="J696" s="1" t="str">
        <f>IFERROR(__xludf.DUMMYFUNCTION("""COMPUTED_VALUE"""),"2022-07-04T11:15:29.863Z")</f>
        <v>2022-07-04T11:15:29.863Z</v>
      </c>
      <c r="K696" s="1"/>
    </row>
    <row r="697">
      <c r="A697" s="2" t="str">
        <f>IFERROR(__xludf.DUMMYFUNCTION("""COMPUTED_VALUE"""),"https://www.facebook.com/profile.php?id=100010194641005")</f>
        <v>https://www.facebook.com/profile.php?id=100010194641005</v>
      </c>
      <c r="B697" s="1" t="str">
        <f>IFERROR(__xludf.DUMMYFUNCTION("""COMPUTED_VALUE"""),"Lito de Torres")</f>
        <v>Lito de Torres</v>
      </c>
      <c r="C697" s="1" t="str">
        <f>IFERROR(__xludf.DUMMYFUNCTION("""COMPUTED_VALUE"""),"Lito")</f>
        <v>Lito</v>
      </c>
      <c r="D697" s="1" t="str">
        <f>IFERROR(__xludf.DUMMYFUNCTION("""COMPUTED_VALUE"""),"de Torres")</f>
        <v>de Torres</v>
      </c>
      <c r="E697" s="1" t="str">
        <f>IFERROR(__xludf.DUMMYFUNCTION("""COMPUTED_VALUE"""),"You have a better choice. An awarded and full of achievement young leader in this generation 💙☝️💙☝️  https://fb.watch/b-jVvTyDqb/")</f>
        <v>You have a better choice. An awarded and full of achievement young leader in this generation 💙☝️💙☝️  https://fb.watch/b-jVvTyDqb/</v>
      </c>
      <c r="F697" s="1">
        <f>IFERROR(__xludf.DUMMYFUNCTION("""COMPUTED_VALUE"""),8.0)</f>
        <v>8</v>
      </c>
      <c r="G697" s="1" t="str">
        <f>IFERROR(__xludf.DUMMYFUNCTION("""COMPUTED_VALUE"""),"February 20, 2020 at 2:28 PM")</f>
        <v>February 20, 2020 at 2:28 PM</v>
      </c>
      <c r="H697" s="1" t="str">
        <f>IFERROR(__xludf.DUMMYFUNCTION("""COMPUTED_VALUE"""),"comment")</f>
        <v>comment</v>
      </c>
      <c r="I697" s="2" t="str">
        <f>IFERROR(__xludf.DUMMYFUNCTION("""COMPUTED_VALUE"""),"https://www.facebook.com/rapplerdotcom/photos/a.317154781638645/5597116770309060/")</f>
        <v>https://www.facebook.com/rapplerdotcom/photos/a.317154781638645/5597116770309060/</v>
      </c>
      <c r="J697" s="1" t="str">
        <f>IFERROR(__xludf.DUMMYFUNCTION("""COMPUTED_VALUE"""),"2022-07-04T11:15:29.863Z")</f>
        <v>2022-07-04T11:15:29.863Z</v>
      </c>
      <c r="K697" s="1"/>
    </row>
    <row r="698">
      <c r="A698" s="2" t="str">
        <f>IFERROR(__xludf.DUMMYFUNCTION("""COMPUTED_VALUE"""),"https://www.facebook.com/profile.php?id=100008332086519")</f>
        <v>https://www.facebook.com/profile.php?id=100008332086519</v>
      </c>
      <c r="B698" s="1" t="str">
        <f>IFERROR(__xludf.DUMMYFUNCTION("""COMPUTED_VALUE"""),"Alex Jacinto")</f>
        <v>Alex Jacinto</v>
      </c>
      <c r="C698" s="1" t="str">
        <f>IFERROR(__xludf.DUMMYFUNCTION("""COMPUTED_VALUE"""),"Alex")</f>
        <v>Alex</v>
      </c>
      <c r="D698" s="1" t="str">
        <f>IFERROR(__xludf.DUMMYFUNCTION("""COMPUTED_VALUE"""),"Jacinto")</f>
        <v>Jacinto</v>
      </c>
      <c r="E698" s="1" t="str">
        <f>IFERROR(__xludf.DUMMYFUNCTION("""COMPUTED_VALUE"""),"Kawawang Ilocos Norte, huhummm")</f>
        <v>Kawawang Ilocos Norte, huhummm</v>
      </c>
      <c r="F698" s="1">
        <f>IFERROR(__xludf.DUMMYFUNCTION("""COMPUTED_VALUE"""),13.0)</f>
        <v>13</v>
      </c>
      <c r="G698" s="1" t="str">
        <f>IFERROR(__xludf.DUMMYFUNCTION("""COMPUTED_VALUE"""),"3 mos")</f>
        <v>3 mos</v>
      </c>
      <c r="H698" s="1" t="str">
        <f>IFERROR(__xludf.DUMMYFUNCTION("""COMPUTED_VALUE"""),"comment")</f>
        <v>comment</v>
      </c>
      <c r="I698" s="2" t="str">
        <f>IFERROR(__xludf.DUMMYFUNCTION("""COMPUTED_VALUE"""),"https://www.facebook.com/rapplerdotcom/photos/a.317154781638645/5597116770309060/")</f>
        <v>https://www.facebook.com/rapplerdotcom/photos/a.317154781638645/5597116770309060/</v>
      </c>
      <c r="J698" s="1" t="str">
        <f>IFERROR(__xludf.DUMMYFUNCTION("""COMPUTED_VALUE"""),"2022-07-04T11:15:29.863Z")</f>
        <v>2022-07-04T11:15:29.863Z</v>
      </c>
      <c r="K698" s="1"/>
    </row>
    <row r="699">
      <c r="A699" s="2" t="str">
        <f>IFERROR(__xludf.DUMMYFUNCTION("""COMPUTED_VALUE"""),"https://www.facebook.com/profile.php?id=100009111409816")</f>
        <v>https://www.facebook.com/profile.php?id=100009111409816</v>
      </c>
      <c r="B699" s="1" t="str">
        <f>IFERROR(__xludf.DUMMYFUNCTION("""COMPUTED_VALUE"""),"Nida Saldivia")</f>
        <v>Nida Saldivia</v>
      </c>
      <c r="C699" s="1" t="str">
        <f>IFERROR(__xludf.DUMMYFUNCTION("""COMPUTED_VALUE"""),"Nida")</f>
        <v>Nida</v>
      </c>
      <c r="D699" s="1" t="str">
        <f>IFERROR(__xludf.DUMMYFUNCTION("""COMPUTED_VALUE"""),"Saldivia")</f>
        <v>Saldivia</v>
      </c>
      <c r="E699" s="1" t="str">
        <f>IFERROR(__xludf.DUMMYFUNCTION("""COMPUTED_VALUE"""),"Alex Jacinto 💚💚💚💖💖💖")</f>
        <v>Alex Jacinto 💚💚💚💖💖💖</v>
      </c>
      <c r="F699" s="1"/>
      <c r="G699" s="1" t="str">
        <f>IFERROR(__xludf.DUMMYFUNCTION("""COMPUTED_VALUE"""),"3 mos")</f>
        <v>3 mos</v>
      </c>
      <c r="H699" s="1" t="str">
        <f>IFERROR(__xludf.DUMMYFUNCTION("""COMPUTED_VALUE"""),"reply")</f>
        <v>reply</v>
      </c>
      <c r="I699" s="2" t="str">
        <f>IFERROR(__xludf.DUMMYFUNCTION("""COMPUTED_VALUE"""),"https://www.facebook.com/rapplerdotcom/photos/a.317154781638645/5597116770309060/")</f>
        <v>https://www.facebook.com/rapplerdotcom/photos/a.317154781638645/5597116770309060/</v>
      </c>
      <c r="J699" s="1" t="str">
        <f>IFERROR(__xludf.DUMMYFUNCTION("""COMPUTED_VALUE"""),"2022-07-04T11:15:29.863Z")</f>
        <v>2022-07-04T11:15:29.863Z</v>
      </c>
      <c r="K699" s="1"/>
    </row>
    <row r="700">
      <c r="A700" s="2" t="str">
        <f>IFERROR(__xludf.DUMMYFUNCTION("""COMPUTED_VALUE"""),"https://www.facebook.com/unopres")</f>
        <v>https://www.facebook.com/unopres</v>
      </c>
      <c r="B700" s="1" t="str">
        <f>IFERROR(__xludf.DUMMYFUNCTION("""COMPUTED_VALUE"""),"Pres Leonardo")</f>
        <v>Pres Leonardo</v>
      </c>
      <c r="C700" s="1" t="str">
        <f>IFERROR(__xludf.DUMMYFUNCTION("""COMPUTED_VALUE"""),"Pres")</f>
        <v>Pres</v>
      </c>
      <c r="D700" s="1" t="str">
        <f>IFERROR(__xludf.DUMMYFUNCTION("""COMPUTED_VALUE"""),"Leonardo")</f>
        <v>Leonardo</v>
      </c>
      <c r="E700" s="1" t="str">
        <f>IFERROR(__xludf.DUMMYFUNCTION("""COMPUTED_VALUE"""),"Dictator!!!!!!")</f>
        <v>Dictator!!!!!!</v>
      </c>
      <c r="F700" s="1"/>
      <c r="G700" s="1" t="str">
        <f>IFERROR(__xludf.DUMMYFUNCTION("""COMPUTED_VALUE"""),"3 mos")</f>
        <v>3 mos</v>
      </c>
      <c r="H700" s="1" t="str">
        <f>IFERROR(__xludf.DUMMYFUNCTION("""COMPUTED_VALUE"""),"comment")</f>
        <v>comment</v>
      </c>
      <c r="I700" s="2" t="str">
        <f>IFERROR(__xludf.DUMMYFUNCTION("""COMPUTED_VALUE"""),"https://www.facebook.com/rapplerdotcom/photos/a.317154781638645/5597116770309060/")</f>
        <v>https://www.facebook.com/rapplerdotcom/photos/a.317154781638645/5597116770309060/</v>
      </c>
      <c r="J700" s="1" t="str">
        <f>IFERROR(__xludf.DUMMYFUNCTION("""COMPUTED_VALUE"""),"2022-07-04T11:15:29.863Z")</f>
        <v>2022-07-04T11:15:29.863Z</v>
      </c>
      <c r="K700" s="1"/>
    </row>
    <row r="701">
      <c r="A701" s="2" t="str">
        <f>IFERROR(__xludf.DUMMYFUNCTION("""COMPUTED_VALUE"""),"https://www.facebook.com/profile.php?id=100009111409816")</f>
        <v>https://www.facebook.com/profile.php?id=100009111409816</v>
      </c>
      <c r="B701" s="1" t="str">
        <f>IFERROR(__xludf.DUMMYFUNCTION("""COMPUTED_VALUE"""),"Nida Saldivia")</f>
        <v>Nida Saldivia</v>
      </c>
      <c r="C701" s="1" t="str">
        <f>IFERROR(__xludf.DUMMYFUNCTION("""COMPUTED_VALUE"""),"Nida")</f>
        <v>Nida</v>
      </c>
      <c r="D701" s="1" t="str">
        <f>IFERROR(__xludf.DUMMYFUNCTION("""COMPUTED_VALUE"""),"Saldivia")</f>
        <v>Saldivia</v>
      </c>
      <c r="E701" s="1" t="str">
        <f>IFERROR(__xludf.DUMMYFUNCTION("""COMPUTED_VALUE"""),"Pres Leonardo 💚💚💚💚💚")</f>
        <v>Pres Leonardo 💚💚💚💚💚</v>
      </c>
      <c r="F701" s="1"/>
      <c r="G701" s="1" t="str">
        <f>IFERROR(__xludf.DUMMYFUNCTION("""COMPUTED_VALUE"""),"3 mos")</f>
        <v>3 mos</v>
      </c>
      <c r="H701" s="1" t="str">
        <f>IFERROR(__xludf.DUMMYFUNCTION("""COMPUTED_VALUE"""),"reply")</f>
        <v>reply</v>
      </c>
      <c r="I701" s="2" t="str">
        <f>IFERROR(__xludf.DUMMYFUNCTION("""COMPUTED_VALUE"""),"https://www.facebook.com/rapplerdotcom/photos/a.317154781638645/5597116770309060/")</f>
        <v>https://www.facebook.com/rapplerdotcom/photos/a.317154781638645/5597116770309060/</v>
      </c>
      <c r="J701" s="1" t="str">
        <f>IFERROR(__xludf.DUMMYFUNCTION("""COMPUTED_VALUE"""),"2022-07-04T11:15:29.863Z")</f>
        <v>2022-07-04T11:15:29.863Z</v>
      </c>
      <c r="K701" s="1"/>
    </row>
    <row r="702">
      <c r="A702" s="2" t="str">
        <f>IFERROR(__xludf.DUMMYFUNCTION("""COMPUTED_VALUE"""),"https://www.facebook.com/caloy.galicia")</f>
        <v>https://www.facebook.com/caloy.galicia</v>
      </c>
      <c r="B702" s="1" t="str">
        <f>IFERROR(__xludf.DUMMYFUNCTION("""COMPUTED_VALUE"""),"Caloy Galicia")</f>
        <v>Caloy Galicia</v>
      </c>
      <c r="C702" s="1" t="str">
        <f>IFERROR(__xludf.DUMMYFUNCTION("""COMPUTED_VALUE"""),"Caloy")</f>
        <v>Caloy</v>
      </c>
      <c r="D702" s="1" t="str">
        <f>IFERROR(__xludf.DUMMYFUNCTION("""COMPUTED_VALUE"""),"Galicia")</f>
        <v>Galicia</v>
      </c>
      <c r="E702" s="1" t="str">
        <f>IFERROR(__xludf.DUMMYFUNCTION("""COMPUTED_VALUE"""),"Rambulan kayo dyan. Daanin na na lng sa debate o quiz")</f>
        <v>Rambulan kayo dyan. Daanin na na lng sa debate o quiz</v>
      </c>
      <c r="F702" s="1"/>
      <c r="G702" s="1" t="str">
        <f>IFERROR(__xludf.DUMMYFUNCTION("""COMPUTED_VALUE"""),"3 mos")</f>
        <v>3 mos</v>
      </c>
      <c r="H702" s="1" t="str">
        <f>IFERROR(__xludf.DUMMYFUNCTION("""COMPUTED_VALUE"""),"comment")</f>
        <v>comment</v>
      </c>
      <c r="I702" s="2" t="str">
        <f>IFERROR(__xludf.DUMMYFUNCTION("""COMPUTED_VALUE"""),"https://www.facebook.com/rapplerdotcom/photos/a.317154781638645/5597116770309060/")</f>
        <v>https://www.facebook.com/rapplerdotcom/photos/a.317154781638645/5597116770309060/</v>
      </c>
      <c r="J702" s="1" t="str">
        <f>IFERROR(__xludf.DUMMYFUNCTION("""COMPUTED_VALUE"""),"2022-07-04T11:15:29.863Z")</f>
        <v>2022-07-04T11:15:29.863Z</v>
      </c>
      <c r="K702" s="1"/>
    </row>
    <row r="703">
      <c r="A703" s="2" t="str">
        <f>IFERROR(__xludf.DUMMYFUNCTION("""COMPUTED_VALUE"""),"https://www.facebook.com/romulo.augustine")</f>
        <v>https://www.facebook.com/romulo.augustine</v>
      </c>
      <c r="B703" s="1" t="str">
        <f>IFERROR(__xludf.DUMMYFUNCTION("""COMPUTED_VALUE"""),"Romulo Augustine")</f>
        <v>Romulo Augustine</v>
      </c>
      <c r="C703" s="1" t="str">
        <f>IFERROR(__xludf.DUMMYFUNCTION("""COMPUTED_VALUE"""),"Romulo")</f>
        <v>Romulo</v>
      </c>
      <c r="D703" s="1" t="str">
        <f>IFERROR(__xludf.DUMMYFUNCTION("""COMPUTED_VALUE"""),"Augustine")</f>
        <v>Augustine</v>
      </c>
      <c r="E703" s="1" t="str">
        <f>IFERROR(__xludf.DUMMYFUNCTION("""COMPUTED_VALUE"""),"As long as you’re swimming in blood money and under the shadow of injustice, never again")</f>
        <v>As long as you’re swimming in blood money and under the shadow of injustice, never again</v>
      </c>
      <c r="F703" s="1">
        <f>IFERROR(__xludf.DUMMYFUNCTION("""COMPUTED_VALUE"""),17.0)</f>
        <v>17</v>
      </c>
      <c r="G703" s="1" t="str">
        <f>IFERROR(__xludf.DUMMYFUNCTION("""COMPUTED_VALUE"""),"3 mos")</f>
        <v>3 mos</v>
      </c>
      <c r="H703" s="1" t="str">
        <f>IFERROR(__xludf.DUMMYFUNCTION("""COMPUTED_VALUE"""),"comment")</f>
        <v>comment</v>
      </c>
      <c r="I703" s="2" t="str">
        <f>IFERROR(__xludf.DUMMYFUNCTION("""COMPUTED_VALUE"""),"https://www.facebook.com/rapplerdotcom/photos/a.317154781638645/5597116770309060/")</f>
        <v>https://www.facebook.com/rapplerdotcom/photos/a.317154781638645/5597116770309060/</v>
      </c>
      <c r="J703" s="1" t="str">
        <f>IFERROR(__xludf.DUMMYFUNCTION("""COMPUTED_VALUE"""),"2022-07-04T11:15:29.863Z")</f>
        <v>2022-07-04T11:15:29.863Z</v>
      </c>
      <c r="K703" s="1"/>
    </row>
    <row r="704">
      <c r="A704" s="2" t="str">
        <f>IFERROR(__xludf.DUMMYFUNCTION("""COMPUTED_VALUE"""),"https://www.facebook.com/rey.bartolome.16")</f>
        <v>https://www.facebook.com/rey.bartolome.16</v>
      </c>
      <c r="B704" s="1" t="str">
        <f>IFERROR(__xludf.DUMMYFUNCTION("""COMPUTED_VALUE"""),"Rey Bartolome")</f>
        <v>Rey Bartolome</v>
      </c>
      <c r="C704" s="1" t="str">
        <f>IFERROR(__xludf.DUMMYFUNCTION("""COMPUTED_VALUE"""),"Rey")</f>
        <v>Rey</v>
      </c>
      <c r="D704" s="1" t="str">
        <f>IFERROR(__xludf.DUMMYFUNCTION("""COMPUTED_VALUE"""),"Bartolome")</f>
        <v>Bartolome</v>
      </c>
      <c r="E704" s="1" t="str">
        <f>IFERROR(__xludf.DUMMYFUNCTION("""COMPUTED_VALUE"""),"naturally the most popular presidential choice?????? Sigurado ka????.")</f>
        <v>naturally the most popular presidential choice?????? Sigurado ka????.</v>
      </c>
      <c r="F704" s="1">
        <f>IFERROR(__xludf.DUMMYFUNCTION("""COMPUTED_VALUE"""),3.0)</f>
        <v>3</v>
      </c>
      <c r="G704" s="1" t="str">
        <f>IFERROR(__xludf.DUMMYFUNCTION("""COMPUTED_VALUE"""),"3 mos")</f>
        <v>3 mos</v>
      </c>
      <c r="H704" s="1" t="str">
        <f>IFERROR(__xludf.DUMMYFUNCTION("""COMPUTED_VALUE"""),"comment")</f>
        <v>comment</v>
      </c>
      <c r="I704" s="2" t="str">
        <f>IFERROR(__xludf.DUMMYFUNCTION("""COMPUTED_VALUE"""),"https://www.facebook.com/rapplerdotcom/photos/a.317154781638645/5597116770309060/")</f>
        <v>https://www.facebook.com/rapplerdotcom/photos/a.317154781638645/5597116770309060/</v>
      </c>
      <c r="J704" s="1" t="str">
        <f>IFERROR(__xludf.DUMMYFUNCTION("""COMPUTED_VALUE"""),"2022-07-04T11:15:29.863Z")</f>
        <v>2022-07-04T11:15:29.863Z</v>
      </c>
      <c r="K704" s="1"/>
    </row>
    <row r="705">
      <c r="A705" s="2" t="str">
        <f>IFERROR(__xludf.DUMMYFUNCTION("""COMPUTED_VALUE"""),"https://www.facebook.com/rrtanales.7")</f>
        <v>https://www.facebook.com/rrtanales.7</v>
      </c>
      <c r="B705" s="1" t="str">
        <f>IFERROR(__xludf.DUMMYFUNCTION("""COMPUTED_VALUE"""),"Rimmon Reu Tanales")</f>
        <v>Rimmon Reu Tanales</v>
      </c>
      <c r="C705" s="1" t="str">
        <f>IFERROR(__xludf.DUMMYFUNCTION("""COMPUTED_VALUE"""),"Rimmon")</f>
        <v>Rimmon</v>
      </c>
      <c r="D705" s="1" t="str">
        <f>IFERROR(__xludf.DUMMYFUNCTION("""COMPUTED_VALUE"""),"Reu Tanales")</f>
        <v>Reu Tanales</v>
      </c>
      <c r="E705" s="1" t="str">
        <f>IFERROR(__xludf.DUMMYFUNCTION("""COMPUTED_VALUE"""),"Kailangan lang po natin magkaisa at sa pagkakaisa, tayo ay magsasama-sama. At dahil sa pagsasama at pagkakaisa tayo ay magkakaroon ng UNITY. Unity lang po ang kailangan. pati pera tao bayan pagkaisa ko at 203billion manalo kalimotan nyo na din.")</f>
        <v>Kailangan lang po natin magkaisa at sa pagkakaisa, tayo ay magsasama-sama. At dahil sa pagsasama at pagkakaisa tayo ay magkakaroon ng UNITY. Unity lang po ang kailangan. pati pera tao bayan pagkaisa ko at 203billion manalo kalimotan nyo na din.</v>
      </c>
      <c r="F705" s="1">
        <f>IFERROR(__xludf.DUMMYFUNCTION("""COMPUTED_VALUE"""),14.0)</f>
        <v>14</v>
      </c>
      <c r="G705" s="1" t="str">
        <f>IFERROR(__xludf.DUMMYFUNCTION("""COMPUTED_VALUE"""),"3 mos")</f>
        <v>3 mos</v>
      </c>
      <c r="H705" s="1" t="str">
        <f>IFERROR(__xludf.DUMMYFUNCTION("""COMPUTED_VALUE"""),"comment")</f>
        <v>comment</v>
      </c>
      <c r="I705" s="2" t="str">
        <f>IFERROR(__xludf.DUMMYFUNCTION("""COMPUTED_VALUE"""),"https://www.facebook.com/rapplerdotcom/photos/a.317154781638645/5597116770309060/")</f>
        <v>https://www.facebook.com/rapplerdotcom/photos/a.317154781638645/5597116770309060/</v>
      </c>
      <c r="J705" s="1" t="str">
        <f>IFERROR(__xludf.DUMMYFUNCTION("""COMPUTED_VALUE"""),"2022-07-04T11:15:29.863Z")</f>
        <v>2022-07-04T11:15:29.863Z</v>
      </c>
      <c r="K705" s="1"/>
    </row>
    <row r="706">
      <c r="A706" s="2" t="str">
        <f>IFERROR(__xludf.DUMMYFUNCTION("""COMPUTED_VALUE"""),"https://www.facebook.com/sonia.olba")</f>
        <v>https://www.facebook.com/sonia.olba</v>
      </c>
      <c r="B706" s="1" t="str">
        <f>IFERROR(__xludf.DUMMYFUNCTION("""COMPUTED_VALUE"""),"Sonia Olba")</f>
        <v>Sonia Olba</v>
      </c>
      <c r="C706" s="1" t="str">
        <f>IFERROR(__xludf.DUMMYFUNCTION("""COMPUTED_VALUE"""),"Sonia")</f>
        <v>Sonia</v>
      </c>
      <c r="D706" s="1" t="str">
        <f>IFERROR(__xludf.DUMMYFUNCTION("""COMPUTED_VALUE"""),"Olba")</f>
        <v>Olba</v>
      </c>
      <c r="E706" s="1" t="str">
        <f>IFERROR(__xludf.DUMMYFUNCTION("""COMPUTED_VALUE"""),"Di nyo na mapigilan sila gusto ng tao")</f>
        <v>Di nyo na mapigilan sila gusto ng tao</v>
      </c>
      <c r="F706" s="1"/>
      <c r="G706" s="1" t="str">
        <f>IFERROR(__xludf.DUMMYFUNCTION("""COMPUTED_VALUE"""),"3 mos")</f>
        <v>3 mos</v>
      </c>
      <c r="H706" s="1" t="str">
        <f>IFERROR(__xludf.DUMMYFUNCTION("""COMPUTED_VALUE"""),"comment")</f>
        <v>comment</v>
      </c>
      <c r="I706" s="2" t="str">
        <f>IFERROR(__xludf.DUMMYFUNCTION("""COMPUTED_VALUE"""),"https://www.facebook.com/rapplerdotcom/photos/a.317154781638645/5597116770309060/")</f>
        <v>https://www.facebook.com/rapplerdotcom/photos/a.317154781638645/5597116770309060/</v>
      </c>
      <c r="J706" s="1" t="str">
        <f>IFERROR(__xludf.DUMMYFUNCTION("""COMPUTED_VALUE"""),"2022-07-04T11:15:29.863Z")</f>
        <v>2022-07-04T11:15:29.863Z</v>
      </c>
      <c r="K706" s="1"/>
    </row>
    <row r="707">
      <c r="A707" s="2" t="str">
        <f>IFERROR(__xludf.DUMMYFUNCTION("""COMPUTED_VALUE"""),"https://www.facebook.com/marciano.garcia.7528")</f>
        <v>https://www.facebook.com/marciano.garcia.7528</v>
      </c>
      <c r="B707" s="1" t="str">
        <f>IFERROR(__xludf.DUMMYFUNCTION("""COMPUTED_VALUE"""),"Marciano Garcia")</f>
        <v>Marciano Garcia</v>
      </c>
      <c r="C707" s="1" t="str">
        <f>IFERROR(__xludf.DUMMYFUNCTION("""COMPUTED_VALUE"""),"Marciano")</f>
        <v>Marciano</v>
      </c>
      <c r="D707" s="1" t="str">
        <f>IFERROR(__xludf.DUMMYFUNCTION("""COMPUTED_VALUE"""),"Garcia")</f>
        <v>Garcia</v>
      </c>
      <c r="E707" s="1" t="str">
        <f>IFERROR(__xludf.DUMMYFUNCTION("""COMPUTED_VALUE"""),"Ang problema , ano ang solusyon sa pagpigil o paglaganap sa political dynasty . Kailangan my educational campaign nagawin kasi ang mga tao sa kasalukuyan hindi aware or mulat sa mga disadvantages sa political dynasty .")</f>
        <v>Ang problema , ano ang solusyon sa pagpigil o paglaganap sa political dynasty . Kailangan my educational campaign nagawin kasi ang mga tao sa kasalukuyan hindi aware or mulat sa mga disadvantages sa political dynasty .</v>
      </c>
      <c r="F707" s="1"/>
      <c r="G707" s="1" t="str">
        <f>IFERROR(__xludf.DUMMYFUNCTION("""COMPUTED_VALUE"""),"3 mos")</f>
        <v>3 mos</v>
      </c>
      <c r="H707" s="1" t="str">
        <f>IFERROR(__xludf.DUMMYFUNCTION("""COMPUTED_VALUE"""),"comment")</f>
        <v>comment</v>
      </c>
      <c r="I707" s="2" t="str">
        <f>IFERROR(__xludf.DUMMYFUNCTION("""COMPUTED_VALUE"""),"https://www.facebook.com/rapplerdotcom/photos/a.317154781638645/5597116770309060/")</f>
        <v>https://www.facebook.com/rapplerdotcom/photos/a.317154781638645/5597116770309060/</v>
      </c>
      <c r="J707" s="1" t="str">
        <f>IFERROR(__xludf.DUMMYFUNCTION("""COMPUTED_VALUE"""),"2022-07-04T11:15:29.863Z")</f>
        <v>2022-07-04T11:15:29.863Z</v>
      </c>
      <c r="K707" s="1"/>
    </row>
    <row r="708">
      <c r="A708" s="2" t="str">
        <f>IFERROR(__xludf.DUMMYFUNCTION("""COMPUTED_VALUE"""),"https://www.facebook.com/molsky")</f>
        <v>https://www.facebook.com/molsky</v>
      </c>
      <c r="B708" s="1" t="str">
        <f>IFERROR(__xludf.DUMMYFUNCTION("""COMPUTED_VALUE"""),"Rene Molina")</f>
        <v>Rene Molina</v>
      </c>
      <c r="C708" s="1" t="str">
        <f>IFERROR(__xludf.DUMMYFUNCTION("""COMPUTED_VALUE"""),"Rene")</f>
        <v>Rene</v>
      </c>
      <c r="D708" s="1" t="str">
        <f>IFERROR(__xludf.DUMMYFUNCTION("""COMPUTED_VALUE"""),"Molina")</f>
        <v>Molina</v>
      </c>
      <c r="E708" s="1" t="str">
        <f>IFERROR(__xludf.DUMMYFUNCTION("""COMPUTED_VALUE"""),"End political dynasty now.")</f>
        <v>End political dynasty now.</v>
      </c>
      <c r="F708" s="1"/>
      <c r="G708" s="1" t="str">
        <f>IFERROR(__xludf.DUMMYFUNCTION("""COMPUTED_VALUE"""),"3 mos")</f>
        <v>3 mos</v>
      </c>
      <c r="H708" s="1" t="str">
        <f>IFERROR(__xludf.DUMMYFUNCTION("""COMPUTED_VALUE"""),"comment")</f>
        <v>comment</v>
      </c>
      <c r="I708" s="2" t="str">
        <f>IFERROR(__xludf.DUMMYFUNCTION("""COMPUTED_VALUE"""),"https://www.facebook.com/rapplerdotcom/photos/a.317154781638645/5597116770309060/")</f>
        <v>https://www.facebook.com/rapplerdotcom/photos/a.317154781638645/5597116770309060/</v>
      </c>
      <c r="J708" s="1" t="str">
        <f>IFERROR(__xludf.DUMMYFUNCTION("""COMPUTED_VALUE"""),"2022-07-04T11:15:29.863Z")</f>
        <v>2022-07-04T11:15:29.863Z</v>
      </c>
      <c r="K708" s="1"/>
    </row>
    <row r="709">
      <c r="A709" s="2" t="str">
        <f>IFERROR(__xludf.DUMMYFUNCTION("""COMPUTED_VALUE"""),"https://www.facebook.com/profile.php?id=100005460137890")</f>
        <v>https://www.facebook.com/profile.php?id=100005460137890</v>
      </c>
      <c r="B709" s="1" t="str">
        <f>IFERROR(__xludf.DUMMYFUNCTION("""COMPUTED_VALUE"""),"Marilou Noda-Concepcion")</f>
        <v>Marilou Noda-Concepcion</v>
      </c>
      <c r="C709" s="1" t="str">
        <f>IFERROR(__xludf.DUMMYFUNCTION("""COMPUTED_VALUE"""),"Marilou")</f>
        <v>Marilou</v>
      </c>
      <c r="D709" s="1" t="str">
        <f>IFERROR(__xludf.DUMMYFUNCTION("""COMPUTED_VALUE"""),"Noda-Concepcion")</f>
        <v>Noda-Concepcion</v>
      </c>
      <c r="E709" s="1" t="str">
        <f>IFERROR(__xludf.DUMMYFUNCTION("""COMPUTED_VALUE"""),"Pamilyang walang delekadesa ......")</f>
        <v>Pamilyang walang delekadesa ......</v>
      </c>
      <c r="F709" s="1">
        <f>IFERROR(__xludf.DUMMYFUNCTION("""COMPUTED_VALUE"""),6.0)</f>
        <v>6</v>
      </c>
      <c r="G709" s="1" t="str">
        <f>IFERROR(__xludf.DUMMYFUNCTION("""COMPUTED_VALUE"""),"3 mos")</f>
        <v>3 mos</v>
      </c>
      <c r="H709" s="1" t="str">
        <f>IFERROR(__xludf.DUMMYFUNCTION("""COMPUTED_VALUE"""),"comment")</f>
        <v>comment</v>
      </c>
      <c r="I709" s="2" t="str">
        <f>IFERROR(__xludf.DUMMYFUNCTION("""COMPUTED_VALUE"""),"https://www.facebook.com/rapplerdotcom/photos/a.317154781638645/5597116770309060/")</f>
        <v>https://www.facebook.com/rapplerdotcom/photos/a.317154781638645/5597116770309060/</v>
      </c>
      <c r="J709" s="1" t="str">
        <f>IFERROR(__xludf.DUMMYFUNCTION("""COMPUTED_VALUE"""),"2022-07-04T11:15:29.863Z")</f>
        <v>2022-07-04T11:15:29.863Z</v>
      </c>
      <c r="K709" s="1"/>
    </row>
    <row r="710">
      <c r="A710" s="2" t="str">
        <f>IFERROR(__xludf.DUMMYFUNCTION("""COMPUTED_VALUE"""),"https://www.facebook.com/melgalimba")</f>
        <v>https://www.facebook.com/melgalimba</v>
      </c>
      <c r="B710" s="1" t="str">
        <f>IFERROR(__xludf.DUMMYFUNCTION("""COMPUTED_VALUE"""),"Mel Galimba")</f>
        <v>Mel Galimba</v>
      </c>
      <c r="C710" s="1" t="str">
        <f>IFERROR(__xludf.DUMMYFUNCTION("""COMPUTED_VALUE"""),"Mel")</f>
        <v>Mel</v>
      </c>
      <c r="D710" s="1" t="str">
        <f>IFERROR(__xludf.DUMMYFUNCTION("""COMPUTED_VALUE"""),"Galimba")</f>
        <v>Galimba</v>
      </c>
      <c r="E710" s="1" t="str">
        <f>IFERROR(__xludf.DUMMYFUNCTION("""COMPUTED_VALUE"""),"Pamilyang nagpahirap sa pilipinas")</f>
        <v>Pamilyang nagpahirap sa pilipinas</v>
      </c>
      <c r="F710" s="1">
        <f>IFERROR(__xludf.DUMMYFUNCTION("""COMPUTED_VALUE"""),1.0)</f>
        <v>1</v>
      </c>
      <c r="G710" s="1" t="str">
        <f>IFERROR(__xludf.DUMMYFUNCTION("""COMPUTED_VALUE"""),"3 mos")</f>
        <v>3 mos</v>
      </c>
      <c r="H710" s="1" t="str">
        <f>IFERROR(__xludf.DUMMYFUNCTION("""COMPUTED_VALUE"""),"comment")</f>
        <v>comment</v>
      </c>
      <c r="I710" s="2" t="str">
        <f>IFERROR(__xludf.DUMMYFUNCTION("""COMPUTED_VALUE"""),"https://www.facebook.com/rapplerdotcom/photos/a.317154781638645/5597116770309060/")</f>
        <v>https://www.facebook.com/rapplerdotcom/photos/a.317154781638645/5597116770309060/</v>
      </c>
      <c r="J710" s="1" t="str">
        <f>IFERROR(__xludf.DUMMYFUNCTION("""COMPUTED_VALUE"""),"2022-07-04T11:15:29.863Z")</f>
        <v>2022-07-04T11:15:29.863Z</v>
      </c>
      <c r="K710" s="1"/>
    </row>
    <row r="711">
      <c r="A711" s="2" t="str">
        <f>IFERROR(__xludf.DUMMYFUNCTION("""COMPUTED_VALUE"""),"https://www.facebook.com/remelyn.regnim.7")</f>
        <v>https://www.facebook.com/remelyn.regnim.7</v>
      </c>
      <c r="B711" s="1" t="str">
        <f>IFERROR(__xludf.DUMMYFUNCTION("""COMPUTED_VALUE"""),"Love Ejes")</f>
        <v>Love Ejes</v>
      </c>
      <c r="C711" s="1" t="str">
        <f>IFERROR(__xludf.DUMMYFUNCTION("""COMPUTED_VALUE"""),"Love")</f>
        <v>Love</v>
      </c>
      <c r="D711" s="1" t="str">
        <f>IFERROR(__xludf.DUMMYFUNCTION("""COMPUTED_VALUE"""),"Ejes")</f>
        <v>Ejes</v>
      </c>
      <c r="E711" s="1" t="str">
        <f>IFERROR(__xludf.DUMMYFUNCTION("""COMPUTED_VALUE"""),"pinaghahandaan lahat ng kapamilya paupuin para kahit ano pwde magawa...people of North wise wisely hind uuland ang pinas sa political dynasty lahat pwde nilang gawin ...sila lang ang maulad kayo ang kawawa")</f>
        <v>pinaghahandaan lahat ng kapamilya paupuin para kahit ano pwde magawa...people of North wise wisely hind uuland ang pinas sa political dynasty lahat pwde nilang gawin ...sila lang ang maulad kayo ang kawawa</v>
      </c>
      <c r="F711" s="1"/>
      <c r="G711" s="1" t="str">
        <f>IFERROR(__xludf.DUMMYFUNCTION("""COMPUTED_VALUE"""),"3 mos")</f>
        <v>3 mos</v>
      </c>
      <c r="H711" s="1" t="str">
        <f>IFERROR(__xludf.DUMMYFUNCTION("""COMPUTED_VALUE"""),"comment")</f>
        <v>comment</v>
      </c>
      <c r="I711" s="2" t="str">
        <f>IFERROR(__xludf.DUMMYFUNCTION("""COMPUTED_VALUE"""),"https://www.facebook.com/rapplerdotcom/photos/a.317154781638645/5597116770309060/")</f>
        <v>https://www.facebook.com/rapplerdotcom/photos/a.317154781638645/5597116770309060/</v>
      </c>
      <c r="J711" s="1" t="str">
        <f>IFERROR(__xludf.DUMMYFUNCTION("""COMPUTED_VALUE"""),"2022-07-04T11:15:29.863Z")</f>
        <v>2022-07-04T11:15:29.863Z</v>
      </c>
      <c r="K711" s="1"/>
    </row>
    <row r="712">
      <c r="A712" s="2" t="str">
        <f>IFERROR(__xludf.DUMMYFUNCTION("""COMPUTED_VALUE"""),"https://www.facebook.com/Ejrdkdylan")</f>
        <v>https://www.facebook.com/Ejrdkdylan</v>
      </c>
      <c r="B712" s="1" t="str">
        <f>IFERROR(__xludf.DUMMYFUNCTION("""COMPUTED_VALUE"""),"Dy Lan")</f>
        <v>Dy Lan</v>
      </c>
      <c r="C712" s="1" t="str">
        <f>IFERROR(__xludf.DUMMYFUNCTION("""COMPUTED_VALUE"""),"Dy")</f>
        <v>Dy</v>
      </c>
      <c r="D712" s="1" t="str">
        <f>IFERROR(__xludf.DUMMYFUNCTION("""COMPUTED_VALUE"""),"Lan")</f>
        <v>Lan</v>
      </c>
      <c r="E712" s="1" t="str">
        <f>IFERROR(__xludf.DUMMYFUNCTION("""COMPUTED_VALUE"""),"After 60yrs straight in power still 4th class province pa rin?  https://cmci.dti.gov.ph/prov-profile.php?prov=Ilocos+Norte&amp;year=2019")</f>
        <v>After 60yrs straight in power still 4th class province pa rin?  https://cmci.dti.gov.ph/prov-profile.php?prov=Ilocos+Norte&amp;year=2019</v>
      </c>
      <c r="F712" s="1"/>
      <c r="G712" s="1" t="str">
        <f>IFERROR(__xludf.DUMMYFUNCTION("""COMPUTED_VALUE"""),"3 mos")</f>
        <v>3 mos</v>
      </c>
      <c r="H712" s="1" t="str">
        <f>IFERROR(__xludf.DUMMYFUNCTION("""COMPUTED_VALUE"""),"comment")</f>
        <v>comment</v>
      </c>
      <c r="I712" s="2" t="str">
        <f>IFERROR(__xludf.DUMMYFUNCTION("""COMPUTED_VALUE"""),"https://www.facebook.com/rapplerdotcom/photos/a.317154781638645/5597116770309060/")</f>
        <v>https://www.facebook.com/rapplerdotcom/photos/a.317154781638645/5597116770309060/</v>
      </c>
      <c r="J712" s="1" t="str">
        <f>IFERROR(__xludf.DUMMYFUNCTION("""COMPUTED_VALUE"""),"2022-07-04T11:15:29.863Z")</f>
        <v>2022-07-04T11:15:29.863Z</v>
      </c>
      <c r="K712" s="1"/>
    </row>
    <row r="713">
      <c r="A713" s="2" t="str">
        <f>IFERROR(__xludf.DUMMYFUNCTION("""COMPUTED_VALUE"""),"https://www.facebook.com/john.oliver.965928")</f>
        <v>https://www.facebook.com/john.oliver.965928</v>
      </c>
      <c r="B713" s="1" t="str">
        <f>IFERROR(__xludf.DUMMYFUNCTION("""COMPUTED_VALUE"""),"John Oliver")</f>
        <v>John Oliver</v>
      </c>
      <c r="C713" s="1" t="str">
        <f>IFERROR(__xludf.DUMMYFUNCTION("""COMPUTED_VALUE"""),"John")</f>
        <v>John</v>
      </c>
      <c r="D713" s="1" t="str">
        <f>IFERROR(__xludf.DUMMYFUNCTION("""COMPUTED_VALUE"""),"Oliver")</f>
        <v>Oliver</v>
      </c>
      <c r="E713" s="1" t="str">
        <f>IFERROR(__xludf.DUMMYFUNCTION("""COMPUTED_VALUE"""),"Never and it will not happen again👎")</f>
        <v>Never and it will not happen again👎</v>
      </c>
      <c r="F713" s="1"/>
      <c r="G713" s="1" t="str">
        <f>IFERROR(__xludf.DUMMYFUNCTION("""COMPUTED_VALUE"""),"3 mos")</f>
        <v>3 mos</v>
      </c>
      <c r="H713" s="1" t="str">
        <f>IFERROR(__xludf.DUMMYFUNCTION("""COMPUTED_VALUE"""),"comment")</f>
        <v>comment</v>
      </c>
      <c r="I713" s="2" t="str">
        <f>IFERROR(__xludf.DUMMYFUNCTION("""COMPUTED_VALUE"""),"https://www.facebook.com/rapplerdotcom/photos/a.317154781638645/5597116770309060/")</f>
        <v>https://www.facebook.com/rapplerdotcom/photos/a.317154781638645/5597116770309060/</v>
      </c>
      <c r="J713" s="1" t="str">
        <f>IFERROR(__xludf.DUMMYFUNCTION("""COMPUTED_VALUE"""),"2022-07-04T11:15:29.863Z")</f>
        <v>2022-07-04T11:15:29.863Z</v>
      </c>
      <c r="K713" s="1"/>
    </row>
    <row r="714">
      <c r="A714" s="2" t="str">
        <f>IFERROR(__xludf.DUMMYFUNCTION("""COMPUTED_VALUE"""),"https://www.facebook.com/profile.php?id=100073915835880")</f>
        <v>https://www.facebook.com/profile.php?id=100073915835880</v>
      </c>
      <c r="B714" s="1" t="str">
        <f>IFERROR(__xludf.DUMMYFUNCTION("""COMPUTED_VALUE"""),"Marcelina Damaso")</f>
        <v>Marcelina Damaso</v>
      </c>
      <c r="C714" s="1" t="str">
        <f>IFERROR(__xludf.DUMMYFUNCTION("""COMPUTED_VALUE"""),"Marcelina")</f>
        <v>Marcelina</v>
      </c>
      <c r="D714" s="1" t="str">
        <f>IFERROR(__xludf.DUMMYFUNCTION("""COMPUTED_VALUE"""),"Damaso")</f>
        <v>Damaso</v>
      </c>
      <c r="E714" s="1" t="str">
        <f>IFERROR(__xludf.DUMMYFUNCTION("""COMPUTED_VALUE"""),"hindi na yan makabalik sa Malakanyang dahil wala na silang babalikan")</f>
        <v>hindi na yan makabalik sa Malakanyang dahil wala na silang babalikan</v>
      </c>
      <c r="F714" s="1">
        <f>IFERROR(__xludf.DUMMYFUNCTION("""COMPUTED_VALUE"""),1.0)</f>
        <v>1</v>
      </c>
      <c r="G714" s="1" t="str">
        <f>IFERROR(__xludf.DUMMYFUNCTION("""COMPUTED_VALUE"""),"3 mos")</f>
        <v>3 mos</v>
      </c>
      <c r="H714" s="1" t="str">
        <f>IFERROR(__xludf.DUMMYFUNCTION("""COMPUTED_VALUE"""),"comment")</f>
        <v>comment</v>
      </c>
      <c r="I714" s="2" t="str">
        <f>IFERROR(__xludf.DUMMYFUNCTION("""COMPUTED_VALUE"""),"https://www.facebook.com/rapplerdotcom/photos/a.317154781638645/5597116770309060/")</f>
        <v>https://www.facebook.com/rapplerdotcom/photos/a.317154781638645/5597116770309060/</v>
      </c>
      <c r="J714" s="1" t="str">
        <f>IFERROR(__xludf.DUMMYFUNCTION("""COMPUTED_VALUE"""),"2022-07-04T11:15:29.863Z")</f>
        <v>2022-07-04T11:15:29.863Z</v>
      </c>
      <c r="K714" s="1"/>
    </row>
    <row r="715">
      <c r="A715" s="2" t="str">
        <f>IFERROR(__xludf.DUMMYFUNCTION("""COMPUTED_VALUE"""),"https://www.facebook.com/profile.php?id=100009097937407")</f>
        <v>https://www.facebook.com/profile.php?id=100009097937407</v>
      </c>
      <c r="B715" s="1" t="str">
        <f>IFERROR(__xludf.DUMMYFUNCTION("""COMPUTED_VALUE"""),"Richard Gallardo")</f>
        <v>Richard Gallardo</v>
      </c>
      <c r="C715" s="1" t="str">
        <f>IFERROR(__xludf.DUMMYFUNCTION("""COMPUTED_VALUE"""),"Richard")</f>
        <v>Richard</v>
      </c>
      <c r="D715" s="1" t="str">
        <f>IFERROR(__xludf.DUMMYFUNCTION("""COMPUTED_VALUE"""),"Gallardo")</f>
        <v>Gallardo</v>
      </c>
      <c r="E715" s="1" t="str">
        <f>IFERROR(__xludf.DUMMYFUNCTION("""COMPUTED_VALUE"""),"Hanap huhay n nila kita mo Hanggang ngaun nsa 4 class prin cla Ilan dekada n cla n mumuno Dyan🙏🙏🙏🙏🙏")</f>
        <v>Hanap huhay n nila kita mo Hanggang ngaun nsa 4 class prin cla Ilan dekada n cla n mumuno Dyan🙏🙏🙏🙏🙏</v>
      </c>
      <c r="F715" s="1">
        <f>IFERROR(__xludf.DUMMYFUNCTION("""COMPUTED_VALUE"""),1.0)</f>
        <v>1</v>
      </c>
      <c r="G715" s="1" t="str">
        <f>IFERROR(__xludf.DUMMYFUNCTION("""COMPUTED_VALUE"""),"3 mos")</f>
        <v>3 mos</v>
      </c>
      <c r="H715" s="1" t="str">
        <f>IFERROR(__xludf.DUMMYFUNCTION("""COMPUTED_VALUE"""),"comment")</f>
        <v>comment</v>
      </c>
      <c r="I715" s="2" t="str">
        <f>IFERROR(__xludf.DUMMYFUNCTION("""COMPUTED_VALUE"""),"https://www.facebook.com/rapplerdotcom/photos/a.317154781638645/5597116770309060/")</f>
        <v>https://www.facebook.com/rapplerdotcom/photos/a.317154781638645/5597116770309060/</v>
      </c>
      <c r="J715" s="1" t="str">
        <f>IFERROR(__xludf.DUMMYFUNCTION("""COMPUTED_VALUE"""),"2022-07-04T11:15:29.863Z")</f>
        <v>2022-07-04T11:15:29.863Z</v>
      </c>
      <c r="K715" s="1"/>
    </row>
    <row r="716">
      <c r="A716" s="2" t="str">
        <f>IFERROR(__xludf.DUMMYFUNCTION("""COMPUTED_VALUE"""),"https://www.facebook.com/rafaelfelicia.equipado")</f>
        <v>https://www.facebook.com/rafaelfelicia.equipado</v>
      </c>
      <c r="B716" s="1" t="str">
        <f>IFERROR(__xludf.DUMMYFUNCTION("""COMPUTED_VALUE"""),"Rafael Felicia Equipado")</f>
        <v>Rafael Felicia Equipado</v>
      </c>
      <c r="C716" s="1" t="str">
        <f>IFERROR(__xludf.DUMMYFUNCTION("""COMPUTED_VALUE"""),"Rafael")</f>
        <v>Rafael</v>
      </c>
      <c r="D716" s="1" t="str">
        <f>IFERROR(__xludf.DUMMYFUNCTION("""COMPUTED_VALUE"""),"Felicia Equipado")</f>
        <v>Felicia Equipado</v>
      </c>
      <c r="E716" s="1" t="str">
        <f>IFERROR(__xludf.DUMMYFUNCTION("""COMPUTED_VALUE"""),"sana maipasa na ang pol.dynasty.ginagawang gatasan !!!!!.")</f>
        <v>sana maipasa na ang pol.dynasty.ginagawang gatasan !!!!!.</v>
      </c>
      <c r="F716" s="1">
        <f>IFERROR(__xludf.DUMMYFUNCTION("""COMPUTED_VALUE"""),1.0)</f>
        <v>1</v>
      </c>
      <c r="G716" s="1" t="str">
        <f>IFERROR(__xludf.DUMMYFUNCTION("""COMPUTED_VALUE"""),"3 mos")</f>
        <v>3 mos</v>
      </c>
      <c r="H716" s="1" t="str">
        <f>IFERROR(__xludf.DUMMYFUNCTION("""COMPUTED_VALUE"""),"comment")</f>
        <v>comment</v>
      </c>
      <c r="I716" s="2" t="str">
        <f>IFERROR(__xludf.DUMMYFUNCTION("""COMPUTED_VALUE"""),"https://www.facebook.com/rapplerdotcom/photos/a.317154781638645/5597116770309060/")</f>
        <v>https://www.facebook.com/rapplerdotcom/photos/a.317154781638645/5597116770309060/</v>
      </c>
      <c r="J716" s="1" t="str">
        <f>IFERROR(__xludf.DUMMYFUNCTION("""COMPUTED_VALUE"""),"2022-07-04T11:15:29.863Z")</f>
        <v>2022-07-04T11:15:29.863Z</v>
      </c>
      <c r="K716" s="1"/>
    </row>
    <row r="717">
      <c r="A717" s="2" t="str">
        <f>IFERROR(__xludf.DUMMYFUNCTION("""COMPUTED_VALUE"""),"https://www.facebook.com/cory.ander.3")</f>
        <v>https://www.facebook.com/cory.ander.3</v>
      </c>
      <c r="B717" s="1" t="str">
        <f>IFERROR(__xludf.DUMMYFUNCTION("""COMPUTED_VALUE"""),"Ernest A. Baunden")</f>
        <v>Ernest A. Baunden</v>
      </c>
      <c r="C717" s="1" t="str">
        <f>IFERROR(__xludf.DUMMYFUNCTION("""COMPUTED_VALUE"""),"Ernest")</f>
        <v>Ernest</v>
      </c>
      <c r="D717" s="1" t="str">
        <f>IFERROR(__xludf.DUMMYFUNCTION("""COMPUTED_VALUE"""),"A. Baunden")</f>
        <v>A. Baunden</v>
      </c>
      <c r="E717" s="1" t="str">
        <f>IFERROR(__xludf.DUMMYFUNCTION("""COMPUTED_VALUE"""),"FUTAENA MAY NAG-HEART.")</f>
        <v>FUTAENA MAY NAG-HEART.</v>
      </c>
      <c r="F717" s="1"/>
      <c r="G717" s="1" t="str">
        <f>IFERROR(__xludf.DUMMYFUNCTION("""COMPUTED_VALUE"""),"3 mos")</f>
        <v>3 mos</v>
      </c>
      <c r="H717" s="1" t="str">
        <f>IFERROR(__xludf.DUMMYFUNCTION("""COMPUTED_VALUE"""),"comment")</f>
        <v>comment</v>
      </c>
      <c r="I717" s="2" t="str">
        <f>IFERROR(__xludf.DUMMYFUNCTION("""COMPUTED_VALUE"""),"https://www.facebook.com/rapplerdotcom/photos/a.317154781638645/5597116770309060/")</f>
        <v>https://www.facebook.com/rapplerdotcom/photos/a.317154781638645/5597116770309060/</v>
      </c>
      <c r="J717" s="1" t="str">
        <f>IFERROR(__xludf.DUMMYFUNCTION("""COMPUTED_VALUE"""),"2022-07-04T11:15:29.863Z")</f>
        <v>2022-07-04T11:15:29.863Z</v>
      </c>
      <c r="K717" s="1"/>
    </row>
    <row r="718">
      <c r="A718" s="2" t="str">
        <f>IFERROR(__xludf.DUMMYFUNCTION("""COMPUTED_VALUE"""),"https://www.facebook.com/tararirat")</f>
        <v>https://www.facebook.com/tararirat</v>
      </c>
      <c r="B718" s="1" t="str">
        <f>IFERROR(__xludf.DUMMYFUNCTION("""COMPUTED_VALUE"""),"Tara Mafrance")</f>
        <v>Tara Mafrance</v>
      </c>
      <c r="C718" s="1" t="str">
        <f>IFERROR(__xludf.DUMMYFUNCTION("""COMPUTED_VALUE"""),"Tara")</f>
        <v>Tara</v>
      </c>
      <c r="D718" s="1" t="str">
        <f>IFERROR(__xludf.DUMMYFUNCTION("""COMPUTED_VALUE"""),"Mafrance")</f>
        <v>Mafrance</v>
      </c>
      <c r="E718" s="1" t="str">
        <f>IFERROR(__xludf.DUMMYFUNCTION("""COMPUTED_VALUE"""),"Gamahan!")</f>
        <v>Gamahan!</v>
      </c>
      <c r="F718" s="1"/>
      <c r="G718" s="1" t="str">
        <f>IFERROR(__xludf.DUMMYFUNCTION("""COMPUTED_VALUE"""),"3 mos")</f>
        <v>3 mos</v>
      </c>
      <c r="H718" s="1" t="str">
        <f>IFERROR(__xludf.DUMMYFUNCTION("""COMPUTED_VALUE"""),"comment")</f>
        <v>comment</v>
      </c>
      <c r="I718" s="2" t="str">
        <f>IFERROR(__xludf.DUMMYFUNCTION("""COMPUTED_VALUE"""),"https://www.facebook.com/rapplerdotcom/photos/a.317154781638645/5597116770309060/")</f>
        <v>https://www.facebook.com/rapplerdotcom/photos/a.317154781638645/5597116770309060/</v>
      </c>
      <c r="J718" s="1" t="str">
        <f>IFERROR(__xludf.DUMMYFUNCTION("""COMPUTED_VALUE"""),"2022-07-04T11:15:29.863Z")</f>
        <v>2022-07-04T11:15:29.863Z</v>
      </c>
      <c r="K718" s="1"/>
    </row>
    <row r="719">
      <c r="A719" s="2" t="str">
        <f>IFERROR(__xludf.DUMMYFUNCTION("""COMPUTED_VALUE"""),"https://www.facebook.com/profile.php?id=100000245313356")</f>
        <v>https://www.facebook.com/profile.php?id=100000245313356</v>
      </c>
      <c r="B719" s="1" t="str">
        <f>IFERROR(__xludf.DUMMYFUNCTION("""COMPUTED_VALUE"""),"Yang Macaspac")</f>
        <v>Yang Macaspac</v>
      </c>
      <c r="C719" s="1" t="str">
        <f>IFERROR(__xludf.DUMMYFUNCTION("""COMPUTED_VALUE"""),"Yang")</f>
        <v>Yang</v>
      </c>
      <c r="D719" s="1" t="str">
        <f>IFERROR(__xludf.DUMMYFUNCTION("""COMPUTED_VALUE"""),"Macaspac")</f>
        <v>Macaspac</v>
      </c>
      <c r="E719" s="1" t="str">
        <f>IFERROR(__xludf.DUMMYFUNCTION("""COMPUTED_VALUE"""),"TUMAKBO PA NGA HAHAHHA")</f>
        <v>TUMAKBO PA NGA HAHAHHA</v>
      </c>
      <c r="F719" s="1">
        <f>IFERROR(__xludf.DUMMYFUNCTION("""COMPUTED_VALUE"""),1.0)</f>
        <v>1</v>
      </c>
      <c r="G719" s="1" t="str">
        <f>IFERROR(__xludf.DUMMYFUNCTION("""COMPUTED_VALUE"""),"3 mos")</f>
        <v>3 mos</v>
      </c>
      <c r="H719" s="1" t="str">
        <f>IFERROR(__xludf.DUMMYFUNCTION("""COMPUTED_VALUE"""),"comment")</f>
        <v>comment</v>
      </c>
      <c r="I719" s="2" t="str">
        <f>IFERROR(__xludf.DUMMYFUNCTION("""COMPUTED_VALUE"""),"https://www.facebook.com/rapplerdotcom/photos/a.317154781638645/5597116770309060/")</f>
        <v>https://www.facebook.com/rapplerdotcom/photos/a.317154781638645/5597116770309060/</v>
      </c>
      <c r="J719" s="1" t="str">
        <f>IFERROR(__xludf.DUMMYFUNCTION("""COMPUTED_VALUE"""),"2022-07-04T11:15:29.863Z")</f>
        <v>2022-07-04T11:15:29.863Z</v>
      </c>
      <c r="K719" s="1"/>
    </row>
    <row r="720">
      <c r="A720" s="2" t="str">
        <f>IFERROR(__xludf.DUMMYFUNCTION("""COMPUTED_VALUE"""),"https://www.facebook.com/herbiebnitura")</f>
        <v>https://www.facebook.com/herbiebnitura</v>
      </c>
      <c r="B720" s="1" t="str">
        <f>IFERROR(__xludf.DUMMYFUNCTION("""COMPUTED_VALUE"""),"Herbert Nitura Bilog")</f>
        <v>Herbert Nitura Bilog</v>
      </c>
      <c r="C720" s="1" t="str">
        <f>IFERROR(__xludf.DUMMYFUNCTION("""COMPUTED_VALUE"""),"Herbert")</f>
        <v>Herbert</v>
      </c>
      <c r="D720" s="1" t="str">
        <f>IFERROR(__xludf.DUMMYFUNCTION("""COMPUTED_VALUE"""),"Nitura Bilog")</f>
        <v>Nitura Bilog</v>
      </c>
      <c r="E720" s="1" t="str">
        <f>IFERROR(__xludf.DUMMYFUNCTION("""COMPUTED_VALUE"""),"Sinong Presidentiable kaya ang bubuhatin ng mga Fariñas?")</f>
        <v>Sinong Presidentiable kaya ang bubuhatin ng mga Fariñas?</v>
      </c>
      <c r="F720" s="1"/>
      <c r="G720" s="1" t="str">
        <f>IFERROR(__xludf.DUMMYFUNCTION("""COMPUTED_VALUE"""),"3 mos")</f>
        <v>3 mos</v>
      </c>
      <c r="H720" s="1" t="str">
        <f>IFERROR(__xludf.DUMMYFUNCTION("""COMPUTED_VALUE"""),"comment")</f>
        <v>comment</v>
      </c>
      <c r="I720" s="2" t="str">
        <f>IFERROR(__xludf.DUMMYFUNCTION("""COMPUTED_VALUE"""),"https://www.facebook.com/rapplerdotcom/photos/a.317154781638645/5597116770309060/")</f>
        <v>https://www.facebook.com/rapplerdotcom/photos/a.317154781638645/5597116770309060/</v>
      </c>
      <c r="J720" s="1" t="str">
        <f>IFERROR(__xludf.DUMMYFUNCTION("""COMPUTED_VALUE"""),"2022-07-04T11:15:29.863Z")</f>
        <v>2022-07-04T11:15:29.863Z</v>
      </c>
      <c r="K720" s="1"/>
    </row>
    <row r="721">
      <c r="A721" s="2" t="str">
        <f>IFERROR(__xludf.DUMMYFUNCTION("""COMPUTED_VALUE"""),"https://www.facebook.com/profile.php?id=100070193447855")</f>
        <v>https://www.facebook.com/profile.php?id=100070193447855</v>
      </c>
      <c r="B721" s="1" t="str">
        <f>IFERROR(__xludf.DUMMYFUNCTION("""COMPUTED_VALUE"""),"Sensano Birog Lawrence")</f>
        <v>Sensano Birog Lawrence</v>
      </c>
      <c r="C721" s="1" t="str">
        <f>IFERROR(__xludf.DUMMYFUNCTION("""COMPUTED_VALUE"""),"Sensano")</f>
        <v>Sensano</v>
      </c>
      <c r="D721" s="1" t="str">
        <f>IFERROR(__xludf.DUMMYFUNCTION("""COMPUTED_VALUE"""),"Birog Lawrence")</f>
        <v>Birog Lawrence</v>
      </c>
      <c r="E721" s="1" t="str">
        <f>IFERROR(__xludf.DUMMYFUNCTION("""COMPUTED_VALUE"""),"Uhaw sa kapangyarihan")</f>
        <v>Uhaw sa kapangyarihan</v>
      </c>
      <c r="F721" s="1"/>
      <c r="G721" s="1" t="str">
        <f>IFERROR(__xludf.DUMMYFUNCTION("""COMPUTED_VALUE"""),"3 mos")</f>
        <v>3 mos</v>
      </c>
      <c r="H721" s="1" t="str">
        <f>IFERROR(__xludf.DUMMYFUNCTION("""COMPUTED_VALUE"""),"comment")</f>
        <v>comment</v>
      </c>
      <c r="I721" s="2" t="str">
        <f>IFERROR(__xludf.DUMMYFUNCTION("""COMPUTED_VALUE"""),"https://www.facebook.com/rapplerdotcom/photos/a.317154781638645/5597116770309060/")</f>
        <v>https://www.facebook.com/rapplerdotcom/photos/a.317154781638645/5597116770309060/</v>
      </c>
      <c r="J721" s="1" t="str">
        <f>IFERROR(__xludf.DUMMYFUNCTION("""COMPUTED_VALUE"""),"2022-07-04T11:15:29.863Z")</f>
        <v>2022-07-04T11:15:29.863Z</v>
      </c>
      <c r="K721" s="1"/>
    </row>
    <row r="722">
      <c r="A722" s="2" t="str">
        <f>IFERROR(__xludf.DUMMYFUNCTION("""COMPUTED_VALUE"""),"https://www.facebook.com/nylezdrain1708")</f>
        <v>https://www.facebook.com/nylezdrain1708</v>
      </c>
      <c r="B722" s="1" t="str">
        <f>IFERROR(__xludf.DUMMYFUNCTION("""COMPUTED_VALUE"""),"Ian Ianskie")</f>
        <v>Ian Ianskie</v>
      </c>
      <c r="C722" s="1" t="str">
        <f>IFERROR(__xludf.DUMMYFUNCTION("""COMPUTED_VALUE"""),"Ian")</f>
        <v>Ian</v>
      </c>
      <c r="D722" s="1" t="str">
        <f>IFERROR(__xludf.DUMMYFUNCTION("""COMPUTED_VALUE"""),"Ianskie")</f>
        <v>Ianskie</v>
      </c>
      <c r="E722" s="1" t="str">
        <f>IFERROR(__xludf.DUMMYFUNCTION("""COMPUTED_VALUE"""),"kulay plang")</f>
        <v>kulay plang</v>
      </c>
      <c r="F722" s="1"/>
      <c r="G722" s="1" t="str">
        <f>IFERROR(__xludf.DUMMYFUNCTION("""COMPUTED_VALUE"""),"3 mos")</f>
        <v>3 mos</v>
      </c>
      <c r="H722" s="1" t="str">
        <f>IFERROR(__xludf.DUMMYFUNCTION("""COMPUTED_VALUE"""),"comment")</f>
        <v>comment</v>
      </c>
      <c r="I722" s="2" t="str">
        <f>IFERROR(__xludf.DUMMYFUNCTION("""COMPUTED_VALUE"""),"https://www.facebook.com/rapplerdotcom/photos/a.317154781638645/5597116770309060/")</f>
        <v>https://www.facebook.com/rapplerdotcom/photos/a.317154781638645/5597116770309060/</v>
      </c>
      <c r="J722" s="1" t="str">
        <f>IFERROR(__xludf.DUMMYFUNCTION("""COMPUTED_VALUE"""),"2022-07-04T11:15:29.863Z")</f>
        <v>2022-07-04T11:15:29.863Z</v>
      </c>
      <c r="K722" s="1"/>
    </row>
    <row r="723">
      <c r="A723" s="2" t="str">
        <f>IFERROR(__xludf.DUMMYFUNCTION("""COMPUTED_VALUE"""),"https://www.facebook.com/profile.php?id=100075753714712")</f>
        <v>https://www.facebook.com/profile.php?id=100075753714712</v>
      </c>
      <c r="B723" s="1" t="str">
        <f>IFERROR(__xludf.DUMMYFUNCTION("""COMPUTED_VALUE"""),"Ricardo Jaromamay")</f>
        <v>Ricardo Jaromamay</v>
      </c>
      <c r="C723" s="1" t="str">
        <f>IFERROR(__xludf.DUMMYFUNCTION("""COMPUTED_VALUE"""),"Ricardo")</f>
        <v>Ricardo</v>
      </c>
      <c r="D723" s="1" t="str">
        <f>IFERROR(__xludf.DUMMYFUNCTION("""COMPUTED_VALUE"""),"Jaromamay")</f>
        <v>Jaromamay</v>
      </c>
      <c r="E723" s="1" t="str">
        <f>IFERROR(__xludf.DUMMYFUNCTION("""COMPUTED_VALUE"""),"ay naku !")</f>
        <v>ay naku !</v>
      </c>
      <c r="F723" s="1"/>
      <c r="G723" s="1" t="str">
        <f>IFERROR(__xludf.DUMMYFUNCTION("""COMPUTED_VALUE"""),"3 mos")</f>
        <v>3 mos</v>
      </c>
      <c r="H723" s="1" t="str">
        <f>IFERROR(__xludf.DUMMYFUNCTION("""COMPUTED_VALUE"""),"comment")</f>
        <v>comment</v>
      </c>
      <c r="I723" s="2" t="str">
        <f>IFERROR(__xludf.DUMMYFUNCTION("""COMPUTED_VALUE"""),"https://www.facebook.com/rapplerdotcom/photos/a.317154781638645/5597116770309060/")</f>
        <v>https://www.facebook.com/rapplerdotcom/photos/a.317154781638645/5597116770309060/</v>
      </c>
      <c r="J723" s="1" t="str">
        <f>IFERROR(__xludf.DUMMYFUNCTION("""COMPUTED_VALUE"""),"2022-07-04T11:15:29.863Z")</f>
        <v>2022-07-04T11:15:29.863Z</v>
      </c>
      <c r="K723" s="1"/>
    </row>
    <row r="724">
      <c r="A724" s="2" t="str">
        <f>IFERROR(__xludf.DUMMYFUNCTION("""COMPUTED_VALUE"""),"https://www.facebook.com/beltrans1")</f>
        <v>https://www.facebook.com/beltrans1</v>
      </c>
      <c r="B724" s="1" t="str">
        <f>IFERROR(__xludf.DUMMYFUNCTION("""COMPUTED_VALUE"""),"Beltran Lapidez Sanchez")</f>
        <v>Beltran Lapidez Sanchez</v>
      </c>
      <c r="C724" s="1" t="str">
        <f>IFERROR(__xludf.DUMMYFUNCTION("""COMPUTED_VALUE"""),"Beltran")</f>
        <v>Beltran</v>
      </c>
      <c r="D724" s="1" t="str">
        <f>IFERROR(__xludf.DUMMYFUNCTION("""COMPUTED_VALUE"""),"Lapidez Sanchez")</f>
        <v>Lapidez Sanchez</v>
      </c>
      <c r="E724" s="1" t="str">
        <f>IFERROR(__xludf.DUMMYFUNCTION("""COMPUTED_VALUE"""),"gawin atang house speaker yan.")</f>
        <v>gawin atang house speaker yan.</v>
      </c>
      <c r="F724" s="1"/>
      <c r="G724" s="1" t="str">
        <f>IFERROR(__xludf.DUMMYFUNCTION("""COMPUTED_VALUE"""),"3 mos")</f>
        <v>3 mos</v>
      </c>
      <c r="H724" s="1" t="str">
        <f>IFERROR(__xludf.DUMMYFUNCTION("""COMPUTED_VALUE"""),"comment")</f>
        <v>comment</v>
      </c>
      <c r="I724" s="2" t="str">
        <f>IFERROR(__xludf.DUMMYFUNCTION("""COMPUTED_VALUE"""),"https://www.facebook.com/rapplerdotcom/photos/a.317154781638645/5597116770309060/")</f>
        <v>https://www.facebook.com/rapplerdotcom/photos/a.317154781638645/5597116770309060/</v>
      </c>
      <c r="J724" s="1" t="str">
        <f>IFERROR(__xludf.DUMMYFUNCTION("""COMPUTED_VALUE"""),"2022-07-04T11:15:29.863Z")</f>
        <v>2022-07-04T11:15:29.863Z</v>
      </c>
      <c r="K724" s="1"/>
    </row>
    <row r="725">
      <c r="A725" s="2" t="str">
        <f>IFERROR(__xludf.DUMMYFUNCTION("""COMPUTED_VALUE"""),"https://www.facebook.com/johntheo.antog.1")</f>
        <v>https://www.facebook.com/johntheo.antog.1</v>
      </c>
      <c r="B725" s="1" t="str">
        <f>IFERROR(__xludf.DUMMYFUNCTION("""COMPUTED_VALUE"""),"John Theo Antog")</f>
        <v>John Theo Antog</v>
      </c>
      <c r="C725" s="1" t="str">
        <f>IFERROR(__xludf.DUMMYFUNCTION("""COMPUTED_VALUE"""),"John")</f>
        <v>John</v>
      </c>
      <c r="D725" s="1" t="str">
        <f>IFERROR(__xludf.DUMMYFUNCTION("""COMPUTED_VALUE"""),"Theo Antog")</f>
        <v>Theo Antog</v>
      </c>
      <c r="E725" s="1" t="str">
        <f>IFERROR(__xludf.DUMMYFUNCTION("""COMPUTED_VALUE"""),"Pag inggit pikit😂")</f>
        <v>Pag inggit pikit😂</v>
      </c>
      <c r="F725" s="1"/>
      <c r="G725" s="1" t="str">
        <f>IFERROR(__xludf.DUMMYFUNCTION("""COMPUTED_VALUE"""),"3 mos")</f>
        <v>3 mos</v>
      </c>
      <c r="H725" s="1" t="str">
        <f>IFERROR(__xludf.DUMMYFUNCTION("""COMPUTED_VALUE"""),"comment")</f>
        <v>comment</v>
      </c>
      <c r="I725" s="2" t="str">
        <f>IFERROR(__xludf.DUMMYFUNCTION("""COMPUTED_VALUE"""),"https://www.facebook.com/rapplerdotcom/photos/a.317154781638645/5597116770309060/")</f>
        <v>https://www.facebook.com/rapplerdotcom/photos/a.317154781638645/5597116770309060/</v>
      </c>
      <c r="J725" s="1" t="str">
        <f>IFERROR(__xludf.DUMMYFUNCTION("""COMPUTED_VALUE"""),"2022-07-04T11:15:29.863Z")</f>
        <v>2022-07-04T11:15:29.863Z</v>
      </c>
      <c r="K725" s="1"/>
    </row>
    <row r="726">
      <c r="A726" s="2" t="str">
        <f>IFERROR(__xludf.DUMMYFUNCTION("""COMPUTED_VALUE"""),"https://www.facebook.com/profile.php?id=100077782688269")</f>
        <v>https://www.facebook.com/profile.php?id=100077782688269</v>
      </c>
      <c r="B726" s="1" t="str">
        <f>IFERROR(__xludf.DUMMYFUNCTION("""COMPUTED_VALUE"""),"Cynthia Lumanog")</f>
        <v>Cynthia Lumanog</v>
      </c>
      <c r="C726" s="1" t="str">
        <f>IFERROR(__xludf.DUMMYFUNCTION("""COMPUTED_VALUE"""),"Cynthia")</f>
        <v>Cynthia</v>
      </c>
      <c r="D726" s="1" t="str">
        <f>IFERROR(__xludf.DUMMYFUNCTION("""COMPUTED_VALUE"""),"Lumanog")</f>
        <v>Lumanog</v>
      </c>
      <c r="E726" s="1" t="str">
        <f>IFERROR(__xludf.DUMMYFUNCTION("""COMPUTED_VALUE"""),"Grabee ka ( greed) Swapang sa position pati si sander parang totoy lang pero ang utak Swapang narin manang mana sa lolo sa pamilya! Pro wala taung magawa kung ang mga tao dyan bulag sa Political dynasty sana gumising kau hindi kau nakaangat uy!!! Sana lal"&amp;"aban si farinas dyan!  Tingin ko mula pa noon yung kalaban bagsakan na ng pera para d na lalaban! Mahalin nyo lugar nyo wag kaung Ampaw!")</f>
        <v>Grabee ka ( greed) Swapang sa position pati si sander parang totoy lang pero ang utak Swapang narin manang mana sa lolo sa pamilya! Pro wala taung magawa kung ang mga tao dyan bulag sa Political dynasty sana gumising kau hindi kau nakaangat uy!!! Sana lalaban si farinas dyan!  Tingin ko mula pa noon yung kalaban bagsakan na ng pera para d na lalaban! Mahalin nyo lugar nyo wag kaung Ampaw!</v>
      </c>
      <c r="F726" s="1">
        <f>IFERROR(__xludf.DUMMYFUNCTION("""COMPUTED_VALUE"""),1.0)</f>
        <v>1</v>
      </c>
      <c r="G726" s="1" t="str">
        <f>IFERROR(__xludf.DUMMYFUNCTION("""COMPUTED_VALUE"""),"3 mos")</f>
        <v>3 mos</v>
      </c>
      <c r="H726" s="1" t="str">
        <f>IFERROR(__xludf.DUMMYFUNCTION("""COMPUTED_VALUE"""),"comment")</f>
        <v>comment</v>
      </c>
      <c r="I726" s="2" t="str">
        <f>IFERROR(__xludf.DUMMYFUNCTION("""COMPUTED_VALUE"""),"https://www.facebook.com/rapplerdotcom/photos/a.317154781638645/5597116770309060/")</f>
        <v>https://www.facebook.com/rapplerdotcom/photos/a.317154781638645/5597116770309060/</v>
      </c>
      <c r="J726" s="1" t="str">
        <f>IFERROR(__xludf.DUMMYFUNCTION("""COMPUTED_VALUE"""),"2022-07-04T11:15:29.864Z")</f>
        <v>2022-07-04T11:15:29.864Z</v>
      </c>
      <c r="K726" s="1"/>
    </row>
    <row r="727">
      <c r="A727" s="2" t="str">
        <f>IFERROR(__xludf.DUMMYFUNCTION("""COMPUTED_VALUE"""),"https://www.facebook.com/danny.vedua")</f>
        <v>https://www.facebook.com/danny.vedua</v>
      </c>
      <c r="B727" s="1" t="str">
        <f>IFERROR(__xludf.DUMMYFUNCTION("""COMPUTED_VALUE"""),"Danny Vedua")</f>
        <v>Danny Vedua</v>
      </c>
      <c r="C727" s="1" t="str">
        <f>IFERROR(__xludf.DUMMYFUNCTION("""COMPUTED_VALUE"""),"Danny")</f>
        <v>Danny</v>
      </c>
      <c r="D727" s="1" t="str">
        <f>IFERROR(__xludf.DUMMYFUNCTION("""COMPUTED_VALUE"""),"Vedua")</f>
        <v>Vedua</v>
      </c>
      <c r="E727" s="1" t="str">
        <f>IFERROR(__xludf.DUMMYFUNCTION("""COMPUTED_VALUE"""),"GINAGAWA NILANG PALABIGASAN ANG PAG TAKBO HINDI MAHIRAP SA KANILA ANG TRABAHO HOY GUMISING NA KAYO")</f>
        <v>GINAGAWA NILANG PALABIGASAN ANG PAG TAKBO HINDI MAHIRAP SA KANILA ANG TRABAHO HOY GUMISING NA KAYO</v>
      </c>
      <c r="F727" s="1">
        <f>IFERROR(__xludf.DUMMYFUNCTION("""COMPUTED_VALUE"""),1.0)</f>
        <v>1</v>
      </c>
      <c r="G727" s="1" t="str">
        <f>IFERROR(__xludf.DUMMYFUNCTION("""COMPUTED_VALUE"""),"3 mos")</f>
        <v>3 mos</v>
      </c>
      <c r="H727" s="1" t="str">
        <f>IFERROR(__xludf.DUMMYFUNCTION("""COMPUTED_VALUE"""),"comment")</f>
        <v>comment</v>
      </c>
      <c r="I727" s="2" t="str">
        <f>IFERROR(__xludf.DUMMYFUNCTION("""COMPUTED_VALUE"""),"https://www.facebook.com/rapplerdotcom/photos/a.317154781638645/5597116770309060/")</f>
        <v>https://www.facebook.com/rapplerdotcom/photos/a.317154781638645/5597116770309060/</v>
      </c>
      <c r="J727" s="1" t="str">
        <f>IFERROR(__xludf.DUMMYFUNCTION("""COMPUTED_VALUE"""),"2022-07-04T11:15:29.864Z")</f>
        <v>2022-07-04T11:15:29.864Z</v>
      </c>
      <c r="K727" s="1"/>
    </row>
    <row r="728">
      <c r="A728" s="2" t="str">
        <f>IFERROR(__xludf.DUMMYFUNCTION("""COMPUTED_VALUE"""),"https://www.facebook.com/profile.php?id=100075670464889")</f>
        <v>https://www.facebook.com/profile.php?id=100075670464889</v>
      </c>
      <c r="B728" s="1" t="str">
        <f>IFERROR(__xludf.DUMMYFUNCTION("""COMPUTED_VALUE"""),"Regen Tanjay")</f>
        <v>Regen Tanjay</v>
      </c>
      <c r="C728" s="1" t="str">
        <f>IFERROR(__xludf.DUMMYFUNCTION("""COMPUTED_VALUE"""),"Regen")</f>
        <v>Regen</v>
      </c>
      <c r="D728" s="1" t="str">
        <f>IFERROR(__xludf.DUMMYFUNCTION("""COMPUTED_VALUE"""),"Tanjay")</f>
        <v>Tanjay</v>
      </c>
      <c r="E728" s="1" t="str">
        <f>IFERROR(__xludf.DUMMYFUNCTION("""COMPUTED_VALUE"""),"Ahahahaha daming iyakin dito, political dynasty ba kamo? Ahahahaha i d talonin nyo sa election, i kung sila parin ang mananalo oh eh sila parin ang gusto nang tao, oh baka sabihin nyo kaya nanalo dahil namimigay nang pera, sa panahon ngayon may politiko p"&amp;"abah nah d namimigay nang pera?")</f>
        <v>Ahahahaha daming iyakin dito, political dynasty ba kamo? Ahahahaha i d talonin nyo sa election, i kung sila parin ang mananalo oh eh sila parin ang gusto nang tao, oh baka sabihin nyo kaya nanalo dahil namimigay nang pera, sa panahon ngayon may politiko pabah nah d namimigay nang pera?</v>
      </c>
      <c r="F728" s="1">
        <f>IFERROR(__xludf.DUMMYFUNCTION("""COMPUTED_VALUE"""),2.0)</f>
        <v>2</v>
      </c>
      <c r="G728" s="1" t="str">
        <f>IFERROR(__xludf.DUMMYFUNCTION("""COMPUTED_VALUE"""),"3 mos")</f>
        <v>3 mos</v>
      </c>
      <c r="H728" s="1" t="str">
        <f>IFERROR(__xludf.DUMMYFUNCTION("""COMPUTED_VALUE"""),"comment")</f>
        <v>comment</v>
      </c>
      <c r="I728" s="2" t="str">
        <f>IFERROR(__xludf.DUMMYFUNCTION("""COMPUTED_VALUE"""),"https://www.facebook.com/rapplerdotcom/photos/a.317154781638645/5597116770309060/")</f>
        <v>https://www.facebook.com/rapplerdotcom/photos/a.317154781638645/5597116770309060/</v>
      </c>
      <c r="J728" s="1" t="str">
        <f>IFERROR(__xludf.DUMMYFUNCTION("""COMPUTED_VALUE"""),"2022-07-04T11:15:29.864Z")</f>
        <v>2022-07-04T11:15:29.864Z</v>
      </c>
      <c r="K728" s="1"/>
    </row>
    <row r="729">
      <c r="A729" s="2" t="str">
        <f>IFERROR(__xludf.DUMMYFUNCTION("""COMPUTED_VALUE"""),"https://www.facebook.com/jayfox73")</f>
        <v>https://www.facebook.com/jayfox73</v>
      </c>
      <c r="B729" s="1" t="str">
        <f>IFERROR(__xludf.DUMMYFUNCTION("""COMPUTED_VALUE"""),"Jay Mahusay Cainoy")</f>
        <v>Jay Mahusay Cainoy</v>
      </c>
      <c r="C729" s="1" t="str">
        <f>IFERROR(__xludf.DUMMYFUNCTION("""COMPUTED_VALUE"""),"Jay")</f>
        <v>Jay</v>
      </c>
      <c r="D729" s="1" t="str">
        <f>IFERROR(__xludf.DUMMYFUNCTION("""COMPUTED_VALUE"""),"Mahusay Cainoy")</f>
        <v>Mahusay Cainoy</v>
      </c>
      <c r="E729" s="1" t="str">
        <f>IFERROR(__xludf.DUMMYFUNCTION("""COMPUTED_VALUE"""),"Regen Tanjay Ano ang iyakin sa bisaya bai?")</f>
        <v>Regen Tanjay Ano ang iyakin sa bisaya bai?</v>
      </c>
      <c r="F729" s="1"/>
      <c r="G729" s="1" t="str">
        <f>IFERROR(__xludf.DUMMYFUNCTION("""COMPUTED_VALUE"""),"3 mos")</f>
        <v>3 mos</v>
      </c>
      <c r="H729" s="1" t="str">
        <f>IFERROR(__xludf.DUMMYFUNCTION("""COMPUTED_VALUE"""),"reply")</f>
        <v>reply</v>
      </c>
      <c r="I729" s="2" t="str">
        <f>IFERROR(__xludf.DUMMYFUNCTION("""COMPUTED_VALUE"""),"https://www.facebook.com/rapplerdotcom/photos/a.317154781638645/5597116770309060/")</f>
        <v>https://www.facebook.com/rapplerdotcom/photos/a.317154781638645/5597116770309060/</v>
      </c>
      <c r="J729" s="1" t="str">
        <f>IFERROR(__xludf.DUMMYFUNCTION("""COMPUTED_VALUE"""),"2022-07-04T11:15:29.864Z")</f>
        <v>2022-07-04T11:15:29.864Z</v>
      </c>
      <c r="K729" s="1"/>
    </row>
    <row r="730">
      <c r="A730" s="2" t="str">
        <f>IFERROR(__xludf.DUMMYFUNCTION("""COMPUTED_VALUE"""),"https://www.facebook.com/profile.php?id=100075670464889")</f>
        <v>https://www.facebook.com/profile.php?id=100075670464889</v>
      </c>
      <c r="B730" s="1" t="str">
        <f>IFERROR(__xludf.DUMMYFUNCTION("""COMPUTED_VALUE"""),"Regen Tanjay")</f>
        <v>Regen Tanjay</v>
      </c>
      <c r="C730" s="1" t="str">
        <f>IFERROR(__xludf.DUMMYFUNCTION("""COMPUTED_VALUE"""),"Regen")</f>
        <v>Regen</v>
      </c>
      <c r="D730" s="1" t="str">
        <f>IFERROR(__xludf.DUMMYFUNCTION("""COMPUTED_VALUE"""),"Tanjay")</f>
        <v>Tanjay</v>
      </c>
      <c r="E730" s="1" t="str">
        <f>IFERROR(__xludf.DUMMYFUNCTION("""COMPUTED_VALUE"""),"Jay Mahusay Cainoy mahilak ahahahaha")</f>
        <v>Jay Mahusay Cainoy mahilak ahahahaha</v>
      </c>
      <c r="F730" s="1">
        <f>IFERROR(__xludf.DUMMYFUNCTION("""COMPUTED_VALUE"""),1.0)</f>
        <v>1</v>
      </c>
      <c r="G730" s="1" t="str">
        <f>IFERROR(__xludf.DUMMYFUNCTION("""COMPUTED_VALUE"""),"3 mos")</f>
        <v>3 mos</v>
      </c>
      <c r="H730" s="1" t="str">
        <f>IFERROR(__xludf.DUMMYFUNCTION("""COMPUTED_VALUE"""),"reply")</f>
        <v>reply</v>
      </c>
      <c r="I730" s="2" t="str">
        <f>IFERROR(__xludf.DUMMYFUNCTION("""COMPUTED_VALUE"""),"https://www.facebook.com/rapplerdotcom/photos/a.317154781638645/5597116770309060/")</f>
        <v>https://www.facebook.com/rapplerdotcom/photos/a.317154781638645/5597116770309060/</v>
      </c>
      <c r="J730" s="1" t="str">
        <f>IFERROR(__xludf.DUMMYFUNCTION("""COMPUTED_VALUE"""),"2022-07-04T11:15:29.864Z")</f>
        <v>2022-07-04T11:15:29.864Z</v>
      </c>
      <c r="K730" s="1"/>
    </row>
    <row r="731">
      <c r="A731" s="2" t="str">
        <f>IFERROR(__xludf.DUMMYFUNCTION("""COMPUTED_VALUE"""),"https://www.facebook.com/primo.dinglasan.1")</f>
        <v>https://www.facebook.com/primo.dinglasan.1</v>
      </c>
      <c r="B731" s="1" t="str">
        <f>IFERROR(__xludf.DUMMYFUNCTION("""COMPUTED_VALUE"""),"Primo Cosa Dinglasan")</f>
        <v>Primo Cosa Dinglasan</v>
      </c>
      <c r="C731" s="1" t="str">
        <f>IFERROR(__xludf.DUMMYFUNCTION("""COMPUTED_VALUE"""),"Primo")</f>
        <v>Primo</v>
      </c>
      <c r="D731" s="1" t="str">
        <f>IFERROR(__xludf.DUMMYFUNCTION("""COMPUTED_VALUE"""),"Cosa Dinglasan")</f>
        <v>Cosa Dinglasan</v>
      </c>
      <c r="E731" s="1" t="str">
        <f>IFERROR(__xludf.DUMMYFUNCTION("""COMPUTED_VALUE"""),"Mga Ilocano palagi na lang kayo Minamarcos diyan. Sila lang umaasenso pero yung economy ng lugar nyo wala sa level ng ibang probinsiya")</f>
        <v>Mga Ilocano palagi na lang kayo Minamarcos diyan. Sila lang umaasenso pero yung economy ng lugar nyo wala sa level ng ibang probinsiya</v>
      </c>
      <c r="F731" s="1"/>
      <c r="G731" s="1" t="str">
        <f>IFERROR(__xludf.DUMMYFUNCTION("""COMPUTED_VALUE"""),"3 mos")</f>
        <v>3 mos</v>
      </c>
      <c r="H731" s="1" t="str">
        <f>IFERROR(__xludf.DUMMYFUNCTION("""COMPUTED_VALUE"""),"comment")</f>
        <v>comment</v>
      </c>
      <c r="I731" s="2" t="str">
        <f>IFERROR(__xludf.DUMMYFUNCTION("""COMPUTED_VALUE"""),"https://www.facebook.com/rapplerdotcom/photos/a.317154781638645/5597116770309060/")</f>
        <v>https://www.facebook.com/rapplerdotcom/photos/a.317154781638645/5597116770309060/</v>
      </c>
      <c r="J731" s="1" t="str">
        <f>IFERROR(__xludf.DUMMYFUNCTION("""COMPUTED_VALUE"""),"2022-07-04T11:15:29.864Z")</f>
        <v>2022-07-04T11:15:29.864Z</v>
      </c>
      <c r="K731" s="1"/>
    </row>
    <row r="732">
      <c r="A732" s="2" t="str">
        <f>IFERROR(__xludf.DUMMYFUNCTION("""COMPUTED_VALUE"""),"https://www.facebook.com/edwin.marcelo.12")</f>
        <v>https://www.facebook.com/edwin.marcelo.12</v>
      </c>
      <c r="B732" s="1" t="str">
        <f>IFERROR(__xludf.DUMMYFUNCTION("""COMPUTED_VALUE"""),"Edwin Marcelo")</f>
        <v>Edwin Marcelo</v>
      </c>
      <c r="C732" s="1" t="str">
        <f>IFERROR(__xludf.DUMMYFUNCTION("""COMPUTED_VALUE"""),"Edwin")</f>
        <v>Edwin</v>
      </c>
      <c r="D732" s="1" t="str">
        <f>IFERROR(__xludf.DUMMYFUNCTION("""COMPUTED_VALUE"""),"Marcelo")</f>
        <v>Marcelo</v>
      </c>
      <c r="E732" s="1" t="str">
        <f>IFERROR(__xludf.DUMMYFUNCTION("""COMPUTED_VALUE"""),"Kung magaling mga yan, bakit di pa umaasenso ang ilocos?")</f>
        <v>Kung magaling mga yan, bakit di pa umaasenso ang ilocos?</v>
      </c>
      <c r="F732" s="1"/>
      <c r="G732" s="1" t="str">
        <f>IFERROR(__xludf.DUMMYFUNCTION("""COMPUTED_VALUE"""),"3 mos")</f>
        <v>3 mos</v>
      </c>
      <c r="H732" s="1" t="str">
        <f>IFERROR(__xludf.DUMMYFUNCTION("""COMPUTED_VALUE"""),"comment")</f>
        <v>comment</v>
      </c>
      <c r="I732" s="2" t="str">
        <f>IFERROR(__xludf.DUMMYFUNCTION("""COMPUTED_VALUE"""),"https://www.facebook.com/rapplerdotcom/photos/a.317154781638645/5597116770309060/")</f>
        <v>https://www.facebook.com/rapplerdotcom/photos/a.317154781638645/5597116770309060/</v>
      </c>
      <c r="J732" s="1" t="str">
        <f>IFERROR(__xludf.DUMMYFUNCTION("""COMPUTED_VALUE"""),"2022-07-04T11:15:29.864Z")</f>
        <v>2022-07-04T11:15:29.864Z</v>
      </c>
      <c r="K732" s="1"/>
    </row>
    <row r="733">
      <c r="A733" s="2" t="str">
        <f>IFERROR(__xludf.DUMMYFUNCTION("""COMPUTED_VALUE"""),"https://www.facebook.com/eelnadyar")</f>
        <v>https://www.facebook.com/eelnadyar</v>
      </c>
      <c r="B733" s="1" t="str">
        <f>IFERROR(__xludf.DUMMYFUNCTION("""COMPUTED_VALUE"""),"Ray Dan Lee")</f>
        <v>Ray Dan Lee</v>
      </c>
      <c r="C733" s="1" t="str">
        <f>IFERROR(__xludf.DUMMYFUNCTION("""COMPUTED_VALUE"""),"Ray")</f>
        <v>Ray</v>
      </c>
      <c r="D733" s="1" t="str">
        <f>IFERROR(__xludf.DUMMYFUNCTION("""COMPUTED_VALUE"""),"Dan Lee")</f>
        <v>Dan Lee</v>
      </c>
      <c r="E733" s="1" t="str">
        <f>IFERROR(__xludf.DUMMYFUNCTION("""COMPUTED_VALUE"""),"Nakakaawa mga taga Ilocos Norte, nalinlang ng npkhbang pnhon")</f>
        <v>Nakakaawa mga taga Ilocos Norte, nalinlang ng npkhbang pnhon</v>
      </c>
      <c r="F733" s="1"/>
      <c r="G733" s="1" t="str">
        <f>IFERROR(__xludf.DUMMYFUNCTION("""COMPUTED_VALUE"""),"3 mos")</f>
        <v>3 mos</v>
      </c>
      <c r="H733" s="1" t="str">
        <f>IFERROR(__xludf.DUMMYFUNCTION("""COMPUTED_VALUE"""),"comment")</f>
        <v>comment</v>
      </c>
      <c r="I733" s="2" t="str">
        <f>IFERROR(__xludf.DUMMYFUNCTION("""COMPUTED_VALUE"""),"https://www.facebook.com/rapplerdotcom/photos/a.317154781638645/5597116770309060/")</f>
        <v>https://www.facebook.com/rapplerdotcom/photos/a.317154781638645/5597116770309060/</v>
      </c>
      <c r="J733" s="1" t="str">
        <f>IFERROR(__xludf.DUMMYFUNCTION("""COMPUTED_VALUE"""),"2022-07-04T11:15:29.864Z")</f>
        <v>2022-07-04T11:15:29.864Z</v>
      </c>
      <c r="K733" s="1"/>
    </row>
    <row r="734">
      <c r="A734" s="2" t="str">
        <f>IFERROR(__xludf.DUMMYFUNCTION("""COMPUTED_VALUE"""),"https://www.facebook.com/martinpas11")</f>
        <v>https://www.facebook.com/martinpas11</v>
      </c>
      <c r="B734" s="1" t="str">
        <f>IFERROR(__xludf.DUMMYFUNCTION("""COMPUTED_VALUE"""),"Martin Pas")</f>
        <v>Martin Pas</v>
      </c>
      <c r="C734" s="1" t="str">
        <f>IFERROR(__xludf.DUMMYFUNCTION("""COMPUTED_VALUE"""),"Martin")</f>
        <v>Martin</v>
      </c>
      <c r="D734" s="1" t="str">
        <f>IFERROR(__xludf.DUMMYFUNCTION("""COMPUTED_VALUE"""),"Pas")</f>
        <v>Pas</v>
      </c>
      <c r="E734" s="1" t="str">
        <f>IFERROR(__xludf.DUMMYFUNCTION("""COMPUTED_VALUE"""),"Tignan niyo nalang ilocos kung umunlad ba….tapos lalagay niyo sa malacanang")</f>
        <v>Tignan niyo nalang ilocos kung umunlad ba….tapos lalagay niyo sa malacanang</v>
      </c>
      <c r="F734" s="1">
        <f>IFERROR(__xludf.DUMMYFUNCTION("""COMPUTED_VALUE"""),3.0)</f>
        <v>3</v>
      </c>
      <c r="G734" s="1" t="str">
        <f>IFERROR(__xludf.DUMMYFUNCTION("""COMPUTED_VALUE"""),"3 mos")</f>
        <v>3 mos</v>
      </c>
      <c r="H734" s="1" t="str">
        <f>IFERROR(__xludf.DUMMYFUNCTION("""COMPUTED_VALUE"""),"comment")</f>
        <v>comment</v>
      </c>
      <c r="I734" s="2" t="str">
        <f>IFERROR(__xludf.DUMMYFUNCTION("""COMPUTED_VALUE"""),"https://www.facebook.com/rapplerdotcom/photos/a.317154781638645/5597116770309060/")</f>
        <v>https://www.facebook.com/rapplerdotcom/photos/a.317154781638645/5597116770309060/</v>
      </c>
      <c r="J734" s="1" t="str">
        <f>IFERROR(__xludf.DUMMYFUNCTION("""COMPUTED_VALUE"""),"2022-07-04T11:15:29.864Z")</f>
        <v>2022-07-04T11:15:29.864Z</v>
      </c>
      <c r="K734" s="1"/>
    </row>
    <row r="735">
      <c r="A735" s="2" t="str">
        <f>IFERROR(__xludf.DUMMYFUNCTION("""COMPUTED_VALUE"""),"https://www.facebook.com/mech.bracero")</f>
        <v>https://www.facebook.com/mech.bracero</v>
      </c>
      <c r="B735" s="1" t="str">
        <f>IFERROR(__xludf.DUMMYFUNCTION("""COMPUTED_VALUE"""),"Mech Bracero")</f>
        <v>Mech Bracero</v>
      </c>
      <c r="C735" s="1" t="str">
        <f>IFERROR(__xludf.DUMMYFUNCTION("""COMPUTED_VALUE"""),"Mech")</f>
        <v>Mech</v>
      </c>
      <c r="D735" s="1" t="str">
        <f>IFERROR(__xludf.DUMMYFUNCTION("""COMPUTED_VALUE"""),"Bracero")</f>
        <v>Bracero</v>
      </c>
      <c r="E735" s="1" t="str">
        <f>IFERROR(__xludf.DUMMYFUNCTION("""COMPUTED_VALUE"""),"Dami nyo sinasabe parepareho lang naman kayo ng hangarin jan..mga pa kunwaring may pag mamahal sa bansa....pero ang totoo kaban lang ng bayan ang tinatarget")</f>
        <v>Dami nyo sinasabe parepareho lang naman kayo ng hangarin jan..mga pa kunwaring may pag mamahal sa bansa....pero ang totoo kaban lang ng bayan ang tinatarget</v>
      </c>
      <c r="F735" s="1"/>
      <c r="G735" s="1" t="str">
        <f>IFERROR(__xludf.DUMMYFUNCTION("""COMPUTED_VALUE"""),"3 mos")</f>
        <v>3 mos</v>
      </c>
      <c r="H735" s="1" t="str">
        <f>IFERROR(__xludf.DUMMYFUNCTION("""COMPUTED_VALUE"""),"comment")</f>
        <v>comment</v>
      </c>
      <c r="I735" s="2" t="str">
        <f>IFERROR(__xludf.DUMMYFUNCTION("""COMPUTED_VALUE"""),"https://www.facebook.com/rapplerdotcom/photos/a.317154781638645/5597116770309060/")</f>
        <v>https://www.facebook.com/rapplerdotcom/photos/a.317154781638645/5597116770309060/</v>
      </c>
      <c r="J735" s="1" t="str">
        <f>IFERROR(__xludf.DUMMYFUNCTION("""COMPUTED_VALUE"""),"2022-07-04T11:15:29.864Z")</f>
        <v>2022-07-04T11:15:29.864Z</v>
      </c>
      <c r="K735" s="1"/>
    </row>
    <row r="736">
      <c r="A736" s="2" t="str">
        <f>IFERROR(__xludf.DUMMYFUNCTION("""COMPUTED_VALUE"""),"https://www.facebook.com/arturo.rondolos.3")</f>
        <v>https://www.facebook.com/arturo.rondolos.3</v>
      </c>
      <c r="B736" s="1" t="str">
        <f>IFERROR(__xludf.DUMMYFUNCTION("""COMPUTED_VALUE"""),"Arturo Rondolos")</f>
        <v>Arturo Rondolos</v>
      </c>
      <c r="C736" s="1" t="str">
        <f>IFERROR(__xludf.DUMMYFUNCTION("""COMPUTED_VALUE"""),"Arturo")</f>
        <v>Arturo</v>
      </c>
      <c r="D736" s="1" t="str">
        <f>IFERROR(__xludf.DUMMYFUNCTION("""COMPUTED_VALUE"""),"Rondolos")</f>
        <v>Rondolos</v>
      </c>
      <c r="E736" s="1" t="str">
        <f>IFERROR(__xludf.DUMMYFUNCTION("""COMPUTED_VALUE"""),"Mahirap sa atin may humuhusga agad pa inglist inglist pa itagalog mo para maintindihan ikaw lang nagsasabi nian, husga agad,")</f>
        <v>Mahirap sa atin may humuhusga agad pa inglist inglist pa itagalog mo para maintindihan ikaw lang nagsasabi nian, husga agad,</v>
      </c>
      <c r="F736" s="1"/>
      <c r="G736" s="1" t="str">
        <f>IFERROR(__xludf.DUMMYFUNCTION("""COMPUTED_VALUE"""),"3 mos")</f>
        <v>3 mos</v>
      </c>
      <c r="H736" s="1" t="str">
        <f>IFERROR(__xludf.DUMMYFUNCTION("""COMPUTED_VALUE"""),"comment")</f>
        <v>comment</v>
      </c>
      <c r="I736" s="2" t="str">
        <f>IFERROR(__xludf.DUMMYFUNCTION("""COMPUTED_VALUE"""),"https://www.facebook.com/rapplerdotcom/photos/a.317154781638645/5597116770309060/")</f>
        <v>https://www.facebook.com/rapplerdotcom/photos/a.317154781638645/5597116770309060/</v>
      </c>
      <c r="J736" s="1" t="str">
        <f>IFERROR(__xludf.DUMMYFUNCTION("""COMPUTED_VALUE"""),"2022-07-04T11:15:29.864Z")</f>
        <v>2022-07-04T11:15:29.864Z</v>
      </c>
      <c r="K736" s="1"/>
    </row>
    <row r="737">
      <c r="A737" s="2" t="str">
        <f>IFERROR(__xludf.DUMMYFUNCTION("""COMPUTED_VALUE"""),"https://www.facebook.com/herbiebnitura")</f>
        <v>https://www.facebook.com/herbiebnitura</v>
      </c>
      <c r="B737" s="1" t="str">
        <f>IFERROR(__xludf.DUMMYFUNCTION("""COMPUTED_VALUE"""),"Herbert Nitura Bilog")</f>
        <v>Herbert Nitura Bilog</v>
      </c>
      <c r="C737" s="1" t="str">
        <f>IFERROR(__xludf.DUMMYFUNCTION("""COMPUTED_VALUE"""),"Herbert")</f>
        <v>Herbert</v>
      </c>
      <c r="D737" s="1" t="str">
        <f>IFERROR(__xludf.DUMMYFUNCTION("""COMPUTED_VALUE"""),"Nitura Bilog")</f>
        <v>Nitura Bilog</v>
      </c>
      <c r="E737" s="1" t="str">
        <f>IFERROR(__xludf.DUMMYFUNCTION("""COMPUTED_VALUE"""),"Go TEAM FARIŇAS!!! Ilampaso nyo ang team narcos!!!")</f>
        <v>Go TEAM FARIŇAS!!! Ilampaso nyo ang team narcos!!!</v>
      </c>
      <c r="F737" s="1">
        <f>IFERROR(__xludf.DUMMYFUNCTION("""COMPUTED_VALUE"""),5.0)</f>
        <v>5</v>
      </c>
      <c r="G737" s="1" t="str">
        <f>IFERROR(__xludf.DUMMYFUNCTION("""COMPUTED_VALUE"""),"3 mos")</f>
        <v>3 mos</v>
      </c>
      <c r="H737" s="1" t="str">
        <f>IFERROR(__xludf.DUMMYFUNCTION("""COMPUTED_VALUE"""),"comment")</f>
        <v>comment</v>
      </c>
      <c r="I737" s="2" t="str">
        <f>IFERROR(__xludf.DUMMYFUNCTION("""COMPUTED_VALUE"""),"https://www.facebook.com/rapplerdotcom/photos/a.317154781638645/5597116770309060/")</f>
        <v>https://www.facebook.com/rapplerdotcom/photos/a.317154781638645/5597116770309060/</v>
      </c>
      <c r="J737" s="1" t="str">
        <f>IFERROR(__xludf.DUMMYFUNCTION("""COMPUTED_VALUE"""),"2022-07-04T11:15:29.864Z")</f>
        <v>2022-07-04T11:15:29.864Z</v>
      </c>
      <c r="K737" s="1"/>
    </row>
    <row r="738">
      <c r="A738" s="2" t="str">
        <f>IFERROR(__xludf.DUMMYFUNCTION("""COMPUTED_VALUE"""),"https://www.facebook.com/profile.php?id=100077412090788")</f>
        <v>https://www.facebook.com/profile.php?id=100077412090788</v>
      </c>
      <c r="B738" s="1" t="str">
        <f>IFERROR(__xludf.DUMMYFUNCTION("""COMPUTED_VALUE"""),"Ladymiles Enerio Belinario Bautista")</f>
        <v>Ladymiles Enerio Belinario Bautista</v>
      </c>
      <c r="C738" s="1" t="str">
        <f>IFERROR(__xludf.DUMMYFUNCTION("""COMPUTED_VALUE"""),"Ladymiles")</f>
        <v>Ladymiles</v>
      </c>
      <c r="D738" s="1" t="str">
        <f>IFERROR(__xludf.DUMMYFUNCTION("""COMPUTED_VALUE"""),"Enerio Belinario Bautista")</f>
        <v>Enerio Belinario Bautista</v>
      </c>
      <c r="E738" s="1" t="str">
        <f>IFERROR(__xludf.DUMMYFUNCTION("""COMPUTED_VALUE"""),"Herbert Nitura Bilog in your dreams 🤣😂")</f>
        <v>Herbert Nitura Bilog in your dreams 🤣😂</v>
      </c>
      <c r="F738" s="1"/>
      <c r="G738" s="1" t="str">
        <f>IFERROR(__xludf.DUMMYFUNCTION("""COMPUTED_VALUE"""),"3 mos")</f>
        <v>3 mos</v>
      </c>
      <c r="H738" s="1" t="str">
        <f>IFERROR(__xludf.DUMMYFUNCTION("""COMPUTED_VALUE"""),"reply")</f>
        <v>reply</v>
      </c>
      <c r="I738" s="2" t="str">
        <f>IFERROR(__xludf.DUMMYFUNCTION("""COMPUTED_VALUE"""),"https://www.facebook.com/rapplerdotcom/photos/a.317154781638645/5597116770309060/")</f>
        <v>https://www.facebook.com/rapplerdotcom/photos/a.317154781638645/5597116770309060/</v>
      </c>
      <c r="J738" s="1" t="str">
        <f>IFERROR(__xludf.DUMMYFUNCTION("""COMPUTED_VALUE"""),"2022-07-04T11:15:29.864Z")</f>
        <v>2022-07-04T11:15:29.864Z</v>
      </c>
      <c r="K738" s="1"/>
    </row>
    <row r="739">
      <c r="A739" s="2" t="str">
        <f>IFERROR(__xludf.DUMMYFUNCTION("""COMPUTED_VALUE"""),"https://www.facebook.com/profile.php?id=100009111409816")</f>
        <v>https://www.facebook.com/profile.php?id=100009111409816</v>
      </c>
      <c r="B739" s="1" t="str">
        <f>IFERROR(__xludf.DUMMYFUNCTION("""COMPUTED_VALUE"""),"Nida Saldivia")</f>
        <v>Nida Saldivia</v>
      </c>
      <c r="C739" s="1" t="str">
        <f>IFERROR(__xludf.DUMMYFUNCTION("""COMPUTED_VALUE"""),"Nida")</f>
        <v>Nida</v>
      </c>
      <c r="D739" s="1" t="str">
        <f>IFERROR(__xludf.DUMMYFUNCTION("""COMPUTED_VALUE"""),"Saldivia")</f>
        <v>Saldivia</v>
      </c>
      <c r="E739" s="1" t="str">
        <f>IFERROR(__xludf.DUMMYFUNCTION("""COMPUTED_VALUE"""),"Herbert Nitura Bilog 💔💚💖💚💖💚")</f>
        <v>Herbert Nitura Bilog 💔💚💖💚💖💚</v>
      </c>
      <c r="F739" s="1"/>
      <c r="G739" s="1" t="str">
        <f>IFERROR(__xludf.DUMMYFUNCTION("""COMPUTED_VALUE"""),"3 mos")</f>
        <v>3 mos</v>
      </c>
      <c r="H739" s="1" t="str">
        <f>IFERROR(__xludf.DUMMYFUNCTION("""COMPUTED_VALUE"""),"reply")</f>
        <v>reply</v>
      </c>
      <c r="I739" s="2" t="str">
        <f>IFERROR(__xludf.DUMMYFUNCTION("""COMPUTED_VALUE"""),"https://www.facebook.com/rapplerdotcom/photos/a.317154781638645/5597116770309060/")</f>
        <v>https://www.facebook.com/rapplerdotcom/photos/a.317154781638645/5597116770309060/</v>
      </c>
      <c r="J739" s="1" t="str">
        <f>IFERROR(__xludf.DUMMYFUNCTION("""COMPUTED_VALUE"""),"2022-07-04T11:15:29.864Z")</f>
        <v>2022-07-04T11:15:29.864Z</v>
      </c>
      <c r="K739" s="1"/>
    </row>
    <row r="740">
      <c r="A740" s="2" t="str">
        <f>IFERROR(__xludf.DUMMYFUNCTION("""COMPUTED_VALUE"""),"https://www.facebook.com/ebelardo.liwanag.1")</f>
        <v>https://www.facebook.com/ebelardo.liwanag.1</v>
      </c>
      <c r="B740" s="1" t="str">
        <f>IFERROR(__xludf.DUMMYFUNCTION("""COMPUTED_VALUE"""),"Ebelardo Liwanag")</f>
        <v>Ebelardo Liwanag</v>
      </c>
      <c r="C740" s="1" t="str">
        <f>IFERROR(__xludf.DUMMYFUNCTION("""COMPUTED_VALUE"""),"Ebelardo")</f>
        <v>Ebelardo</v>
      </c>
      <c r="D740" s="1" t="str">
        <f>IFERROR(__xludf.DUMMYFUNCTION("""COMPUTED_VALUE"""),"Liwanag")</f>
        <v>Liwanag</v>
      </c>
      <c r="E740" s="1" t="str">
        <f>IFERROR(__xludf.DUMMYFUNCTION("""COMPUTED_VALUE"""),"Ang kalaban niya ay anak ni Fariñas. Political dynasty is there to stay. 🤯")</f>
        <v>Ang kalaban niya ay anak ni Fariñas. Political dynasty is there to stay. 🤯</v>
      </c>
      <c r="F740" s="1">
        <f>IFERROR(__xludf.DUMMYFUNCTION("""COMPUTED_VALUE"""),7.0)</f>
        <v>7</v>
      </c>
      <c r="G740" s="1" t="str">
        <f>IFERROR(__xludf.DUMMYFUNCTION("""COMPUTED_VALUE"""),"3 mos")</f>
        <v>3 mos</v>
      </c>
      <c r="H740" s="1" t="str">
        <f>IFERROR(__xludf.DUMMYFUNCTION("""COMPUTED_VALUE"""),"comment")</f>
        <v>comment</v>
      </c>
      <c r="I740" s="2" t="str">
        <f>IFERROR(__xludf.DUMMYFUNCTION("""COMPUTED_VALUE"""),"https://www.facebook.com/rapplerdotcom/photos/a.317154781638645/5597116770309060/")</f>
        <v>https://www.facebook.com/rapplerdotcom/photos/a.317154781638645/5597116770309060/</v>
      </c>
      <c r="J740" s="1" t="str">
        <f>IFERROR(__xludf.DUMMYFUNCTION("""COMPUTED_VALUE"""),"2022-07-04T11:15:29.864Z")</f>
        <v>2022-07-04T11:15:29.864Z</v>
      </c>
      <c r="K740" s="1"/>
    </row>
    <row r="741">
      <c r="A741" s="2" t="str">
        <f>IFERROR(__xludf.DUMMYFUNCTION("""COMPUTED_VALUE"""),"https://www.facebook.com/dorsgf")</f>
        <v>https://www.facebook.com/dorsgf</v>
      </c>
      <c r="B741" s="1" t="str">
        <f>IFERROR(__xludf.DUMMYFUNCTION("""COMPUTED_VALUE"""),"Dorsky Farpale")</f>
        <v>Dorsky Farpale</v>
      </c>
      <c r="C741" s="1" t="str">
        <f>IFERROR(__xludf.DUMMYFUNCTION("""COMPUTED_VALUE"""),"Dorsky")</f>
        <v>Dorsky</v>
      </c>
      <c r="D741" s="1" t="str">
        <f>IFERROR(__xludf.DUMMYFUNCTION("""COMPUTED_VALUE"""),"Farpale")</f>
        <v>Farpale</v>
      </c>
      <c r="E741" s="1" t="str">
        <f>IFERROR(__xludf.DUMMYFUNCTION("""COMPUTED_VALUE"""),"Pwede din bang iangat nyo to class A ang  eco catergory ng mga prinoprotect nyo. Nastuck na sa C.")</f>
        <v>Pwede din bang iangat nyo to class A ang  eco catergory ng mga prinoprotect nyo. Nastuck na sa C.</v>
      </c>
      <c r="F741" s="1"/>
      <c r="G741" s="1" t="str">
        <f>IFERROR(__xludf.DUMMYFUNCTION("""COMPUTED_VALUE"""),"3 mos")</f>
        <v>3 mos</v>
      </c>
      <c r="H741" s="1" t="str">
        <f>IFERROR(__xludf.DUMMYFUNCTION("""COMPUTED_VALUE"""),"comment")</f>
        <v>comment</v>
      </c>
      <c r="I741" s="2" t="str">
        <f>IFERROR(__xludf.DUMMYFUNCTION("""COMPUTED_VALUE"""),"https://www.facebook.com/rapplerdotcom/photos/a.317154781638645/5597116770309060/")</f>
        <v>https://www.facebook.com/rapplerdotcom/photos/a.317154781638645/5597116770309060/</v>
      </c>
      <c r="J741" s="1" t="str">
        <f>IFERROR(__xludf.DUMMYFUNCTION("""COMPUTED_VALUE"""),"2022-07-04T11:15:29.864Z")</f>
        <v>2022-07-04T11:15:29.864Z</v>
      </c>
      <c r="K741" s="1"/>
    </row>
    <row r="742">
      <c r="A742" s="2" t="str">
        <f>IFERROR(__xludf.DUMMYFUNCTION("""COMPUTED_VALUE"""),"https://www.facebook.com/Alvin3aces")</f>
        <v>https://www.facebook.com/Alvin3aces</v>
      </c>
      <c r="B742" s="1" t="str">
        <f>IFERROR(__xludf.DUMMYFUNCTION("""COMPUTED_VALUE"""),"Alvin Alcala")</f>
        <v>Alvin Alcala</v>
      </c>
      <c r="C742" s="1" t="str">
        <f>IFERROR(__xludf.DUMMYFUNCTION("""COMPUTED_VALUE"""),"Alvin")</f>
        <v>Alvin</v>
      </c>
      <c r="D742" s="1" t="str">
        <f>IFERROR(__xludf.DUMMYFUNCTION("""COMPUTED_VALUE"""),"Alcala")</f>
        <v>Alcala</v>
      </c>
      <c r="E742" s="1" t="str">
        <f>IFERROR(__xludf.DUMMYFUNCTION("""COMPUTED_VALUE"""),"Paru paru G..... Balik Balik pa more? Parang paru paro, dapo ng dapo pag may time.")</f>
        <v>Paru paru G..... Balik Balik pa more? Parang paru paro, dapo ng dapo pag may time.</v>
      </c>
      <c r="F742" s="1">
        <f>IFERROR(__xludf.DUMMYFUNCTION("""COMPUTED_VALUE"""),1.0)</f>
        <v>1</v>
      </c>
      <c r="G742" s="1" t="str">
        <f>IFERROR(__xludf.DUMMYFUNCTION("""COMPUTED_VALUE"""),"3 mos")</f>
        <v>3 mos</v>
      </c>
      <c r="H742" s="1" t="str">
        <f>IFERROR(__xludf.DUMMYFUNCTION("""COMPUTED_VALUE"""),"comment")</f>
        <v>comment</v>
      </c>
      <c r="I742" s="2" t="str">
        <f>IFERROR(__xludf.DUMMYFUNCTION("""COMPUTED_VALUE"""),"https://www.facebook.com/rapplerdotcom/photos/a.317154781638645/5597116770309060/")</f>
        <v>https://www.facebook.com/rapplerdotcom/photos/a.317154781638645/5597116770309060/</v>
      </c>
      <c r="J742" s="1" t="str">
        <f>IFERROR(__xludf.DUMMYFUNCTION("""COMPUTED_VALUE"""),"2022-07-04T11:15:29.864Z")</f>
        <v>2022-07-04T11:15:29.864Z</v>
      </c>
      <c r="K742" s="1"/>
    </row>
    <row r="743">
      <c r="A743" s="2" t="str">
        <f>IFERROR(__xludf.DUMMYFUNCTION("""COMPUTED_VALUE"""),"https://www.facebook.com/otep.delaroz")</f>
        <v>https://www.facebook.com/otep.delaroz</v>
      </c>
      <c r="B743" s="1" t="str">
        <f>IFERROR(__xludf.DUMMYFUNCTION("""COMPUTED_VALUE"""),"Otep Delaroz")</f>
        <v>Otep Delaroz</v>
      </c>
      <c r="C743" s="1" t="str">
        <f>IFERROR(__xludf.DUMMYFUNCTION("""COMPUTED_VALUE"""),"Otep")</f>
        <v>Otep</v>
      </c>
      <c r="D743" s="1" t="str">
        <f>IFERROR(__xludf.DUMMYFUNCTION("""COMPUTED_VALUE"""),"Delaroz")</f>
        <v>Delaroz</v>
      </c>
      <c r="E743" s="1" t="str">
        <f>IFERROR(__xludf.DUMMYFUNCTION("""COMPUTED_VALUE"""),"Third class province pa rin")</f>
        <v>Third class province pa rin</v>
      </c>
      <c r="F743" s="1">
        <f>IFERROR(__xludf.DUMMYFUNCTION("""COMPUTED_VALUE"""),10.0)</f>
        <v>10</v>
      </c>
      <c r="G743" s="1" t="str">
        <f>IFERROR(__xludf.DUMMYFUNCTION("""COMPUTED_VALUE"""),"3 mos")</f>
        <v>3 mos</v>
      </c>
      <c r="H743" s="1" t="str">
        <f>IFERROR(__xludf.DUMMYFUNCTION("""COMPUTED_VALUE"""),"comment")</f>
        <v>comment</v>
      </c>
      <c r="I743" s="2" t="str">
        <f>IFERROR(__xludf.DUMMYFUNCTION("""COMPUTED_VALUE"""),"https://www.facebook.com/rapplerdotcom/photos/a.317154781638645/5597116770309060/")</f>
        <v>https://www.facebook.com/rapplerdotcom/photos/a.317154781638645/5597116770309060/</v>
      </c>
      <c r="J743" s="1" t="str">
        <f>IFERROR(__xludf.DUMMYFUNCTION("""COMPUTED_VALUE"""),"2022-07-04T11:15:29.864Z")</f>
        <v>2022-07-04T11:15:29.864Z</v>
      </c>
      <c r="K743" s="1"/>
    </row>
    <row r="744">
      <c r="A744" s="2" t="str">
        <f>IFERROR(__xludf.DUMMYFUNCTION("""COMPUTED_VALUE"""),"https://www.facebook.com/arturo.rondolos.3")</f>
        <v>https://www.facebook.com/arturo.rondolos.3</v>
      </c>
      <c r="B744" s="1" t="str">
        <f>IFERROR(__xludf.DUMMYFUNCTION("""COMPUTED_VALUE"""),"Arturo Rondolos")</f>
        <v>Arturo Rondolos</v>
      </c>
      <c r="C744" s="1" t="str">
        <f>IFERROR(__xludf.DUMMYFUNCTION("""COMPUTED_VALUE"""),"Arturo")</f>
        <v>Arturo</v>
      </c>
      <c r="D744" s="1" t="str">
        <f>IFERROR(__xludf.DUMMYFUNCTION("""COMPUTED_VALUE"""),"Rondolos")</f>
        <v>Rondolos</v>
      </c>
      <c r="E744" s="1" t="str">
        <f>IFERROR(__xludf.DUMMYFUNCTION("""COMPUTED_VALUE"""),"Sabang ciudad iba Ang ilocos huag mo igaya")</f>
        <v>Sabang ciudad iba Ang ilocos huag mo igaya</v>
      </c>
      <c r="F744" s="1"/>
      <c r="G744" s="1" t="str">
        <f>IFERROR(__xludf.DUMMYFUNCTION("""COMPUTED_VALUE"""),"3 mos")</f>
        <v>3 mos</v>
      </c>
      <c r="H744" s="1" t="str">
        <f>IFERROR(__xludf.DUMMYFUNCTION("""COMPUTED_VALUE"""),"comment")</f>
        <v>comment</v>
      </c>
      <c r="I744" s="2" t="str">
        <f>IFERROR(__xludf.DUMMYFUNCTION("""COMPUTED_VALUE"""),"https://www.facebook.com/rapplerdotcom/photos/a.317154781638645/5597116770309060/")</f>
        <v>https://www.facebook.com/rapplerdotcom/photos/a.317154781638645/5597116770309060/</v>
      </c>
      <c r="J744" s="1" t="str">
        <f>IFERROR(__xludf.DUMMYFUNCTION("""COMPUTED_VALUE"""),"2022-07-04T11:15:29.864Z")</f>
        <v>2022-07-04T11:15:29.864Z</v>
      </c>
      <c r="K744" s="1"/>
    </row>
    <row r="745">
      <c r="A745" s="2" t="str">
        <f>IFERROR(__xludf.DUMMYFUNCTION("""COMPUTED_VALUE"""),"https://www.facebook.com/rufino.baldovino")</f>
        <v>https://www.facebook.com/rufino.baldovino</v>
      </c>
      <c r="B745" s="1" t="str">
        <f>IFERROR(__xludf.DUMMYFUNCTION("""COMPUTED_VALUE"""),"Rufino Baldovino")</f>
        <v>Rufino Baldovino</v>
      </c>
      <c r="C745" s="1" t="str">
        <f>IFERROR(__xludf.DUMMYFUNCTION("""COMPUTED_VALUE"""),"Rufino")</f>
        <v>Rufino</v>
      </c>
      <c r="D745" s="1" t="str">
        <f>IFERROR(__xludf.DUMMYFUNCTION("""COMPUTED_VALUE"""),"Baldovino")</f>
        <v>Baldovino</v>
      </c>
      <c r="E745" s="1" t="str">
        <f>IFERROR(__xludf.DUMMYFUNCTION("""COMPUTED_VALUE"""),"kayo kayo na lang dyan wala pa rin asenso")</f>
        <v>kayo kayo na lang dyan wala pa rin asenso</v>
      </c>
      <c r="F745" s="1">
        <f>IFERROR(__xludf.DUMMYFUNCTION("""COMPUTED_VALUE"""),1.0)</f>
        <v>1</v>
      </c>
      <c r="G745" s="1" t="str">
        <f>IFERROR(__xludf.DUMMYFUNCTION("""COMPUTED_VALUE"""),"3 mos")</f>
        <v>3 mos</v>
      </c>
      <c r="H745" s="1" t="str">
        <f>IFERROR(__xludf.DUMMYFUNCTION("""COMPUTED_VALUE"""),"comment")</f>
        <v>comment</v>
      </c>
      <c r="I745" s="2" t="str">
        <f>IFERROR(__xludf.DUMMYFUNCTION("""COMPUTED_VALUE"""),"https://www.facebook.com/rapplerdotcom/photos/a.317154781638645/5597116770309060/")</f>
        <v>https://www.facebook.com/rapplerdotcom/photos/a.317154781638645/5597116770309060/</v>
      </c>
      <c r="J745" s="1" t="str">
        <f>IFERROR(__xludf.DUMMYFUNCTION("""COMPUTED_VALUE"""),"2022-07-04T11:15:29.864Z")</f>
        <v>2022-07-04T11:15:29.864Z</v>
      </c>
      <c r="K745" s="1"/>
    </row>
    <row r="746">
      <c r="A746" s="2" t="str">
        <f>IFERROR(__xludf.DUMMYFUNCTION("""COMPUTED_VALUE"""),"https://www.facebook.com/jwharch")</f>
        <v>https://www.facebook.com/jwharch</v>
      </c>
      <c r="B746" s="1" t="str">
        <f>IFERROR(__xludf.DUMMYFUNCTION("""COMPUTED_VALUE"""),"Jimmy Hermogenes")</f>
        <v>Jimmy Hermogenes</v>
      </c>
      <c r="C746" s="1" t="str">
        <f>IFERROR(__xludf.DUMMYFUNCTION("""COMPUTED_VALUE"""),"Jimmy")</f>
        <v>Jimmy</v>
      </c>
      <c r="D746" s="1" t="str">
        <f>IFERROR(__xludf.DUMMYFUNCTION("""COMPUTED_VALUE"""),"Hermogenes")</f>
        <v>Hermogenes</v>
      </c>
      <c r="E746" s="1" t="str">
        <f>IFERROR(__xludf.DUMMYFUNCTION("""COMPUTED_VALUE"""),"Marunong ba mag ilocano yan?")</f>
        <v>Marunong ba mag ilocano yan?</v>
      </c>
      <c r="F746" s="1"/>
      <c r="G746" s="1" t="str">
        <f>IFERROR(__xludf.DUMMYFUNCTION("""COMPUTED_VALUE"""),"3 mos")</f>
        <v>3 mos</v>
      </c>
      <c r="H746" s="1" t="str">
        <f>IFERROR(__xludf.DUMMYFUNCTION("""COMPUTED_VALUE"""),"comment")</f>
        <v>comment</v>
      </c>
      <c r="I746" s="2" t="str">
        <f>IFERROR(__xludf.DUMMYFUNCTION("""COMPUTED_VALUE"""),"https://www.facebook.com/rapplerdotcom/photos/a.317154781638645/5597116770309060/")</f>
        <v>https://www.facebook.com/rapplerdotcom/photos/a.317154781638645/5597116770309060/</v>
      </c>
      <c r="J746" s="1" t="str">
        <f>IFERROR(__xludf.DUMMYFUNCTION("""COMPUTED_VALUE"""),"2022-07-04T11:15:29.864Z")</f>
        <v>2022-07-04T11:15:29.864Z</v>
      </c>
      <c r="K746" s="1"/>
    </row>
    <row r="747">
      <c r="A747" s="2" t="str">
        <f>IFERROR(__xludf.DUMMYFUNCTION("""COMPUTED_VALUE"""),"https://www.facebook.com/rafaelfelicia.equipado")</f>
        <v>https://www.facebook.com/rafaelfelicia.equipado</v>
      </c>
      <c r="B747" s="1" t="str">
        <f>IFERROR(__xludf.DUMMYFUNCTION("""COMPUTED_VALUE"""),"Rafael Felicia Equipado")</f>
        <v>Rafael Felicia Equipado</v>
      </c>
      <c r="C747" s="1" t="str">
        <f>IFERROR(__xludf.DUMMYFUNCTION("""COMPUTED_VALUE"""),"Rafael")</f>
        <v>Rafael</v>
      </c>
      <c r="D747" s="1" t="str">
        <f>IFERROR(__xludf.DUMMYFUNCTION("""COMPUTED_VALUE"""),"Felicia Equipado")</f>
        <v>Felicia Equipado</v>
      </c>
      <c r="E747" s="1" t="str">
        <f>IFERROR(__xludf.DUMMYFUNCTION("""COMPUTED_VALUE"""),"stop politikal dynasty!!!!.")</f>
        <v>stop politikal dynasty!!!!.</v>
      </c>
      <c r="F747" s="1"/>
      <c r="G747" s="1" t="str">
        <f>IFERROR(__xludf.DUMMYFUNCTION("""COMPUTED_VALUE"""),"3 mos")</f>
        <v>3 mos</v>
      </c>
      <c r="H747" s="1" t="str">
        <f>IFERROR(__xludf.DUMMYFUNCTION("""COMPUTED_VALUE"""),"comment")</f>
        <v>comment</v>
      </c>
      <c r="I747" s="2" t="str">
        <f>IFERROR(__xludf.DUMMYFUNCTION("""COMPUTED_VALUE"""),"https://www.facebook.com/rapplerdotcom/photos/a.317154781638645/5597116770309060/")</f>
        <v>https://www.facebook.com/rapplerdotcom/photos/a.317154781638645/5597116770309060/</v>
      </c>
      <c r="J747" s="1" t="str">
        <f>IFERROR(__xludf.DUMMYFUNCTION("""COMPUTED_VALUE"""),"2022-07-04T11:15:29.864Z")</f>
        <v>2022-07-04T11:15:29.864Z</v>
      </c>
      <c r="K747" s="1"/>
    </row>
    <row r="748">
      <c r="A748" s="2" t="str">
        <f>IFERROR(__xludf.DUMMYFUNCTION("""COMPUTED_VALUE"""),"https://www.facebook.com/profile.php?id=100008264059333")</f>
        <v>https://www.facebook.com/profile.php?id=100008264059333</v>
      </c>
      <c r="B748" s="1" t="str">
        <f>IFERROR(__xludf.DUMMYFUNCTION("""COMPUTED_VALUE"""),"Beneboy Gabales Bacol")</f>
        <v>Beneboy Gabales Bacol</v>
      </c>
      <c r="C748" s="1" t="str">
        <f>IFERROR(__xludf.DUMMYFUNCTION("""COMPUTED_VALUE"""),"Beneboy")</f>
        <v>Beneboy</v>
      </c>
      <c r="D748" s="1" t="str">
        <f>IFERROR(__xludf.DUMMYFUNCTION("""COMPUTED_VALUE"""),"Gabales Bacol")</f>
        <v>Gabales Bacol</v>
      </c>
      <c r="E748" s="1" t="str">
        <f>IFERROR(__xludf.DUMMYFUNCTION("""COMPUTED_VALUE"""),"Nasa tao na yan kung gisto ng tao. Demokrasya yan")</f>
        <v>Nasa tao na yan kung gisto ng tao. Demokrasya yan</v>
      </c>
      <c r="F748" s="1"/>
      <c r="G748" s="1" t="str">
        <f>IFERROR(__xludf.DUMMYFUNCTION("""COMPUTED_VALUE"""),"3 mos")</f>
        <v>3 mos</v>
      </c>
      <c r="H748" s="1" t="str">
        <f>IFERROR(__xludf.DUMMYFUNCTION("""COMPUTED_VALUE"""),"comment")</f>
        <v>comment</v>
      </c>
      <c r="I748" s="2" t="str">
        <f>IFERROR(__xludf.DUMMYFUNCTION("""COMPUTED_VALUE"""),"https://www.facebook.com/rapplerdotcom/photos/a.317154781638645/5597116770309060/")</f>
        <v>https://www.facebook.com/rapplerdotcom/photos/a.317154781638645/5597116770309060/</v>
      </c>
      <c r="J748" s="1" t="str">
        <f>IFERROR(__xludf.DUMMYFUNCTION("""COMPUTED_VALUE"""),"2022-07-04T11:15:29.864Z")</f>
        <v>2022-07-04T11:15:29.864Z</v>
      </c>
      <c r="K748" s="1"/>
    </row>
    <row r="749">
      <c r="A749" s="2" t="str">
        <f>IFERROR(__xludf.DUMMYFUNCTION("""COMPUTED_VALUE"""),"https://www.facebook.com/rahnlloyd.iliscupidez")</f>
        <v>https://www.facebook.com/rahnlloyd.iliscupidez</v>
      </c>
      <c r="B749" s="1" t="str">
        <f>IFERROR(__xludf.DUMMYFUNCTION("""COMPUTED_VALUE"""),"RL Lloydy Samson Iliscupidez")</f>
        <v>RL Lloydy Samson Iliscupidez</v>
      </c>
      <c r="C749" s="1" t="str">
        <f>IFERROR(__xludf.DUMMYFUNCTION("""COMPUTED_VALUE"""),"RL")</f>
        <v>RL</v>
      </c>
      <c r="D749" s="1" t="str">
        <f>IFERROR(__xludf.DUMMYFUNCTION("""COMPUTED_VALUE"""),"Lloydy Samson Iliscupidez")</f>
        <v>Lloydy Samson Iliscupidez</v>
      </c>
      <c r="E749" s="1" t="str">
        <f>IFERROR(__xludf.DUMMYFUNCTION("""COMPUTED_VALUE"""),"Buwagin na ang Political Dynasty sa Pilipinas Panahon na sila ay Panagutin at Parusahan at Ibang Tao nman may Pagkakataon na Tumakbo hindi LNG iisang Pamilya na Sabay na Tatakbo kya hindi umuulad ang Pilipinas dahil sa Political Dynasty sila ang Nagpapaks"&amp;"asa at Umaabuso bilang Pulitiko nkakadismaya")</f>
        <v>Buwagin na ang Political Dynasty sa Pilipinas Panahon na sila ay Panagutin at Parusahan at Ibang Tao nman may Pagkakataon na Tumakbo hindi LNG iisang Pamilya na Sabay na Tatakbo kya hindi umuulad ang Pilipinas dahil sa Political Dynasty sila ang Nagpapaksasa at Umaabuso bilang Pulitiko nkakadismaya</v>
      </c>
      <c r="F749" s="1">
        <f>IFERROR(__xludf.DUMMYFUNCTION("""COMPUTED_VALUE"""),8.0)</f>
        <v>8</v>
      </c>
      <c r="G749" s="1" t="str">
        <f>IFERROR(__xludf.DUMMYFUNCTION("""COMPUTED_VALUE"""),"3 mos")</f>
        <v>3 mos</v>
      </c>
      <c r="H749" s="1" t="str">
        <f>IFERROR(__xludf.DUMMYFUNCTION("""COMPUTED_VALUE"""),"comment")</f>
        <v>comment</v>
      </c>
      <c r="I749" s="2" t="str">
        <f>IFERROR(__xludf.DUMMYFUNCTION("""COMPUTED_VALUE"""),"https://www.facebook.com/rapplerdotcom/photos/a.317154781638645/5597116770309060/")</f>
        <v>https://www.facebook.com/rapplerdotcom/photos/a.317154781638645/5597116770309060/</v>
      </c>
      <c r="J749" s="1" t="str">
        <f>IFERROR(__xludf.DUMMYFUNCTION("""COMPUTED_VALUE"""),"2022-07-04T11:15:29.864Z")</f>
        <v>2022-07-04T11:15:29.864Z</v>
      </c>
      <c r="K749" s="1"/>
    </row>
    <row r="750">
      <c r="A750" s="2" t="str">
        <f>IFERROR(__xludf.DUMMYFUNCTION("""COMPUTED_VALUE"""),"https://www.facebook.com/vlademir.peraja")</f>
        <v>https://www.facebook.com/vlademir.peraja</v>
      </c>
      <c r="B750" s="1" t="str">
        <f>IFERROR(__xludf.DUMMYFUNCTION("""COMPUTED_VALUE"""),"Vlad Deem")</f>
        <v>Vlad Deem</v>
      </c>
      <c r="C750" s="1" t="str">
        <f>IFERROR(__xludf.DUMMYFUNCTION("""COMPUTED_VALUE"""),"Vlad")</f>
        <v>Vlad</v>
      </c>
      <c r="D750" s="1" t="str">
        <f>IFERROR(__xludf.DUMMYFUNCTION("""COMPUTED_VALUE"""),"Deem")</f>
        <v>Deem</v>
      </c>
      <c r="E750" s="1" t="str">
        <f>IFERROR(__xludf.DUMMYFUNCTION("""COMPUTED_VALUE"""),"wala ba silang alam na ibang career?")</f>
        <v>wala ba silang alam na ibang career?</v>
      </c>
      <c r="F750" s="1">
        <f>IFERROR(__xludf.DUMMYFUNCTION("""COMPUTED_VALUE"""),2.0)</f>
        <v>2</v>
      </c>
      <c r="G750" s="1" t="str">
        <f>IFERROR(__xludf.DUMMYFUNCTION("""COMPUTED_VALUE"""),"3 mos")</f>
        <v>3 mos</v>
      </c>
      <c r="H750" s="1" t="str">
        <f>IFERROR(__xludf.DUMMYFUNCTION("""COMPUTED_VALUE"""),"comment")</f>
        <v>comment</v>
      </c>
      <c r="I750" s="2" t="str">
        <f>IFERROR(__xludf.DUMMYFUNCTION("""COMPUTED_VALUE"""),"https://www.facebook.com/rapplerdotcom/photos/a.317154781638645/5597116770309060/")</f>
        <v>https://www.facebook.com/rapplerdotcom/photos/a.317154781638645/5597116770309060/</v>
      </c>
      <c r="J750" s="1" t="str">
        <f>IFERROR(__xludf.DUMMYFUNCTION("""COMPUTED_VALUE"""),"2022-07-04T11:15:29.864Z")</f>
        <v>2022-07-04T11:15:29.864Z</v>
      </c>
      <c r="K750" s="1"/>
    </row>
    <row r="751">
      <c r="A751" s="2" t="str">
        <f>IFERROR(__xludf.DUMMYFUNCTION("""COMPUTED_VALUE"""),"https://www.facebook.com/ferdinand.pacleb.37")</f>
        <v>https://www.facebook.com/ferdinand.pacleb.37</v>
      </c>
      <c r="B751" s="1" t="str">
        <f>IFERROR(__xludf.DUMMYFUNCTION("""COMPUTED_VALUE"""),"Ferdinand Pacleb")</f>
        <v>Ferdinand Pacleb</v>
      </c>
      <c r="C751" s="1" t="str">
        <f>IFERROR(__xludf.DUMMYFUNCTION("""COMPUTED_VALUE"""),"Ferdinand")</f>
        <v>Ferdinand</v>
      </c>
      <c r="D751" s="1" t="str">
        <f>IFERROR(__xludf.DUMMYFUNCTION("""COMPUTED_VALUE"""),"Pacleb")</f>
        <v>Pacleb</v>
      </c>
      <c r="E751" s="1" t="str">
        <f>IFERROR(__xludf.DUMMYFUNCTION("""COMPUTED_VALUE"""),"Ma")</f>
        <v>Ma</v>
      </c>
      <c r="F751" s="1"/>
      <c r="G751" s="1" t="str">
        <f>IFERROR(__xludf.DUMMYFUNCTION("""COMPUTED_VALUE"""),"3 mos")</f>
        <v>3 mos</v>
      </c>
      <c r="H751" s="1" t="str">
        <f>IFERROR(__xludf.DUMMYFUNCTION("""COMPUTED_VALUE"""),"comment")</f>
        <v>comment</v>
      </c>
      <c r="I751" s="2" t="str">
        <f>IFERROR(__xludf.DUMMYFUNCTION("""COMPUTED_VALUE"""),"https://www.facebook.com/rapplerdotcom/photos/a.317154781638645/5597116770309060/")</f>
        <v>https://www.facebook.com/rapplerdotcom/photos/a.317154781638645/5597116770309060/</v>
      </c>
      <c r="J751" s="1" t="str">
        <f>IFERROR(__xludf.DUMMYFUNCTION("""COMPUTED_VALUE"""),"2022-07-04T11:15:29.864Z")</f>
        <v>2022-07-04T11:15:29.864Z</v>
      </c>
      <c r="K751" s="1"/>
    </row>
    <row r="752">
      <c r="A752" s="2" t="str">
        <f>IFERROR(__xludf.DUMMYFUNCTION("""COMPUTED_VALUE"""),"https://www.facebook.com/kurugaligala")</f>
        <v>https://www.facebook.com/kurugaligala</v>
      </c>
      <c r="B752" s="1" t="str">
        <f>IFERROR(__xludf.DUMMYFUNCTION("""COMPUTED_VALUE"""),"Kurugali Gala")</f>
        <v>Kurugali Gala</v>
      </c>
      <c r="C752" s="1" t="str">
        <f>IFERROR(__xludf.DUMMYFUNCTION("""COMPUTED_VALUE"""),"Kurugali")</f>
        <v>Kurugali</v>
      </c>
      <c r="D752" s="1" t="str">
        <f>IFERROR(__xludf.DUMMYFUNCTION("""COMPUTED_VALUE"""),"Gala")</f>
        <v>Gala</v>
      </c>
      <c r="E752" s="1" t="str">
        <f>IFERROR(__xludf.DUMMYFUNCTION("""COMPUTED_VALUE"""),"Kaya mahirap ang Ilocos kasi mahilig sila sa Dynasty.")</f>
        <v>Kaya mahirap ang Ilocos kasi mahilig sila sa Dynasty.</v>
      </c>
      <c r="F752" s="1">
        <f>IFERROR(__xludf.DUMMYFUNCTION("""COMPUTED_VALUE"""),6.0)</f>
        <v>6</v>
      </c>
      <c r="G752" s="1" t="str">
        <f>IFERROR(__xludf.DUMMYFUNCTION("""COMPUTED_VALUE"""),"3 mos")</f>
        <v>3 mos</v>
      </c>
      <c r="H752" s="1" t="str">
        <f>IFERROR(__xludf.DUMMYFUNCTION("""COMPUTED_VALUE"""),"comment")</f>
        <v>comment</v>
      </c>
      <c r="I752" s="2" t="str">
        <f>IFERROR(__xludf.DUMMYFUNCTION("""COMPUTED_VALUE"""),"https://www.facebook.com/rapplerdotcom/photos/a.317154781638645/5597116770309060/")</f>
        <v>https://www.facebook.com/rapplerdotcom/photos/a.317154781638645/5597116770309060/</v>
      </c>
      <c r="J752" s="1" t="str">
        <f>IFERROR(__xludf.DUMMYFUNCTION("""COMPUTED_VALUE"""),"2022-07-04T11:15:29.864Z")</f>
        <v>2022-07-04T11:15:29.864Z</v>
      </c>
      <c r="K752" s="1"/>
    </row>
    <row r="753">
      <c r="A753" s="2" t="str">
        <f>IFERROR(__xludf.DUMMYFUNCTION("""COMPUTED_VALUE"""),"https://www.facebook.com/ralphanthony.edu")</f>
        <v>https://www.facebook.com/ralphanthony.edu</v>
      </c>
      <c r="B753" s="1" t="str">
        <f>IFERROR(__xludf.DUMMYFUNCTION("""COMPUTED_VALUE"""),"Harlp Due")</f>
        <v>Harlp Due</v>
      </c>
      <c r="C753" s="1" t="str">
        <f>IFERROR(__xludf.DUMMYFUNCTION("""COMPUTED_VALUE"""),"Harlp")</f>
        <v>Harlp</v>
      </c>
      <c r="D753" s="1" t="str">
        <f>IFERROR(__xludf.DUMMYFUNCTION("""COMPUTED_VALUE"""),"Due")</f>
        <v>Due</v>
      </c>
      <c r="E753" s="1" t="str">
        <f>IFERROR(__xludf.DUMMYFUNCTION("""COMPUTED_VALUE"""),"Kurugali Gala sino nagsabing mahirap ang Ilocos maghulos diri ka sa sinasabi mo. Wala kang pruweba. Sabagay bagay kayo ng nanay mong fenk ang budhi mahilig mamaintang at manisi 🤣🤣🤣")</f>
        <v>Kurugali Gala sino nagsabing mahirap ang Ilocos maghulos diri ka sa sinasabi mo. Wala kang pruweba. Sabagay bagay kayo ng nanay mong fenk ang budhi mahilig mamaintang at manisi 🤣🤣🤣</v>
      </c>
      <c r="F753" s="1"/>
      <c r="G753" s="1" t="str">
        <f>IFERROR(__xludf.DUMMYFUNCTION("""COMPUTED_VALUE"""),"3 mos")</f>
        <v>3 mos</v>
      </c>
      <c r="H753" s="1" t="str">
        <f>IFERROR(__xludf.DUMMYFUNCTION("""COMPUTED_VALUE"""),"reply")</f>
        <v>reply</v>
      </c>
      <c r="I753" s="2" t="str">
        <f>IFERROR(__xludf.DUMMYFUNCTION("""COMPUTED_VALUE"""),"https://www.facebook.com/rapplerdotcom/photos/a.317154781638645/5597116770309060/")</f>
        <v>https://www.facebook.com/rapplerdotcom/photos/a.317154781638645/5597116770309060/</v>
      </c>
      <c r="J753" s="1" t="str">
        <f>IFERROR(__xludf.DUMMYFUNCTION("""COMPUTED_VALUE"""),"2022-07-04T11:15:29.864Z")</f>
        <v>2022-07-04T11:15:29.864Z</v>
      </c>
      <c r="K753" s="1"/>
    </row>
    <row r="754">
      <c r="A754" s="2" t="str">
        <f>IFERROR(__xludf.DUMMYFUNCTION("""COMPUTED_VALUE"""),"https://www.facebook.com/kurugaligala")</f>
        <v>https://www.facebook.com/kurugaligala</v>
      </c>
      <c r="B754" s="1" t="str">
        <f>IFERROR(__xludf.DUMMYFUNCTION("""COMPUTED_VALUE"""),"Kurugali Gala")</f>
        <v>Kurugali Gala</v>
      </c>
      <c r="C754" s="1" t="str">
        <f>IFERROR(__xludf.DUMMYFUNCTION("""COMPUTED_VALUE"""),"Kurugali")</f>
        <v>Kurugali</v>
      </c>
      <c r="D754" s="1" t="str">
        <f>IFERROR(__xludf.DUMMYFUNCTION("""COMPUTED_VALUE"""),"Gala")</f>
        <v>Gala</v>
      </c>
      <c r="E754" s="1" t="str">
        <f>IFERROR(__xludf.DUMMYFUNCTION("""COMPUTED_VALUE"""),"Harlp Due check mo ano mga class ng municipalities nila sa Ilocos Norte, isaisahin mo. Of the 21 municipalities, ilan ang 1st class?")</f>
        <v>Harlp Due check mo ano mga class ng municipalities nila sa Ilocos Norte, isaisahin mo. Of the 21 municipalities, ilan ang 1st class?</v>
      </c>
      <c r="F754" s="1"/>
      <c r="G754" s="1" t="str">
        <f>IFERROR(__xludf.DUMMYFUNCTION("""COMPUTED_VALUE"""),"3 mos")</f>
        <v>3 mos</v>
      </c>
      <c r="H754" s="1" t="str">
        <f>IFERROR(__xludf.DUMMYFUNCTION("""COMPUTED_VALUE"""),"reply")</f>
        <v>reply</v>
      </c>
      <c r="I754" s="2" t="str">
        <f>IFERROR(__xludf.DUMMYFUNCTION("""COMPUTED_VALUE"""),"https://www.facebook.com/rapplerdotcom/photos/a.317154781638645/5597116770309060/")</f>
        <v>https://www.facebook.com/rapplerdotcom/photos/a.317154781638645/5597116770309060/</v>
      </c>
      <c r="J754" s="1" t="str">
        <f>IFERROR(__xludf.DUMMYFUNCTION("""COMPUTED_VALUE"""),"2022-07-04T11:15:29.864Z")</f>
        <v>2022-07-04T11:15:29.864Z</v>
      </c>
      <c r="K754" s="1"/>
    </row>
    <row r="755">
      <c r="A755" s="2" t="str">
        <f>IFERROR(__xludf.DUMMYFUNCTION("""COMPUTED_VALUE"""),"https://www.facebook.com/rlduldulao")</f>
        <v>https://www.facebook.com/rlduldulao</v>
      </c>
      <c r="B755" s="1" t="str">
        <f>IFERROR(__xludf.DUMMYFUNCTION("""COMPUTED_VALUE"""),"Randy Duldulao")</f>
        <v>Randy Duldulao</v>
      </c>
      <c r="C755" s="1" t="str">
        <f>IFERROR(__xludf.DUMMYFUNCTION("""COMPUTED_VALUE"""),"Randy")</f>
        <v>Randy</v>
      </c>
      <c r="D755" s="1" t="str">
        <f>IFERROR(__xludf.DUMMYFUNCTION("""COMPUTED_VALUE"""),"Duldulao")</f>
        <v>Duldulao</v>
      </c>
      <c r="E755" s="1" t="str">
        <f>IFERROR(__xludf.DUMMYFUNCTION("""COMPUTED_VALUE"""),"📍 GANITO ang pagpikit: 😔")</f>
        <v>📍 GANITO ang pagpikit: 😔</v>
      </c>
      <c r="F755" s="1">
        <f>IFERROR(__xludf.DUMMYFUNCTION("""COMPUTED_VALUE"""),1.0)</f>
        <v>1</v>
      </c>
      <c r="G755" s="1" t="str">
        <f>IFERROR(__xludf.DUMMYFUNCTION("""COMPUTED_VALUE"""),"3 mos")</f>
        <v>3 mos</v>
      </c>
      <c r="H755" s="1" t="str">
        <f>IFERROR(__xludf.DUMMYFUNCTION("""COMPUTED_VALUE"""),"comment")</f>
        <v>comment</v>
      </c>
      <c r="I755" s="2" t="str">
        <f>IFERROR(__xludf.DUMMYFUNCTION("""COMPUTED_VALUE"""),"https://www.facebook.com/rapplerdotcom/photos/a.317154781638645/5597116770309060/")</f>
        <v>https://www.facebook.com/rapplerdotcom/photos/a.317154781638645/5597116770309060/</v>
      </c>
      <c r="J755" s="1" t="str">
        <f>IFERROR(__xludf.DUMMYFUNCTION("""COMPUTED_VALUE"""),"2022-07-04T11:15:29.864Z")</f>
        <v>2022-07-04T11:15:29.864Z</v>
      </c>
      <c r="K755" s="1"/>
    </row>
    <row r="756">
      <c r="A756" s="2" t="str">
        <f>IFERROR(__xludf.DUMMYFUNCTION("""COMPUTED_VALUE"""),"https://www.facebook.com/cleofe.nicolas.7")</f>
        <v>https://www.facebook.com/cleofe.nicolas.7</v>
      </c>
      <c r="B756" s="1" t="str">
        <f>IFERROR(__xludf.DUMMYFUNCTION("""COMPUTED_VALUE"""),"Cleofe Nicolas")</f>
        <v>Cleofe Nicolas</v>
      </c>
      <c r="C756" s="1" t="str">
        <f>IFERROR(__xludf.DUMMYFUNCTION("""COMPUTED_VALUE"""),"Cleofe")</f>
        <v>Cleofe</v>
      </c>
      <c r="D756" s="1" t="str">
        <f>IFERROR(__xludf.DUMMYFUNCTION("""COMPUTED_VALUE"""),"Nicolas")</f>
        <v>Nicolas</v>
      </c>
      <c r="E756" s="1" t="str">
        <f>IFERROR(__xludf.DUMMYFUNCTION("""COMPUTED_VALUE"""),"Gusto niyo ng malinis na gobyerno? Need to pass the anti-dynasty law 🔜 🔜 🔜 🔜 🔜")</f>
        <v>Gusto niyo ng malinis na gobyerno? Need to pass the anti-dynasty law 🔜 🔜 🔜 🔜 🔜</v>
      </c>
      <c r="F756" s="1"/>
      <c r="G756" s="1" t="str">
        <f>IFERROR(__xludf.DUMMYFUNCTION("""COMPUTED_VALUE"""),"3 mos")</f>
        <v>3 mos</v>
      </c>
      <c r="H756" s="1" t="str">
        <f>IFERROR(__xludf.DUMMYFUNCTION("""COMPUTED_VALUE"""),"comment")</f>
        <v>comment</v>
      </c>
      <c r="I756" s="2" t="str">
        <f>IFERROR(__xludf.DUMMYFUNCTION("""COMPUTED_VALUE"""),"https://www.facebook.com/rapplerdotcom/photos/a.317154781638645/5597116770309060/")</f>
        <v>https://www.facebook.com/rapplerdotcom/photos/a.317154781638645/5597116770309060/</v>
      </c>
      <c r="J756" s="1" t="str">
        <f>IFERROR(__xludf.DUMMYFUNCTION("""COMPUTED_VALUE"""),"2022-07-04T11:15:29.864Z")</f>
        <v>2022-07-04T11:15:29.864Z</v>
      </c>
      <c r="K756" s="1"/>
    </row>
    <row r="757">
      <c r="A757" s="2" t="str">
        <f>IFERROR(__xludf.DUMMYFUNCTION("""COMPUTED_VALUE"""),"https://www.facebook.com/william.baang")</f>
        <v>https://www.facebook.com/william.baang</v>
      </c>
      <c r="B757" s="1" t="str">
        <f>IFERROR(__xludf.DUMMYFUNCTION("""COMPUTED_VALUE"""),"William Baang")</f>
        <v>William Baang</v>
      </c>
      <c r="C757" s="1" t="str">
        <f>IFERROR(__xludf.DUMMYFUNCTION("""COMPUTED_VALUE"""),"William")</f>
        <v>William</v>
      </c>
      <c r="D757" s="1" t="str">
        <f>IFERROR(__xludf.DUMMYFUNCTION("""COMPUTED_VALUE"""),"Baang")</f>
        <v>Baang</v>
      </c>
      <c r="E757" s="1" t="str">
        <f>IFERROR(__xludf.DUMMYFUNCTION("""COMPUTED_VALUE"""),"Magbayad muna ng buwis.")</f>
        <v>Magbayad muna ng buwis.</v>
      </c>
      <c r="F757" s="1"/>
      <c r="G757" s="1" t="str">
        <f>IFERROR(__xludf.DUMMYFUNCTION("""COMPUTED_VALUE"""),"3 mos")</f>
        <v>3 mos</v>
      </c>
      <c r="H757" s="1" t="str">
        <f>IFERROR(__xludf.DUMMYFUNCTION("""COMPUTED_VALUE"""),"comment")</f>
        <v>comment</v>
      </c>
      <c r="I757" s="2" t="str">
        <f>IFERROR(__xludf.DUMMYFUNCTION("""COMPUTED_VALUE"""),"https://www.facebook.com/rapplerdotcom/photos/a.317154781638645/5597116770309060/")</f>
        <v>https://www.facebook.com/rapplerdotcom/photos/a.317154781638645/5597116770309060/</v>
      </c>
      <c r="J757" s="1" t="str">
        <f>IFERROR(__xludf.DUMMYFUNCTION("""COMPUTED_VALUE"""),"2022-07-04T11:15:29.864Z")</f>
        <v>2022-07-04T11:15:29.864Z</v>
      </c>
      <c r="K757" s="1"/>
    </row>
    <row r="758">
      <c r="A758" s="2" t="str">
        <f>IFERROR(__xludf.DUMMYFUNCTION("""COMPUTED_VALUE"""),"https://www.facebook.com/lydia.demecais")</f>
        <v>https://www.facebook.com/lydia.demecais</v>
      </c>
      <c r="B758" s="1" t="str">
        <f>IFERROR(__xludf.DUMMYFUNCTION("""COMPUTED_VALUE"""),"Lydia Serrano Demecais")</f>
        <v>Lydia Serrano Demecais</v>
      </c>
      <c r="C758" s="1" t="str">
        <f>IFERROR(__xludf.DUMMYFUNCTION("""COMPUTED_VALUE"""),"Lydia")</f>
        <v>Lydia</v>
      </c>
      <c r="D758" s="1" t="str">
        <f>IFERROR(__xludf.DUMMYFUNCTION("""COMPUTED_VALUE"""),"Serrano Demecais")</f>
        <v>Serrano Demecais</v>
      </c>
      <c r="E758" s="1" t="str">
        <f>IFERROR(__xludf.DUMMYFUNCTION("""COMPUTED_VALUE"""),"Wala ng solid north!!!!")</f>
        <v>Wala ng solid north!!!!</v>
      </c>
      <c r="F758" s="1">
        <f>IFERROR(__xludf.DUMMYFUNCTION("""COMPUTED_VALUE"""),12.0)</f>
        <v>12</v>
      </c>
      <c r="G758" s="1" t="str">
        <f>IFERROR(__xludf.DUMMYFUNCTION("""COMPUTED_VALUE"""),"3 mos")</f>
        <v>3 mos</v>
      </c>
      <c r="H758" s="1" t="str">
        <f>IFERROR(__xludf.DUMMYFUNCTION("""COMPUTED_VALUE"""),"comment")</f>
        <v>comment</v>
      </c>
      <c r="I758" s="2" t="str">
        <f>IFERROR(__xludf.DUMMYFUNCTION("""COMPUTED_VALUE"""),"https://www.facebook.com/rapplerdotcom/photos/a.317154781638645/5597116770309060/")</f>
        <v>https://www.facebook.com/rapplerdotcom/photos/a.317154781638645/5597116770309060/</v>
      </c>
      <c r="J758" s="1" t="str">
        <f>IFERROR(__xludf.DUMMYFUNCTION("""COMPUTED_VALUE"""),"2022-07-04T11:15:29.864Z")</f>
        <v>2022-07-04T11:15:29.864Z</v>
      </c>
      <c r="K758" s="1"/>
    </row>
    <row r="759">
      <c r="A759" s="2" t="str">
        <f>IFERROR(__xludf.DUMMYFUNCTION("""COMPUTED_VALUE"""),"https://www.facebook.com/herbiebnitura")</f>
        <v>https://www.facebook.com/herbiebnitura</v>
      </c>
      <c r="B759" s="1" t="str">
        <f>IFERROR(__xludf.DUMMYFUNCTION("""COMPUTED_VALUE"""),"Herbert Nitura Bilog")</f>
        <v>Herbert Nitura Bilog</v>
      </c>
      <c r="C759" s="1" t="str">
        <f>IFERROR(__xludf.DUMMYFUNCTION("""COMPUTED_VALUE"""),"Herbert")</f>
        <v>Herbert</v>
      </c>
      <c r="D759" s="1" t="str">
        <f>IFERROR(__xludf.DUMMYFUNCTION("""COMPUTED_VALUE"""),"Nitura Bilog")</f>
        <v>Nitura Bilog</v>
      </c>
      <c r="E759" s="1" t="str">
        <f>IFERROR(__xludf.DUMMYFUNCTION("""COMPUTED_VALUE"""),"Lydia Serrano Demecais meron pa.. solid sNORT!!! 😂😂😂")</f>
        <v>Lydia Serrano Demecais meron pa.. solid sNORT!!! 😂😂😂</v>
      </c>
      <c r="F759" s="1">
        <f>IFERROR(__xludf.DUMMYFUNCTION("""COMPUTED_VALUE"""),1.0)</f>
        <v>1</v>
      </c>
      <c r="G759" s="1" t="str">
        <f>IFERROR(__xludf.DUMMYFUNCTION("""COMPUTED_VALUE"""),"3 mos")</f>
        <v>3 mos</v>
      </c>
      <c r="H759" s="1" t="str">
        <f>IFERROR(__xludf.DUMMYFUNCTION("""COMPUTED_VALUE"""),"reply")</f>
        <v>reply</v>
      </c>
      <c r="I759" s="2" t="str">
        <f>IFERROR(__xludf.DUMMYFUNCTION("""COMPUTED_VALUE"""),"https://www.facebook.com/rapplerdotcom/photos/a.317154781638645/5597116770309060/")</f>
        <v>https://www.facebook.com/rapplerdotcom/photos/a.317154781638645/5597116770309060/</v>
      </c>
      <c r="J759" s="1" t="str">
        <f>IFERROR(__xludf.DUMMYFUNCTION("""COMPUTED_VALUE"""),"2022-07-04T11:15:29.864Z")</f>
        <v>2022-07-04T11:15:29.864Z</v>
      </c>
      <c r="K759" s="1"/>
    </row>
    <row r="760">
      <c r="A760" s="2" t="str">
        <f>IFERROR(__xludf.DUMMYFUNCTION("""COMPUTED_VALUE"""),"https://www.facebook.com/WinterMemoir")</f>
        <v>https://www.facebook.com/WinterMemoir</v>
      </c>
      <c r="B760" s="1" t="str">
        <f>IFERROR(__xludf.DUMMYFUNCTION("""COMPUTED_VALUE"""),"Ber Na")</f>
        <v>Ber Na</v>
      </c>
      <c r="C760" s="1" t="str">
        <f>IFERROR(__xludf.DUMMYFUNCTION("""COMPUTED_VALUE"""),"Ber")</f>
        <v>Ber</v>
      </c>
      <c r="D760" s="1" t="str">
        <f>IFERROR(__xludf.DUMMYFUNCTION("""COMPUTED_VALUE"""),"Na")</f>
        <v>Na</v>
      </c>
      <c r="E760" s="1" t="str">
        <f>IFERROR(__xludf.DUMMYFUNCTION("""COMPUTED_VALUE"""),"Herbert Nitura Bilog HAHAHAH PERIOD!")</f>
        <v>Herbert Nitura Bilog HAHAHAH PERIOD!</v>
      </c>
      <c r="F760" s="1">
        <f>IFERROR(__xludf.DUMMYFUNCTION("""COMPUTED_VALUE"""),1.0)</f>
        <v>1</v>
      </c>
      <c r="G760" s="1" t="str">
        <f>IFERROR(__xludf.DUMMYFUNCTION("""COMPUTED_VALUE"""),"3 mos")</f>
        <v>3 mos</v>
      </c>
      <c r="H760" s="1" t="str">
        <f>IFERROR(__xludf.DUMMYFUNCTION("""COMPUTED_VALUE"""),"reply")</f>
        <v>reply</v>
      </c>
      <c r="I760" s="2" t="str">
        <f>IFERROR(__xludf.DUMMYFUNCTION("""COMPUTED_VALUE"""),"https://www.facebook.com/rapplerdotcom/photos/a.317154781638645/5597116770309060/")</f>
        <v>https://www.facebook.com/rapplerdotcom/photos/a.317154781638645/5597116770309060/</v>
      </c>
      <c r="J760" s="1" t="str">
        <f>IFERROR(__xludf.DUMMYFUNCTION("""COMPUTED_VALUE"""),"2022-07-04T11:15:29.864Z")</f>
        <v>2022-07-04T11:15:29.864Z</v>
      </c>
      <c r="K760" s="1"/>
    </row>
    <row r="761">
      <c r="A761" s="2" t="str">
        <f>IFERROR(__xludf.DUMMYFUNCTION("""COMPUTED_VALUE"""),"https://www.facebook.com/herbiebnitura")</f>
        <v>https://www.facebook.com/herbiebnitura</v>
      </c>
      <c r="B761" s="1" t="str">
        <f>IFERROR(__xludf.DUMMYFUNCTION("""COMPUTED_VALUE"""),"Herbert Nitura Bilog")</f>
        <v>Herbert Nitura Bilog</v>
      </c>
      <c r="C761" s="1" t="str">
        <f>IFERROR(__xludf.DUMMYFUNCTION("""COMPUTED_VALUE"""),"Herbert")</f>
        <v>Herbert</v>
      </c>
      <c r="D761" s="1" t="str">
        <f>IFERROR(__xludf.DUMMYFUNCTION("""COMPUTED_VALUE"""),"Nitura Bilog")</f>
        <v>Nitura Bilog</v>
      </c>
      <c r="E761" s="1" t="str">
        <f>IFERROR(__xludf.DUMMYFUNCTION("""COMPUTED_VALUE"""),"Ber Na from La Union ako at masasabi ko na mga kabarangay ko ay solid sNORT talaga..")</f>
        <v>Ber Na from La Union ako at masasabi ko na mga kabarangay ko ay solid sNORT talaga..</v>
      </c>
      <c r="F761" s="1">
        <f>IFERROR(__xludf.DUMMYFUNCTION("""COMPUTED_VALUE"""),1.0)</f>
        <v>1</v>
      </c>
      <c r="G761" s="1" t="str">
        <f>IFERROR(__xludf.DUMMYFUNCTION("""COMPUTED_VALUE"""),"3 mos")</f>
        <v>3 mos</v>
      </c>
      <c r="H761" s="1" t="str">
        <f>IFERROR(__xludf.DUMMYFUNCTION("""COMPUTED_VALUE"""),"reply")</f>
        <v>reply</v>
      </c>
      <c r="I761" s="2" t="str">
        <f>IFERROR(__xludf.DUMMYFUNCTION("""COMPUTED_VALUE"""),"https://www.facebook.com/rapplerdotcom/photos/a.317154781638645/5597116770309060/")</f>
        <v>https://www.facebook.com/rapplerdotcom/photos/a.317154781638645/5597116770309060/</v>
      </c>
      <c r="J761" s="1" t="str">
        <f>IFERROR(__xludf.DUMMYFUNCTION("""COMPUTED_VALUE"""),"2022-07-04T11:15:29.864Z")</f>
        <v>2022-07-04T11:15:29.864Z</v>
      </c>
      <c r="K761" s="1"/>
    </row>
    <row r="762">
      <c r="A762" s="2" t="str">
        <f>IFERROR(__xludf.DUMMYFUNCTION("""COMPUTED_VALUE"""),"https://www.facebook.com/lorna.felipe.1694")</f>
        <v>https://www.facebook.com/lorna.felipe.1694</v>
      </c>
      <c r="B762" s="1" t="str">
        <f>IFERROR(__xludf.DUMMYFUNCTION("""COMPUTED_VALUE"""),"Lorna Felipe")</f>
        <v>Lorna Felipe</v>
      </c>
      <c r="C762" s="1" t="str">
        <f>IFERROR(__xludf.DUMMYFUNCTION("""COMPUTED_VALUE"""),"Lorna")</f>
        <v>Lorna</v>
      </c>
      <c r="D762" s="1" t="str">
        <f>IFERROR(__xludf.DUMMYFUNCTION("""COMPUTED_VALUE"""),"Felipe")</f>
        <v>Felipe</v>
      </c>
      <c r="E762" s="1" t="str">
        <f>IFERROR(__xludf.DUMMYFUNCTION("""COMPUTED_VALUE"""),"ang tawag na sa kanila....SWAPANG....")</f>
        <v>ang tawag na sa kanila....SWAPANG....</v>
      </c>
      <c r="F762" s="1">
        <f>IFERROR(__xludf.DUMMYFUNCTION("""COMPUTED_VALUE"""),1.0)</f>
        <v>1</v>
      </c>
      <c r="G762" s="1" t="str">
        <f>IFERROR(__xludf.DUMMYFUNCTION("""COMPUTED_VALUE"""),"3 mos")</f>
        <v>3 mos</v>
      </c>
      <c r="H762" s="1" t="str">
        <f>IFERROR(__xludf.DUMMYFUNCTION("""COMPUTED_VALUE"""),"comment")</f>
        <v>comment</v>
      </c>
      <c r="I762" s="2" t="str">
        <f>IFERROR(__xludf.DUMMYFUNCTION("""COMPUTED_VALUE"""),"https://www.facebook.com/rapplerdotcom/photos/a.317154781638645/5597116770309060/")</f>
        <v>https://www.facebook.com/rapplerdotcom/photos/a.317154781638645/5597116770309060/</v>
      </c>
      <c r="J762" s="1" t="str">
        <f>IFERROR(__xludf.DUMMYFUNCTION("""COMPUTED_VALUE"""),"2022-07-04T11:15:29.864Z")</f>
        <v>2022-07-04T11:15:29.864Z</v>
      </c>
      <c r="K762" s="1"/>
    </row>
    <row r="763">
      <c r="A763" s="2" t="str">
        <f>IFERROR(__xludf.DUMMYFUNCTION("""COMPUTED_VALUE"""),"https://www.facebook.com/Louweegeee")</f>
        <v>https://www.facebook.com/Louweegeee</v>
      </c>
      <c r="B763" s="1" t="str">
        <f>IFERROR(__xludf.DUMMYFUNCTION("""COMPUTED_VALUE"""),"Luigi Manangu")</f>
        <v>Luigi Manangu</v>
      </c>
      <c r="C763" s="1" t="str">
        <f>IFERROR(__xludf.DUMMYFUNCTION("""COMPUTED_VALUE"""),"Luigi")</f>
        <v>Luigi</v>
      </c>
      <c r="D763" s="1" t="str">
        <f>IFERROR(__xludf.DUMMYFUNCTION("""COMPUTED_VALUE"""),"Manangu")</f>
        <v>Manangu</v>
      </c>
      <c r="E763" s="1" t="str">
        <f>IFERROR(__xludf.DUMMYFUNCTION("""COMPUTED_VALUE"""),"Di ba nagtataka man lang mga Ilocano bakit hindi na umangat probinsya nila?")</f>
        <v>Di ba nagtataka man lang mga Ilocano bakit hindi na umangat probinsya nila?</v>
      </c>
      <c r="F763" s="1"/>
      <c r="G763" s="1" t="str">
        <f>IFERROR(__xludf.DUMMYFUNCTION("""COMPUTED_VALUE"""),"3 mos")</f>
        <v>3 mos</v>
      </c>
      <c r="H763" s="1" t="str">
        <f>IFERROR(__xludf.DUMMYFUNCTION("""COMPUTED_VALUE"""),"comment")</f>
        <v>comment</v>
      </c>
      <c r="I763" s="2" t="str">
        <f>IFERROR(__xludf.DUMMYFUNCTION("""COMPUTED_VALUE"""),"https://www.facebook.com/rapplerdotcom/photos/a.317154781638645/5597116770309060/")</f>
        <v>https://www.facebook.com/rapplerdotcom/photos/a.317154781638645/5597116770309060/</v>
      </c>
      <c r="J763" s="1" t="str">
        <f>IFERROR(__xludf.DUMMYFUNCTION("""COMPUTED_VALUE"""),"2022-07-04T11:15:29.864Z")</f>
        <v>2022-07-04T11:15:29.864Z</v>
      </c>
      <c r="K763" s="1"/>
    </row>
    <row r="764">
      <c r="A764" s="2" t="str">
        <f>IFERROR(__xludf.DUMMYFUNCTION("""COMPUTED_VALUE"""),"https://www.facebook.com/billyvuelta")</f>
        <v>https://www.facebook.com/billyvuelta</v>
      </c>
      <c r="B764" s="1" t="str">
        <f>IFERROR(__xludf.DUMMYFUNCTION("""COMPUTED_VALUE"""),"Billy Jason Vuelta")</f>
        <v>Billy Jason Vuelta</v>
      </c>
      <c r="C764" s="1" t="str">
        <f>IFERROR(__xludf.DUMMYFUNCTION("""COMPUTED_VALUE"""),"Billy")</f>
        <v>Billy</v>
      </c>
      <c r="D764" s="1" t="str">
        <f>IFERROR(__xludf.DUMMYFUNCTION("""COMPUTED_VALUE"""),"Jason Vuelta")</f>
        <v>Jason Vuelta</v>
      </c>
      <c r="E764" s="1" t="str">
        <f>IFERROR(__xludf.DUMMYFUNCTION("""COMPUTED_VALUE"""),"Bakit kaya walang naglalakas-loob na lumaban sa dalawang ito?")</f>
        <v>Bakit kaya walang naglalakas-loob na lumaban sa dalawang ito?</v>
      </c>
      <c r="F764" s="1"/>
      <c r="G764" s="1" t="str">
        <f>IFERROR(__xludf.DUMMYFUNCTION("""COMPUTED_VALUE"""),"3 mos")</f>
        <v>3 mos</v>
      </c>
      <c r="H764" s="1" t="str">
        <f>IFERROR(__xludf.DUMMYFUNCTION("""COMPUTED_VALUE"""),"comment")</f>
        <v>comment</v>
      </c>
      <c r="I764" s="2" t="str">
        <f>IFERROR(__xludf.DUMMYFUNCTION("""COMPUTED_VALUE"""),"https://www.facebook.com/rapplerdotcom/photos/a.317154781638645/5597116770309060/")</f>
        <v>https://www.facebook.com/rapplerdotcom/photos/a.317154781638645/5597116770309060/</v>
      </c>
      <c r="J764" s="1" t="str">
        <f>IFERROR(__xludf.DUMMYFUNCTION("""COMPUTED_VALUE"""),"2022-07-04T11:15:29.864Z")</f>
        <v>2022-07-04T11:15:29.864Z</v>
      </c>
      <c r="K764" s="1"/>
    </row>
    <row r="765">
      <c r="A765" s="2" t="str">
        <f>IFERROR(__xludf.DUMMYFUNCTION("""COMPUTED_VALUE"""),"https://www.facebook.com/profile.php?id=100076549753166")</f>
        <v>https://www.facebook.com/profile.php?id=100076549753166</v>
      </c>
      <c r="B765" s="1" t="str">
        <f>IFERROR(__xludf.DUMMYFUNCTION("""COMPUTED_VALUE"""),"Mike Encina")</f>
        <v>Mike Encina</v>
      </c>
      <c r="C765" s="1" t="str">
        <f>IFERROR(__xludf.DUMMYFUNCTION("""COMPUTED_VALUE"""),"Mike")</f>
        <v>Mike</v>
      </c>
      <c r="D765" s="1" t="str">
        <f>IFERROR(__xludf.DUMMYFUNCTION("""COMPUTED_VALUE"""),"Encina")</f>
        <v>Encina</v>
      </c>
      <c r="E765" s="1" t="str">
        <f>IFERROR(__xludf.DUMMYFUNCTION("""COMPUTED_VALUE"""),"YES!! Iboto si “Charisse” Jake Zyrus na pala!!! 😂🤣😂")</f>
        <v>YES!! Iboto si “Charisse” Jake Zyrus na pala!!! 😂🤣😂</v>
      </c>
      <c r="F765" s="1">
        <f>IFERROR(__xludf.DUMMYFUNCTION("""COMPUTED_VALUE"""),2.0)</f>
        <v>2</v>
      </c>
      <c r="G765" s="1" t="str">
        <f>IFERROR(__xludf.DUMMYFUNCTION("""COMPUTED_VALUE"""),"3 mos")</f>
        <v>3 mos</v>
      </c>
      <c r="H765" s="1" t="str">
        <f>IFERROR(__xludf.DUMMYFUNCTION("""COMPUTED_VALUE"""),"comment")</f>
        <v>comment</v>
      </c>
      <c r="I765" s="2" t="str">
        <f>IFERROR(__xludf.DUMMYFUNCTION("""COMPUTED_VALUE"""),"https://www.facebook.com/rapplerdotcom/photos/a.317154781638645/5597116770309060/")</f>
        <v>https://www.facebook.com/rapplerdotcom/photos/a.317154781638645/5597116770309060/</v>
      </c>
      <c r="J765" s="1" t="str">
        <f>IFERROR(__xludf.DUMMYFUNCTION("""COMPUTED_VALUE"""),"2022-07-04T11:15:29.864Z")</f>
        <v>2022-07-04T11:15:29.864Z</v>
      </c>
      <c r="K765" s="1"/>
    </row>
    <row r="766">
      <c r="A766" s="2" t="str">
        <f>IFERROR(__xludf.DUMMYFUNCTION("""COMPUTED_VALUE"""),"https://www.facebook.com/profile.php?id=100069088022643")</f>
        <v>https://www.facebook.com/profile.php?id=100069088022643</v>
      </c>
      <c r="B766" s="1" t="str">
        <f>IFERROR(__xludf.DUMMYFUNCTION("""COMPUTED_VALUE"""),"Leon Monterola")</f>
        <v>Leon Monterola</v>
      </c>
      <c r="C766" s="1" t="str">
        <f>IFERROR(__xludf.DUMMYFUNCTION("""COMPUTED_VALUE"""),"Leon")</f>
        <v>Leon</v>
      </c>
      <c r="D766" s="1" t="str">
        <f>IFERROR(__xludf.DUMMYFUNCTION("""COMPUTED_VALUE"""),"Monterola")</f>
        <v>Monterola</v>
      </c>
      <c r="E766" s="1" t="str">
        <f>IFERROR(__xludf.DUMMYFUNCTION("""COMPUTED_VALUE"""),"The most popular candidate? I don't think so.")</f>
        <v>The most popular candidate? I don't think so.</v>
      </c>
      <c r="F766" s="1"/>
      <c r="G766" s="1" t="str">
        <f>IFERROR(__xludf.DUMMYFUNCTION("""COMPUTED_VALUE"""),"3 mos")</f>
        <v>3 mos</v>
      </c>
      <c r="H766" s="1" t="str">
        <f>IFERROR(__xludf.DUMMYFUNCTION("""COMPUTED_VALUE"""),"comment")</f>
        <v>comment</v>
      </c>
      <c r="I766" s="2" t="str">
        <f>IFERROR(__xludf.DUMMYFUNCTION("""COMPUTED_VALUE"""),"https://www.facebook.com/rapplerdotcom/photos/a.317154781638645/5597116770309060/")</f>
        <v>https://www.facebook.com/rapplerdotcom/photos/a.317154781638645/5597116770309060/</v>
      </c>
      <c r="J766" s="1" t="str">
        <f>IFERROR(__xludf.DUMMYFUNCTION("""COMPUTED_VALUE"""),"2022-07-04T11:15:29.864Z")</f>
        <v>2022-07-04T11:15:29.864Z</v>
      </c>
      <c r="K766" s="1"/>
    </row>
    <row r="767">
      <c r="A767" s="2" t="str">
        <f>IFERROR(__xludf.DUMMYFUNCTION("""COMPUTED_VALUE"""),"https://www.facebook.com/profile.php?id=100078611073162")</f>
        <v>https://www.facebook.com/profile.php?id=100078611073162</v>
      </c>
      <c r="B767" s="1" t="str">
        <f>IFERROR(__xludf.DUMMYFUNCTION("""COMPUTED_VALUE"""),"Roy Bannedagain")</f>
        <v>Roy Bannedagain</v>
      </c>
      <c r="C767" s="1" t="str">
        <f>IFERROR(__xludf.DUMMYFUNCTION("""COMPUTED_VALUE"""),"Roy")</f>
        <v>Roy</v>
      </c>
      <c r="D767" s="1" t="str">
        <f>IFERROR(__xludf.DUMMYFUNCTION("""COMPUTED_VALUE"""),"Bannedagain")</f>
        <v>Bannedagain</v>
      </c>
      <c r="E767" s="1" t="str">
        <f>IFERROR(__xludf.DUMMYFUNCTION("""COMPUTED_VALUE"""),"Ginawa na nila source of income yang politika. Masyadong uhaw sa otoridad.")</f>
        <v>Ginawa na nila source of income yang politika. Masyadong uhaw sa otoridad.</v>
      </c>
      <c r="F767" s="1">
        <f>IFERROR(__xludf.DUMMYFUNCTION("""COMPUTED_VALUE"""),2.0)</f>
        <v>2</v>
      </c>
      <c r="G767" s="1" t="str">
        <f>IFERROR(__xludf.DUMMYFUNCTION("""COMPUTED_VALUE"""),"3 mos")</f>
        <v>3 mos</v>
      </c>
      <c r="H767" s="1" t="str">
        <f>IFERROR(__xludf.DUMMYFUNCTION("""COMPUTED_VALUE"""),"comment")</f>
        <v>comment</v>
      </c>
      <c r="I767" s="2" t="str">
        <f>IFERROR(__xludf.DUMMYFUNCTION("""COMPUTED_VALUE"""),"https://www.facebook.com/rapplerdotcom/photos/a.317154781638645/5597116770309060/")</f>
        <v>https://www.facebook.com/rapplerdotcom/photos/a.317154781638645/5597116770309060/</v>
      </c>
      <c r="J767" s="1" t="str">
        <f>IFERROR(__xludf.DUMMYFUNCTION("""COMPUTED_VALUE"""),"2022-07-04T11:15:29.864Z")</f>
        <v>2022-07-04T11:15:29.864Z</v>
      </c>
      <c r="K767" s="1"/>
    </row>
    <row r="768">
      <c r="A768" s="2" t="str">
        <f>IFERROR(__xludf.DUMMYFUNCTION("""COMPUTED_VALUE"""),"https://www.facebook.com/arnel.dean.31")</f>
        <v>https://www.facebook.com/arnel.dean.31</v>
      </c>
      <c r="B768" s="1" t="str">
        <f>IFERROR(__xludf.DUMMYFUNCTION("""COMPUTED_VALUE"""),"Rivera Jodi")</f>
        <v>Rivera Jodi</v>
      </c>
      <c r="C768" s="1" t="str">
        <f>IFERROR(__xludf.DUMMYFUNCTION("""COMPUTED_VALUE"""),"Rivera")</f>
        <v>Rivera</v>
      </c>
      <c r="D768" s="1" t="str">
        <f>IFERROR(__xludf.DUMMYFUNCTION("""COMPUTED_VALUE"""),"Jodi")</f>
        <v>Jodi</v>
      </c>
      <c r="E768" s="1" t="str">
        <f>IFERROR(__xludf.DUMMYFUNCTION("""COMPUTED_VALUE"""),"HINDI TOTOO...")</f>
        <v>HINDI TOTOO...</v>
      </c>
      <c r="F768" s="1"/>
      <c r="G768" s="1" t="str">
        <f>IFERROR(__xludf.DUMMYFUNCTION("""COMPUTED_VALUE"""),"3 mos")</f>
        <v>3 mos</v>
      </c>
      <c r="H768" s="1" t="str">
        <f>IFERROR(__xludf.DUMMYFUNCTION("""COMPUTED_VALUE"""),"comment")</f>
        <v>comment</v>
      </c>
      <c r="I768" s="2" t="str">
        <f>IFERROR(__xludf.DUMMYFUNCTION("""COMPUTED_VALUE"""),"https://www.facebook.com/rapplerdotcom/photos/a.317154781638645/5597116770309060/")</f>
        <v>https://www.facebook.com/rapplerdotcom/photos/a.317154781638645/5597116770309060/</v>
      </c>
      <c r="J768" s="1" t="str">
        <f>IFERROR(__xludf.DUMMYFUNCTION("""COMPUTED_VALUE"""),"2022-07-04T11:15:29.864Z")</f>
        <v>2022-07-04T11:15:29.864Z</v>
      </c>
      <c r="K768" s="1"/>
    </row>
    <row r="769">
      <c r="A769" s="2" t="str">
        <f>IFERROR(__xludf.DUMMYFUNCTION("""COMPUTED_VALUE"""),"https://www.facebook.com/DodiPaul")</f>
        <v>https://www.facebook.com/DodiPaul</v>
      </c>
      <c r="B769" s="1" t="str">
        <f>IFERROR(__xludf.DUMMYFUNCTION("""COMPUTED_VALUE"""),"Doods Paul Lebron-Duterte Alcala")</f>
        <v>Doods Paul Lebron-Duterte Alcala</v>
      </c>
      <c r="C769" s="1" t="str">
        <f>IFERROR(__xludf.DUMMYFUNCTION("""COMPUTED_VALUE"""),"Doods")</f>
        <v>Doods</v>
      </c>
      <c r="D769" s="1" t="str">
        <f>IFERROR(__xludf.DUMMYFUNCTION("""COMPUTED_VALUE"""),"Paul Lebron-Duterte Alcala")</f>
        <v>Paul Lebron-Duterte Alcala</v>
      </c>
      <c r="E769" s="1" t="str">
        <f>IFERROR(__xludf.DUMMYFUNCTION("""COMPUTED_VALUE"""),"Inggit pikit 😆")</f>
        <v>Inggit pikit 😆</v>
      </c>
      <c r="F769" s="1"/>
      <c r="G769" s="1" t="str">
        <f>IFERROR(__xludf.DUMMYFUNCTION("""COMPUTED_VALUE"""),"3 mos")</f>
        <v>3 mos</v>
      </c>
      <c r="H769" s="1" t="str">
        <f>IFERROR(__xludf.DUMMYFUNCTION("""COMPUTED_VALUE"""),"comment")</f>
        <v>comment</v>
      </c>
      <c r="I769" s="2" t="str">
        <f>IFERROR(__xludf.DUMMYFUNCTION("""COMPUTED_VALUE"""),"https://www.facebook.com/rapplerdotcom/photos/a.317154781638645/5597116770309060/")</f>
        <v>https://www.facebook.com/rapplerdotcom/photos/a.317154781638645/5597116770309060/</v>
      </c>
      <c r="J769" s="1" t="str">
        <f>IFERROR(__xludf.DUMMYFUNCTION("""COMPUTED_VALUE"""),"2022-07-04T11:15:29.864Z")</f>
        <v>2022-07-04T11:15:29.864Z</v>
      </c>
      <c r="K769" s="1"/>
    </row>
    <row r="770">
      <c r="A770" s="2" t="str">
        <f>IFERROR(__xludf.DUMMYFUNCTION("""COMPUTED_VALUE"""),"https://www.facebook.com/paul.gatmaitan")</f>
        <v>https://www.facebook.com/paul.gatmaitan</v>
      </c>
      <c r="B770" s="1" t="str">
        <f>IFERROR(__xludf.DUMMYFUNCTION("""COMPUTED_VALUE"""),"Paul Gatmaitan")</f>
        <v>Paul Gatmaitan</v>
      </c>
      <c r="C770" s="1" t="str">
        <f>IFERROR(__xludf.DUMMYFUNCTION("""COMPUTED_VALUE"""),"Paul")</f>
        <v>Paul</v>
      </c>
      <c r="D770" s="1" t="str">
        <f>IFERROR(__xludf.DUMMYFUNCTION("""COMPUTED_VALUE"""),"Gatmaitan")</f>
        <v>Gatmaitan</v>
      </c>
      <c r="E770" s="1" t="str">
        <f>IFERROR(__xludf.DUMMYFUNCTION("""COMPUTED_VALUE"""),"Kaya ang Probinsya nila 4th class pa din yun mga Pulitiko lang ang First Class.")</f>
        <v>Kaya ang Probinsya nila 4th class pa din yun mga Pulitiko lang ang First Class.</v>
      </c>
      <c r="F770" s="1">
        <f>IFERROR(__xludf.DUMMYFUNCTION("""COMPUTED_VALUE"""),1.0)</f>
        <v>1</v>
      </c>
      <c r="G770" s="1" t="str">
        <f>IFERROR(__xludf.DUMMYFUNCTION("""COMPUTED_VALUE"""),"3 mos")</f>
        <v>3 mos</v>
      </c>
      <c r="H770" s="1" t="str">
        <f>IFERROR(__xludf.DUMMYFUNCTION("""COMPUTED_VALUE"""),"comment")</f>
        <v>comment</v>
      </c>
      <c r="I770" s="2" t="str">
        <f>IFERROR(__xludf.DUMMYFUNCTION("""COMPUTED_VALUE"""),"https://www.facebook.com/rapplerdotcom/photos/a.317154781638645/5597116770309060/")</f>
        <v>https://www.facebook.com/rapplerdotcom/photos/a.317154781638645/5597116770309060/</v>
      </c>
      <c r="J770" s="1" t="str">
        <f>IFERROR(__xludf.DUMMYFUNCTION("""COMPUTED_VALUE"""),"2022-07-04T11:15:29.864Z")</f>
        <v>2022-07-04T11:15:29.864Z</v>
      </c>
      <c r="K770" s="1"/>
    </row>
    <row r="771">
      <c r="A771" s="2" t="str">
        <f>IFERROR(__xludf.DUMMYFUNCTION("""COMPUTED_VALUE"""),"https://www.facebook.com/lito.sarmiento.129")</f>
        <v>https://www.facebook.com/lito.sarmiento.129</v>
      </c>
      <c r="B771" s="1" t="str">
        <f>IFERROR(__xludf.DUMMYFUNCTION("""COMPUTED_VALUE"""),"Magno Lito")</f>
        <v>Magno Lito</v>
      </c>
      <c r="C771" s="1" t="str">
        <f>IFERROR(__xludf.DUMMYFUNCTION("""COMPUTED_VALUE"""),"Magno")</f>
        <v>Magno</v>
      </c>
      <c r="D771" s="1" t="str">
        <f>IFERROR(__xludf.DUMMYFUNCTION("""COMPUTED_VALUE"""),"Lito")</f>
        <v>Lito</v>
      </c>
      <c r="E771" s="1" t="str">
        <f>IFERROR(__xludf.DUMMYFUNCTION("""COMPUTED_VALUE"""),"Mga lahi talaga ng dimonyo kapal ng mga mukha")</f>
        <v>Mga lahi talaga ng dimonyo kapal ng mga mukha</v>
      </c>
      <c r="F771" s="1"/>
      <c r="G771" s="1" t="str">
        <f>IFERROR(__xludf.DUMMYFUNCTION("""COMPUTED_VALUE"""),"3 mos")</f>
        <v>3 mos</v>
      </c>
      <c r="H771" s="1" t="str">
        <f>IFERROR(__xludf.DUMMYFUNCTION("""COMPUTED_VALUE"""),"comment")</f>
        <v>comment</v>
      </c>
      <c r="I771" s="2" t="str">
        <f>IFERROR(__xludf.DUMMYFUNCTION("""COMPUTED_VALUE"""),"https://www.facebook.com/rapplerdotcom/photos/a.317154781638645/5597116770309060/")</f>
        <v>https://www.facebook.com/rapplerdotcom/photos/a.317154781638645/5597116770309060/</v>
      </c>
      <c r="J771" s="1" t="str">
        <f>IFERROR(__xludf.DUMMYFUNCTION("""COMPUTED_VALUE"""),"2022-07-04T11:15:29.865Z")</f>
        <v>2022-07-04T11:15:29.865Z</v>
      </c>
      <c r="K771" s="1"/>
    </row>
    <row r="772">
      <c r="A772" s="2" t="str">
        <f>IFERROR(__xludf.DUMMYFUNCTION("""COMPUTED_VALUE"""),"https://www.facebook.com/Era1427")</f>
        <v>https://www.facebook.com/Era1427</v>
      </c>
      <c r="B772" s="1" t="str">
        <f>IFERROR(__xludf.DUMMYFUNCTION("""COMPUTED_VALUE"""),"John Kenneth Dejoras")</f>
        <v>John Kenneth Dejoras</v>
      </c>
      <c r="C772" s="1" t="str">
        <f>IFERROR(__xludf.DUMMYFUNCTION("""COMPUTED_VALUE"""),"John")</f>
        <v>John</v>
      </c>
      <c r="D772" s="1" t="str">
        <f>IFERROR(__xludf.DUMMYFUNCTION("""COMPUTED_VALUE"""),"Kenneth Dejoras")</f>
        <v>Kenneth Dejoras</v>
      </c>
      <c r="E772" s="1" t="str">
        <f>IFERROR(__xludf.DUMMYFUNCTION("""COMPUTED_VALUE"""),"Comeback is real")</f>
        <v>Comeback is real</v>
      </c>
      <c r="F772" s="1"/>
      <c r="G772" s="1" t="str">
        <f>IFERROR(__xludf.DUMMYFUNCTION("""COMPUTED_VALUE"""),"3 mos")</f>
        <v>3 mos</v>
      </c>
      <c r="H772" s="1" t="str">
        <f>IFERROR(__xludf.DUMMYFUNCTION("""COMPUTED_VALUE"""),"comment")</f>
        <v>comment</v>
      </c>
      <c r="I772" s="2" t="str">
        <f>IFERROR(__xludf.DUMMYFUNCTION("""COMPUTED_VALUE"""),"https://www.facebook.com/rapplerdotcom/photos/a.317154781638645/5597116770309060/")</f>
        <v>https://www.facebook.com/rapplerdotcom/photos/a.317154781638645/5597116770309060/</v>
      </c>
      <c r="J772" s="1" t="str">
        <f>IFERROR(__xludf.DUMMYFUNCTION("""COMPUTED_VALUE"""),"2022-07-04T11:15:29.865Z")</f>
        <v>2022-07-04T11:15:29.865Z</v>
      </c>
      <c r="K772" s="1"/>
    </row>
    <row r="773">
      <c r="A773" s="2" t="str">
        <f>IFERROR(__xludf.DUMMYFUNCTION("""COMPUTED_VALUE"""),"https://www.facebook.com/profile.php?id=100076601927157")</f>
        <v>https://www.facebook.com/profile.php?id=100076601927157</v>
      </c>
      <c r="B773" s="1" t="str">
        <f>IFERROR(__xludf.DUMMYFUNCTION("""COMPUTED_VALUE"""),"Federico Alde")</f>
        <v>Federico Alde</v>
      </c>
      <c r="C773" s="1" t="str">
        <f>IFERROR(__xludf.DUMMYFUNCTION("""COMPUTED_VALUE"""),"Federico")</f>
        <v>Federico</v>
      </c>
      <c r="D773" s="1" t="str">
        <f>IFERROR(__xludf.DUMMYFUNCTION("""COMPUTED_VALUE"""),"Alde")</f>
        <v>Alde</v>
      </c>
      <c r="E773" s="1" t="str">
        <f>IFERROR(__xludf.DUMMYFUNCTION("""COMPUTED_VALUE"""),"#NoToBbm #NoToMagnanakaw")</f>
        <v>#NoToBbm #NoToMagnanakaw</v>
      </c>
      <c r="F773" s="1"/>
      <c r="G773" s="1" t="str">
        <f>IFERROR(__xludf.DUMMYFUNCTION("""COMPUTED_VALUE"""),"3 mos")</f>
        <v>3 mos</v>
      </c>
      <c r="H773" s="1" t="str">
        <f>IFERROR(__xludf.DUMMYFUNCTION("""COMPUTED_VALUE"""),"comment")</f>
        <v>comment</v>
      </c>
      <c r="I773" s="2" t="str">
        <f>IFERROR(__xludf.DUMMYFUNCTION("""COMPUTED_VALUE"""),"https://www.facebook.com/rapplerdotcom/photos/a.317154781638645/5597116770309060/")</f>
        <v>https://www.facebook.com/rapplerdotcom/photos/a.317154781638645/5597116770309060/</v>
      </c>
      <c r="J773" s="1" t="str">
        <f>IFERROR(__xludf.DUMMYFUNCTION("""COMPUTED_VALUE"""),"2022-07-04T11:15:29.865Z")</f>
        <v>2022-07-04T11:15:29.865Z</v>
      </c>
      <c r="K773" s="1"/>
    </row>
    <row r="774">
      <c r="A774" s="2" t="str">
        <f>IFERROR(__xludf.DUMMYFUNCTION("""COMPUTED_VALUE"""),"https://www.facebook.com/josephine.ramos.376")</f>
        <v>https://www.facebook.com/josephine.ramos.376</v>
      </c>
      <c r="B774" s="1" t="str">
        <f>IFERROR(__xludf.DUMMYFUNCTION("""COMPUTED_VALUE"""),"Josephine Ramos")</f>
        <v>Josephine Ramos</v>
      </c>
      <c r="C774" s="1" t="str">
        <f>IFERROR(__xludf.DUMMYFUNCTION("""COMPUTED_VALUE"""),"Josephine")</f>
        <v>Josephine</v>
      </c>
      <c r="D774" s="1" t="str">
        <f>IFERROR(__xludf.DUMMYFUNCTION("""COMPUTED_VALUE"""),"Ramos")</f>
        <v>Ramos</v>
      </c>
      <c r="E774" s="1" t="str">
        <f>IFERROR(__xludf.DUMMYFUNCTION("""COMPUTED_VALUE"""),"#NeveragaintotheNarcoses.")</f>
        <v>#NeveragaintotheNarcoses.</v>
      </c>
      <c r="F774" s="1">
        <f>IFERROR(__xludf.DUMMYFUNCTION("""COMPUTED_VALUE"""),2.0)</f>
        <v>2</v>
      </c>
      <c r="G774" s="1" t="str">
        <f>IFERROR(__xludf.DUMMYFUNCTION("""COMPUTED_VALUE"""),"3 mos")</f>
        <v>3 mos</v>
      </c>
      <c r="H774" s="1" t="str">
        <f>IFERROR(__xludf.DUMMYFUNCTION("""COMPUTED_VALUE"""),"comment")</f>
        <v>comment</v>
      </c>
      <c r="I774" s="2" t="str">
        <f>IFERROR(__xludf.DUMMYFUNCTION("""COMPUTED_VALUE"""),"https://www.facebook.com/rapplerdotcom/photos/a.317154781638645/5597116770309060/")</f>
        <v>https://www.facebook.com/rapplerdotcom/photos/a.317154781638645/5597116770309060/</v>
      </c>
      <c r="J774" s="1" t="str">
        <f>IFERROR(__xludf.DUMMYFUNCTION("""COMPUTED_VALUE"""),"2022-07-04T11:15:29.865Z")</f>
        <v>2022-07-04T11:15:29.865Z</v>
      </c>
      <c r="K774" s="1"/>
    </row>
    <row r="775">
      <c r="A775" s="2" t="str">
        <f>IFERROR(__xludf.DUMMYFUNCTION("""COMPUTED_VALUE"""),"https://www.facebook.com/mcdolawcarla")</f>
        <v>https://www.facebook.com/mcdolawcarla</v>
      </c>
      <c r="B775" s="1" t="str">
        <f>IFERROR(__xludf.DUMMYFUNCTION("""COMPUTED_VALUE"""),"Carla Ofilada")</f>
        <v>Carla Ofilada</v>
      </c>
      <c r="C775" s="1" t="str">
        <f>IFERROR(__xludf.DUMMYFUNCTION("""COMPUTED_VALUE"""),"Carla")</f>
        <v>Carla</v>
      </c>
      <c r="D775" s="1" t="str">
        <f>IFERROR(__xludf.DUMMYFUNCTION("""COMPUTED_VALUE"""),"Ofilada")</f>
        <v>Ofilada</v>
      </c>
      <c r="E775" s="1" t="str">
        <f>IFERROR(__xludf.DUMMYFUNCTION("""COMPUTED_VALUE"""),"#LeniKiko2022  #WalangSolidNorth  #KikoAngManokKo")</f>
        <v>#LeniKiko2022  #WalangSolidNorth  #KikoAngManokKo</v>
      </c>
      <c r="F775" s="1"/>
      <c r="G775" s="1" t="str">
        <f>IFERROR(__xludf.DUMMYFUNCTION("""COMPUTED_VALUE"""),"3 mos")</f>
        <v>3 mos</v>
      </c>
      <c r="H775" s="1" t="str">
        <f>IFERROR(__xludf.DUMMYFUNCTION("""COMPUTED_VALUE"""),"comment")</f>
        <v>comment</v>
      </c>
      <c r="I775" s="2" t="str">
        <f>IFERROR(__xludf.DUMMYFUNCTION("""COMPUTED_VALUE"""),"https://www.facebook.com/rapplerdotcom/photos/a.317154781638645/5597116770309060/")</f>
        <v>https://www.facebook.com/rapplerdotcom/photos/a.317154781638645/5597116770309060/</v>
      </c>
      <c r="J775" s="1" t="str">
        <f>IFERROR(__xludf.DUMMYFUNCTION("""COMPUTED_VALUE"""),"2022-07-04T11:15:29.865Z")</f>
        <v>2022-07-04T11:15:29.865Z</v>
      </c>
      <c r="K775" s="1"/>
    </row>
    <row r="776">
      <c r="A776" s="2" t="str">
        <f>IFERROR(__xludf.DUMMYFUNCTION("""COMPUTED_VALUE"""),"https://www.facebook.com/jeanpaul.jazmin")</f>
        <v>https://www.facebook.com/jeanpaul.jazmin</v>
      </c>
      <c r="B776" s="1" t="str">
        <f>IFERROR(__xludf.DUMMYFUNCTION("""COMPUTED_VALUE"""),"Jaypee Jazmin")</f>
        <v>Jaypee Jazmin</v>
      </c>
      <c r="C776" s="1" t="str">
        <f>IFERROR(__xludf.DUMMYFUNCTION("""COMPUTED_VALUE"""),"Jaypee")</f>
        <v>Jaypee</v>
      </c>
      <c r="D776" s="1" t="str">
        <f>IFERROR(__xludf.DUMMYFUNCTION("""COMPUTED_VALUE"""),"Jazmin")</f>
        <v>Jazmin</v>
      </c>
      <c r="E776" s="1" t="str">
        <f>IFERROR(__xludf.DUMMYFUNCTION("""COMPUTED_VALUE"""),"#neveragain")</f>
        <v>#neveragain</v>
      </c>
      <c r="F776" s="1"/>
      <c r="G776" s="1" t="str">
        <f>IFERROR(__xludf.DUMMYFUNCTION("""COMPUTED_VALUE"""),"3 mos")</f>
        <v>3 mos</v>
      </c>
      <c r="H776" s="1" t="str">
        <f>IFERROR(__xludf.DUMMYFUNCTION("""COMPUTED_VALUE"""),"comment")</f>
        <v>comment</v>
      </c>
      <c r="I776" s="2" t="str">
        <f>IFERROR(__xludf.DUMMYFUNCTION("""COMPUTED_VALUE"""),"https://www.facebook.com/rapplerdotcom/photos/a.317154781638645/5597116770309060/")</f>
        <v>https://www.facebook.com/rapplerdotcom/photos/a.317154781638645/5597116770309060/</v>
      </c>
      <c r="J776" s="1" t="str">
        <f>IFERROR(__xludf.DUMMYFUNCTION("""COMPUTED_VALUE"""),"2022-07-04T11:15:29.865Z")</f>
        <v>2022-07-04T11:15:29.865Z</v>
      </c>
      <c r="K776" s="1"/>
    </row>
    <row r="777">
      <c r="A777" s="2" t="str">
        <f>IFERROR(__xludf.DUMMYFUNCTION("""COMPUTED_VALUE"""),"https://www.facebook.com/jf.ortega.9")</f>
        <v>https://www.facebook.com/jf.ortega.9</v>
      </c>
      <c r="B777" s="1" t="str">
        <f>IFERROR(__xludf.DUMMYFUNCTION("""COMPUTED_VALUE"""),"Andy Ortega")</f>
        <v>Andy Ortega</v>
      </c>
      <c r="C777" s="1" t="str">
        <f>IFERROR(__xludf.DUMMYFUNCTION("""COMPUTED_VALUE"""),"Andy")</f>
        <v>Andy</v>
      </c>
      <c r="D777" s="1" t="str">
        <f>IFERROR(__xludf.DUMMYFUNCTION("""COMPUTED_VALUE"""),"Ortega")</f>
        <v>Ortega</v>
      </c>
      <c r="E777" s="1" t="str">
        <f>IFERROR(__xludf.DUMMYFUNCTION("""COMPUTED_VALUE"""),"#NeverAgainToMarcoses")</f>
        <v>#NeverAgainToMarcoses</v>
      </c>
      <c r="F777" s="1">
        <f>IFERROR(__xludf.DUMMYFUNCTION("""COMPUTED_VALUE"""),7.0)</f>
        <v>7</v>
      </c>
      <c r="G777" s="1" t="str">
        <f>IFERROR(__xludf.DUMMYFUNCTION("""COMPUTED_VALUE"""),"3 mos")</f>
        <v>3 mos</v>
      </c>
      <c r="H777" s="1" t="str">
        <f>IFERROR(__xludf.DUMMYFUNCTION("""COMPUTED_VALUE"""),"comment")</f>
        <v>comment</v>
      </c>
      <c r="I777" s="2" t="str">
        <f>IFERROR(__xludf.DUMMYFUNCTION("""COMPUTED_VALUE"""),"https://www.facebook.com/rapplerdotcom/photos/a.317154781638645/5597116770309060/")</f>
        <v>https://www.facebook.com/rapplerdotcom/photos/a.317154781638645/5597116770309060/</v>
      </c>
      <c r="J777" s="1" t="str">
        <f>IFERROR(__xludf.DUMMYFUNCTION("""COMPUTED_VALUE"""),"2022-07-04T11:15:29.865Z")</f>
        <v>2022-07-04T11:15:29.865Z</v>
      </c>
      <c r="K777" s="1"/>
    </row>
    <row r="778">
      <c r="A778" s="2" t="str">
        <f>IFERROR(__xludf.DUMMYFUNCTION("""COMPUTED_VALUE"""),"https://www.facebook.com/nato.basilio")</f>
        <v>https://www.facebook.com/nato.basilio</v>
      </c>
      <c r="B778" s="1" t="str">
        <f>IFERROR(__xludf.DUMMYFUNCTION("""COMPUTED_VALUE"""),"Nato Basilio")</f>
        <v>Nato Basilio</v>
      </c>
      <c r="C778" s="1" t="str">
        <f>IFERROR(__xludf.DUMMYFUNCTION("""COMPUTED_VALUE"""),"Nato")</f>
        <v>Nato</v>
      </c>
      <c r="D778" s="1" t="str">
        <f>IFERROR(__xludf.DUMMYFUNCTION("""COMPUTED_VALUE"""),"Basilio")</f>
        <v>Basilio</v>
      </c>
      <c r="E778" s="1" t="str">
        <f>IFERROR(__xludf.DUMMYFUNCTION("""COMPUTED_VALUE"""),"Andy Ortega and dutaes")</f>
        <v>Andy Ortega and dutaes</v>
      </c>
      <c r="F778" s="1"/>
      <c r="G778" s="1" t="str">
        <f>IFERROR(__xludf.DUMMYFUNCTION("""COMPUTED_VALUE"""),"3 mos")</f>
        <v>3 mos</v>
      </c>
      <c r="H778" s="1" t="str">
        <f>IFERROR(__xludf.DUMMYFUNCTION("""COMPUTED_VALUE"""),"reply")</f>
        <v>reply</v>
      </c>
      <c r="I778" s="2" t="str">
        <f>IFERROR(__xludf.DUMMYFUNCTION("""COMPUTED_VALUE"""),"https://www.facebook.com/rapplerdotcom/photos/a.317154781638645/5597116770309060/")</f>
        <v>https://www.facebook.com/rapplerdotcom/photos/a.317154781638645/5597116770309060/</v>
      </c>
      <c r="J778" s="1" t="str">
        <f>IFERROR(__xludf.DUMMYFUNCTION("""COMPUTED_VALUE"""),"2022-07-04T11:15:29.865Z")</f>
        <v>2022-07-04T11:15:29.865Z</v>
      </c>
      <c r="K778" s="1"/>
    </row>
    <row r="779">
      <c r="A779" s="2" t="str">
        <f>IFERROR(__xludf.DUMMYFUNCTION("""COMPUTED_VALUE"""),"https://www.facebook.com/chelle.seyer")</f>
        <v>https://www.facebook.com/chelle.seyer</v>
      </c>
      <c r="B779" s="1" t="str">
        <f>IFERROR(__xludf.DUMMYFUNCTION("""COMPUTED_VALUE"""),"Michelle Halayahay Reyes")</f>
        <v>Michelle Halayahay Reyes</v>
      </c>
      <c r="C779" s="1" t="str">
        <f>IFERROR(__xludf.DUMMYFUNCTION("""COMPUTED_VALUE"""),"Michelle")</f>
        <v>Michelle</v>
      </c>
      <c r="D779" s="1" t="str">
        <f>IFERROR(__xludf.DUMMYFUNCTION("""COMPUTED_VALUE"""),"Halayahay Reyes")</f>
        <v>Halayahay Reyes</v>
      </c>
      <c r="E779" s="1" t="str">
        <f>IFERROR(__xludf.DUMMYFUNCTION("""COMPUTED_VALUE"""),"#BBM-SARA 2022! #UNITEAM! #✌️✌️✌️✌️✌️👊👊👊👊👊 #❤❤❤❤❤💚💚💚💚💚")</f>
        <v>#BBM-SARA 2022! #UNITEAM! #✌️✌️✌️✌️✌️👊👊👊👊👊 #❤❤❤❤❤💚💚💚💚💚</v>
      </c>
      <c r="F779" s="1"/>
      <c r="G779" s="1" t="str">
        <f>IFERROR(__xludf.DUMMYFUNCTION("""COMPUTED_VALUE"""),"3 mos")</f>
        <v>3 mos</v>
      </c>
      <c r="H779" s="1" t="str">
        <f>IFERROR(__xludf.DUMMYFUNCTION("""COMPUTED_VALUE"""),"reply")</f>
        <v>reply</v>
      </c>
      <c r="I779" s="2" t="str">
        <f>IFERROR(__xludf.DUMMYFUNCTION("""COMPUTED_VALUE"""),"https://www.facebook.com/rapplerdotcom/photos/a.317154781638645/5597116770309060/")</f>
        <v>https://www.facebook.com/rapplerdotcom/photos/a.317154781638645/5597116770309060/</v>
      </c>
      <c r="J779" s="1" t="str">
        <f>IFERROR(__xludf.DUMMYFUNCTION("""COMPUTED_VALUE"""),"2022-07-04T11:15:29.865Z")</f>
        <v>2022-07-04T11:15:29.865Z</v>
      </c>
      <c r="K779" s="1"/>
    </row>
    <row r="780">
      <c r="A780" s="2" t="str">
        <f>IFERROR(__xludf.DUMMYFUNCTION("""COMPUTED_VALUE"""),"https://www.facebook.com/benny.mendoza.39948")</f>
        <v>https://www.facebook.com/benny.mendoza.39948</v>
      </c>
      <c r="B780" s="1" t="str">
        <f>IFERROR(__xludf.DUMMYFUNCTION("""COMPUTED_VALUE"""),"Benny Mendoza")</f>
        <v>Benny Mendoza</v>
      </c>
      <c r="C780" s="1" t="str">
        <f>IFERROR(__xludf.DUMMYFUNCTION("""COMPUTED_VALUE"""),"Benny")</f>
        <v>Benny</v>
      </c>
      <c r="D780" s="1" t="str">
        <f>IFERROR(__xludf.DUMMYFUNCTION("""COMPUTED_VALUE"""),"Mendoza")</f>
        <v>Mendoza</v>
      </c>
      <c r="E780" s="1" t="str">
        <f>IFERROR(__xludf.DUMMYFUNCTION("""COMPUTED_VALUE"""),"Andy Ortega never again to dilapinks")</f>
        <v>Andy Ortega never again to dilapinks</v>
      </c>
      <c r="F780" s="1"/>
      <c r="G780" s="1" t="str">
        <f>IFERROR(__xludf.DUMMYFUNCTION("""COMPUTED_VALUE"""),"3 mos")</f>
        <v>3 mos</v>
      </c>
      <c r="H780" s="1" t="str">
        <f>IFERROR(__xludf.DUMMYFUNCTION("""COMPUTED_VALUE"""),"reply")</f>
        <v>reply</v>
      </c>
      <c r="I780" s="2" t="str">
        <f>IFERROR(__xludf.DUMMYFUNCTION("""COMPUTED_VALUE"""),"https://www.facebook.com/rapplerdotcom/photos/a.317154781638645/5597116770309060/")</f>
        <v>https://www.facebook.com/rapplerdotcom/photos/a.317154781638645/5597116770309060/</v>
      </c>
      <c r="J780" s="1" t="str">
        <f>IFERROR(__xludf.DUMMYFUNCTION("""COMPUTED_VALUE"""),"2022-07-04T11:15:29.865Z")</f>
        <v>2022-07-04T11:15:29.865Z</v>
      </c>
      <c r="K780" s="1"/>
    </row>
    <row r="781">
      <c r="A781" s="2" t="str">
        <f>IFERROR(__xludf.DUMMYFUNCTION("""COMPUTED_VALUE"""),"https://www.facebook.com/Aprilche888")</f>
        <v>https://www.facebook.com/Aprilche888</v>
      </c>
      <c r="B781" s="1" t="str">
        <f>IFERROR(__xludf.DUMMYFUNCTION("""COMPUTED_VALUE"""),"Che Rry")</f>
        <v>Che Rry</v>
      </c>
      <c r="C781" s="1" t="str">
        <f>IFERROR(__xludf.DUMMYFUNCTION("""COMPUTED_VALUE"""),"Che")</f>
        <v>Che</v>
      </c>
      <c r="D781" s="1" t="str">
        <f>IFERROR(__xludf.DUMMYFUNCTION("""COMPUTED_VALUE"""),"Rry")</f>
        <v>Rry</v>
      </c>
      <c r="E781" s="1" t="str">
        <f>IFERROR(__xludf.DUMMYFUNCTION("""COMPUTED_VALUE"""),"Che Rry")</f>
        <v>Che Rry</v>
      </c>
      <c r="F781" s="1"/>
      <c r="G781" s="1" t="str">
        <f>IFERROR(__xludf.DUMMYFUNCTION("""COMPUTED_VALUE"""),"3 mos")</f>
        <v>3 mos</v>
      </c>
      <c r="H781" s="1" t="str">
        <f>IFERROR(__xludf.DUMMYFUNCTION("""COMPUTED_VALUE"""),"comment")</f>
        <v>comment</v>
      </c>
      <c r="I781" s="2" t="str">
        <f>IFERROR(__xludf.DUMMYFUNCTION("""COMPUTED_VALUE"""),"https://www.facebook.com/rapplerdotcom/photos/a.317154781638645/5597116770309060/")</f>
        <v>https://www.facebook.com/rapplerdotcom/photos/a.317154781638645/5597116770309060/</v>
      </c>
      <c r="J781" s="1" t="str">
        <f>IFERROR(__xludf.DUMMYFUNCTION("""COMPUTED_VALUE"""),"2022-07-04T11:15:29.865Z")</f>
        <v>2022-07-04T11:15:29.865Z</v>
      </c>
      <c r="K781" s="1"/>
    </row>
    <row r="782">
      <c r="A782" s="2" t="str">
        <f>IFERROR(__xludf.DUMMYFUNCTION("""COMPUTED_VALUE"""),"https://www.facebook.com/profile.php?id=100040658171991")</f>
        <v>https://www.facebook.com/profile.php?id=100040658171991</v>
      </c>
      <c r="B782" s="1" t="str">
        <f>IFERROR(__xludf.DUMMYFUNCTION("""COMPUTED_VALUE"""),"Ben Jammin")</f>
        <v>Ben Jammin</v>
      </c>
      <c r="C782" s="1" t="str">
        <f>IFERROR(__xludf.DUMMYFUNCTION("""COMPUTED_VALUE"""),"Ben")</f>
        <v>Ben</v>
      </c>
      <c r="D782" s="1" t="str">
        <f>IFERROR(__xludf.DUMMYFUNCTION("""COMPUTED_VALUE"""),"Jammin")</f>
        <v>Jammin</v>
      </c>
      <c r="E782" s="1" t="str">
        <f>IFERROR(__xludf.DUMMYFUNCTION("""COMPUTED_VALUE"""),"Ben Jammin")</f>
        <v>Ben Jammin</v>
      </c>
      <c r="F782" s="1"/>
      <c r="G782" s="1" t="str">
        <f>IFERROR(__xludf.DUMMYFUNCTION("""COMPUTED_VALUE"""),"3 mos")</f>
        <v>3 mos</v>
      </c>
      <c r="H782" s="1" t="str">
        <f>IFERROR(__xludf.DUMMYFUNCTION("""COMPUTED_VALUE"""),"comment")</f>
        <v>comment</v>
      </c>
      <c r="I782" s="2" t="str">
        <f>IFERROR(__xludf.DUMMYFUNCTION("""COMPUTED_VALUE"""),"https://www.facebook.com/rapplerdotcom/photos/a.317154781638645/5597116770309060/")</f>
        <v>https://www.facebook.com/rapplerdotcom/photos/a.317154781638645/5597116770309060/</v>
      </c>
      <c r="J782" s="1" t="str">
        <f>IFERROR(__xludf.DUMMYFUNCTION("""COMPUTED_VALUE"""),"2022-07-04T11:15:29.865Z")</f>
        <v>2022-07-04T11:15:29.865Z</v>
      </c>
      <c r="K782" s="1"/>
    </row>
    <row r="783">
      <c r="A783" s="2" t="str">
        <f>IFERROR(__xludf.DUMMYFUNCTION("""COMPUTED_VALUE"""),"https://www.facebook.com/manchelle01")</f>
        <v>https://www.facebook.com/manchelle01</v>
      </c>
      <c r="B783" s="1" t="str">
        <f>IFERROR(__xludf.DUMMYFUNCTION("""COMPUTED_VALUE"""),"Bernardo Emmanuel")</f>
        <v>Bernardo Emmanuel</v>
      </c>
      <c r="C783" s="1" t="str">
        <f>IFERROR(__xludf.DUMMYFUNCTION("""COMPUTED_VALUE"""),"Bernardo")</f>
        <v>Bernardo</v>
      </c>
      <c r="D783" s="1" t="str">
        <f>IFERROR(__xludf.DUMMYFUNCTION("""COMPUTED_VALUE"""),"Emmanuel")</f>
        <v>Emmanuel</v>
      </c>
      <c r="E783" s="1" t="str">
        <f>IFERROR(__xludf.DUMMYFUNCTION("""COMPUTED_VALUE"""),"Bernardo Emmanuel")</f>
        <v>Bernardo Emmanuel</v>
      </c>
      <c r="F783" s="1"/>
      <c r="G783" s="1" t="str">
        <f>IFERROR(__xludf.DUMMYFUNCTION("""COMPUTED_VALUE"""),"3 mos")</f>
        <v>3 mos</v>
      </c>
      <c r="H783" s="1" t="str">
        <f>IFERROR(__xludf.DUMMYFUNCTION("""COMPUTED_VALUE"""),"comment")</f>
        <v>comment</v>
      </c>
      <c r="I783" s="2" t="str">
        <f>IFERROR(__xludf.DUMMYFUNCTION("""COMPUTED_VALUE"""),"https://www.facebook.com/rapplerdotcom/photos/a.317154781638645/5597116770309060/")</f>
        <v>https://www.facebook.com/rapplerdotcom/photos/a.317154781638645/5597116770309060/</v>
      </c>
      <c r="J783" s="1" t="str">
        <f>IFERROR(__xludf.DUMMYFUNCTION("""COMPUTED_VALUE"""),"2022-07-04T11:15:29.865Z")</f>
        <v>2022-07-04T11:15:29.865Z</v>
      </c>
      <c r="K783" s="1"/>
    </row>
    <row r="784">
      <c r="A784" s="2" t="str">
        <f>IFERROR(__xludf.DUMMYFUNCTION("""COMPUTED_VALUE"""),"https://www.facebook.com/cruz.marc.9")</f>
        <v>https://www.facebook.com/cruz.marc.9</v>
      </c>
      <c r="B784" s="1" t="str">
        <f>IFERROR(__xludf.DUMMYFUNCTION("""COMPUTED_VALUE"""),"Cram Zurc")</f>
        <v>Cram Zurc</v>
      </c>
      <c r="C784" s="1" t="str">
        <f>IFERROR(__xludf.DUMMYFUNCTION("""COMPUTED_VALUE"""),"Cram")</f>
        <v>Cram</v>
      </c>
      <c r="D784" s="1" t="str">
        <f>IFERROR(__xludf.DUMMYFUNCTION("""COMPUTED_VALUE"""),"Zurc")</f>
        <v>Zurc</v>
      </c>
      <c r="E784" s="1" t="str">
        <f>IFERROR(__xludf.DUMMYFUNCTION("""COMPUTED_VALUE"""),"Cram Zurc")</f>
        <v>Cram Zurc</v>
      </c>
      <c r="F784" s="1"/>
      <c r="G784" s="1" t="str">
        <f>IFERROR(__xludf.DUMMYFUNCTION("""COMPUTED_VALUE"""),"3 mos")</f>
        <v>3 mos</v>
      </c>
      <c r="H784" s="1" t="str">
        <f>IFERROR(__xludf.DUMMYFUNCTION("""COMPUTED_VALUE"""),"comment")</f>
        <v>comment</v>
      </c>
      <c r="I784" s="2" t="str">
        <f>IFERROR(__xludf.DUMMYFUNCTION("""COMPUTED_VALUE"""),"https://www.facebook.com/rapplerdotcom/photos/a.317154781638645/5597116770309060/")</f>
        <v>https://www.facebook.com/rapplerdotcom/photos/a.317154781638645/5597116770309060/</v>
      </c>
      <c r="J784" s="1" t="str">
        <f>IFERROR(__xludf.DUMMYFUNCTION("""COMPUTED_VALUE"""),"2022-07-04T11:15:29.865Z")</f>
        <v>2022-07-04T11:15:29.865Z</v>
      </c>
      <c r="K784" s="1"/>
    </row>
    <row r="785">
      <c r="A785" s="2" t="str">
        <f>IFERROR(__xludf.DUMMYFUNCTION("""COMPUTED_VALUE"""),"https://www.facebook.com/king.siquete")</f>
        <v>https://www.facebook.com/king.siquete</v>
      </c>
      <c r="B785" s="1" t="str">
        <f>IFERROR(__xludf.DUMMYFUNCTION("""COMPUTED_VALUE"""),"Bong Donguines")</f>
        <v>Bong Donguines</v>
      </c>
      <c r="C785" s="1" t="str">
        <f>IFERROR(__xludf.DUMMYFUNCTION("""COMPUTED_VALUE"""),"Bong")</f>
        <v>Bong</v>
      </c>
      <c r="D785" s="1" t="str">
        <f>IFERROR(__xludf.DUMMYFUNCTION("""COMPUTED_VALUE"""),"Donguines")</f>
        <v>Donguines</v>
      </c>
      <c r="E785" s="1" t="str">
        <f>IFERROR(__xludf.DUMMYFUNCTION("""COMPUTED_VALUE"""),"Bong Donguines")</f>
        <v>Bong Donguines</v>
      </c>
      <c r="F785" s="1"/>
      <c r="G785" s="1" t="str">
        <f>IFERROR(__xludf.DUMMYFUNCTION("""COMPUTED_VALUE"""),"3 mos")</f>
        <v>3 mos</v>
      </c>
      <c r="H785" s="1" t="str">
        <f>IFERROR(__xludf.DUMMYFUNCTION("""COMPUTED_VALUE"""),"comment")</f>
        <v>comment</v>
      </c>
      <c r="I785" s="2" t="str">
        <f>IFERROR(__xludf.DUMMYFUNCTION("""COMPUTED_VALUE"""),"https://www.facebook.com/rapplerdotcom/photos/a.317154781638645/5597116770309060/")</f>
        <v>https://www.facebook.com/rapplerdotcom/photos/a.317154781638645/5597116770309060/</v>
      </c>
      <c r="J785" s="1" t="str">
        <f>IFERROR(__xludf.DUMMYFUNCTION("""COMPUTED_VALUE"""),"2022-07-04T11:15:29.865Z")</f>
        <v>2022-07-04T11:15:29.865Z</v>
      </c>
      <c r="K785" s="1"/>
    </row>
    <row r="786">
      <c r="A786" s="2" t="str">
        <f>IFERROR(__xludf.DUMMYFUNCTION("""COMPUTED_VALUE"""),"https://www.facebook.com/profile.php?id=100004342516925")</f>
        <v>https://www.facebook.com/profile.php?id=100004342516925</v>
      </c>
      <c r="B786" s="1" t="str">
        <f>IFERROR(__xludf.DUMMYFUNCTION("""COMPUTED_VALUE"""),"Nimpha May Yukkz")</f>
        <v>Nimpha May Yukkz</v>
      </c>
      <c r="C786" s="1" t="str">
        <f>IFERROR(__xludf.DUMMYFUNCTION("""COMPUTED_VALUE"""),"Nimpha")</f>
        <v>Nimpha</v>
      </c>
      <c r="D786" s="1" t="str">
        <f>IFERROR(__xludf.DUMMYFUNCTION("""COMPUTED_VALUE"""),"May Yukkz")</f>
        <v>May Yukkz</v>
      </c>
      <c r="E786" s="1" t="str">
        <f>IFERROR(__xludf.DUMMYFUNCTION("""COMPUTED_VALUE"""),"Nimpha May Yukkz")</f>
        <v>Nimpha May Yukkz</v>
      </c>
      <c r="F786" s="1"/>
      <c r="G786" s="1" t="str">
        <f>IFERROR(__xludf.DUMMYFUNCTION("""COMPUTED_VALUE"""),"3 mos")</f>
        <v>3 mos</v>
      </c>
      <c r="H786" s="1" t="str">
        <f>IFERROR(__xludf.DUMMYFUNCTION("""COMPUTED_VALUE"""),"comment")</f>
        <v>comment</v>
      </c>
      <c r="I786" s="2" t="str">
        <f>IFERROR(__xludf.DUMMYFUNCTION("""COMPUTED_VALUE"""),"https://www.facebook.com/rapplerdotcom/photos/a.317154781638645/5597116770309060/")</f>
        <v>https://www.facebook.com/rapplerdotcom/photos/a.317154781638645/5597116770309060/</v>
      </c>
      <c r="J786" s="1" t="str">
        <f>IFERROR(__xludf.DUMMYFUNCTION("""COMPUTED_VALUE"""),"2022-07-04T11:15:29.865Z")</f>
        <v>2022-07-04T11:15:29.865Z</v>
      </c>
      <c r="K786" s="1"/>
    </row>
    <row r="787">
      <c r="A787" s="2" t="str">
        <f>IFERROR(__xludf.DUMMYFUNCTION("""COMPUTED_VALUE"""),"https://www.facebook.com/profile.php?id=100004342516925")</f>
        <v>https://www.facebook.com/profile.php?id=100004342516925</v>
      </c>
      <c r="B787" s="1" t="str">
        <f>IFERROR(__xludf.DUMMYFUNCTION("""COMPUTED_VALUE"""),"Nimpha May Yukkz")</f>
        <v>Nimpha May Yukkz</v>
      </c>
      <c r="C787" s="1" t="str">
        <f>IFERROR(__xludf.DUMMYFUNCTION("""COMPUTED_VALUE"""),"Nimpha")</f>
        <v>Nimpha</v>
      </c>
      <c r="D787" s="1" t="str">
        <f>IFERROR(__xludf.DUMMYFUNCTION("""COMPUTED_VALUE"""),"May Yukkz")</f>
        <v>May Yukkz</v>
      </c>
      <c r="E787" s="1" t="str">
        <f>IFERROR(__xludf.DUMMYFUNCTION("""COMPUTED_VALUE"""),"Nimpha May Yukkz")</f>
        <v>Nimpha May Yukkz</v>
      </c>
      <c r="F787" s="1"/>
      <c r="G787" s="1" t="str">
        <f>IFERROR(__xludf.DUMMYFUNCTION("""COMPUTED_VALUE"""),"3 mos")</f>
        <v>3 mos</v>
      </c>
      <c r="H787" s="1" t="str">
        <f>IFERROR(__xludf.DUMMYFUNCTION("""COMPUTED_VALUE"""),"comment")</f>
        <v>comment</v>
      </c>
      <c r="I787" s="2" t="str">
        <f>IFERROR(__xludf.DUMMYFUNCTION("""COMPUTED_VALUE"""),"https://www.facebook.com/rapplerdotcom/photos/a.317154781638645/5597116770309060/")</f>
        <v>https://www.facebook.com/rapplerdotcom/photos/a.317154781638645/5597116770309060/</v>
      </c>
      <c r="J787" s="1" t="str">
        <f>IFERROR(__xludf.DUMMYFUNCTION("""COMPUTED_VALUE"""),"2022-07-04T11:15:29.865Z")</f>
        <v>2022-07-04T11:15:29.865Z</v>
      </c>
      <c r="K787" s="1"/>
    </row>
    <row r="788">
      <c r="A788" s="2" t="str">
        <f>IFERROR(__xludf.DUMMYFUNCTION("""COMPUTED_VALUE"""),"https://www.facebook.com/ramselyn.ocedaobrero")</f>
        <v>https://www.facebook.com/ramselyn.ocedaobrero</v>
      </c>
      <c r="B788" s="1" t="str">
        <f>IFERROR(__xludf.DUMMYFUNCTION("""COMPUTED_VALUE"""),"Ramselyn Oceda Obrero")</f>
        <v>Ramselyn Oceda Obrero</v>
      </c>
      <c r="C788" s="1" t="str">
        <f>IFERROR(__xludf.DUMMYFUNCTION("""COMPUTED_VALUE"""),"Ramselyn")</f>
        <v>Ramselyn</v>
      </c>
      <c r="D788" s="1" t="str">
        <f>IFERROR(__xludf.DUMMYFUNCTION("""COMPUTED_VALUE"""),"Oceda Obrero")</f>
        <v>Oceda Obrero</v>
      </c>
      <c r="E788" s="1" t="str">
        <f>IFERROR(__xludf.DUMMYFUNCTION("""COMPUTED_VALUE"""),"✌👊✋❤💚")</f>
        <v>✌👊✋❤💚</v>
      </c>
      <c r="F788" s="1"/>
      <c r="G788" s="1" t="str">
        <f>IFERROR(__xludf.DUMMYFUNCTION("""COMPUTED_VALUE"""),"3 mos")</f>
        <v>3 mos</v>
      </c>
      <c r="H788" s="1" t="str">
        <f>IFERROR(__xludf.DUMMYFUNCTION("""COMPUTED_VALUE"""),"comment")</f>
        <v>comment</v>
      </c>
      <c r="I788" s="2" t="str">
        <f>IFERROR(__xludf.DUMMYFUNCTION("""COMPUTED_VALUE"""),"https://www.facebook.com/rapplerdotcom/photos/a.317154781638645/5597116770309060/")</f>
        <v>https://www.facebook.com/rapplerdotcom/photos/a.317154781638645/5597116770309060/</v>
      </c>
      <c r="J788" s="1" t="str">
        <f>IFERROR(__xludf.DUMMYFUNCTION("""COMPUTED_VALUE"""),"2022-07-04T11:15:29.865Z")</f>
        <v>2022-07-04T11:15:29.865Z</v>
      </c>
      <c r="K788" s="1"/>
    </row>
    <row r="789">
      <c r="A789" s="2" t="str">
        <f>IFERROR(__xludf.DUMMYFUNCTION("""COMPUTED_VALUE"""),"https://www.facebook.com/florante.lumaban")</f>
        <v>https://www.facebook.com/florante.lumaban</v>
      </c>
      <c r="B789" s="1" t="str">
        <f>IFERROR(__xludf.DUMMYFUNCTION("""COMPUTED_VALUE"""),"Florante Jamon Lumaban")</f>
        <v>Florante Jamon Lumaban</v>
      </c>
      <c r="C789" s="1" t="str">
        <f>IFERROR(__xludf.DUMMYFUNCTION("""COMPUTED_VALUE"""),"Florante")</f>
        <v>Florante</v>
      </c>
      <c r="D789" s="1" t="str">
        <f>IFERROR(__xludf.DUMMYFUNCTION("""COMPUTED_VALUE"""),"Jamon Lumaban")</f>
        <v>Jamon Lumaban</v>
      </c>
      <c r="E789" s="1" t="str">
        <f>IFERROR(__xludf.DUMMYFUNCTION("""COMPUTED_VALUE"""),"✌️✌️✌️♥️♥️♥️💚💚💚")</f>
        <v>✌️✌️✌️♥️♥️♥️💚💚💚</v>
      </c>
      <c r="F789" s="1"/>
      <c r="G789" s="1" t="str">
        <f>IFERROR(__xludf.DUMMYFUNCTION("""COMPUTED_VALUE"""),"3 mos")</f>
        <v>3 mos</v>
      </c>
      <c r="H789" s="1" t="str">
        <f>IFERROR(__xludf.DUMMYFUNCTION("""COMPUTED_VALUE"""),"comment")</f>
        <v>comment</v>
      </c>
      <c r="I789" s="2" t="str">
        <f>IFERROR(__xludf.DUMMYFUNCTION("""COMPUTED_VALUE"""),"https://www.facebook.com/rapplerdotcom/photos/a.317154781638645/5597116770309060/")</f>
        <v>https://www.facebook.com/rapplerdotcom/photos/a.317154781638645/5597116770309060/</v>
      </c>
      <c r="J789" s="1" t="str">
        <f>IFERROR(__xludf.DUMMYFUNCTION("""COMPUTED_VALUE"""),"2022-07-04T11:15:29.865Z")</f>
        <v>2022-07-04T11:15:29.865Z</v>
      </c>
      <c r="K789" s="1"/>
    </row>
    <row r="790">
      <c r="A790" s="2" t="str">
        <f>IFERROR(__xludf.DUMMYFUNCTION("""COMPUTED_VALUE"""),"https://www.facebook.com/nel.mendoza.127201")</f>
        <v>https://www.facebook.com/nel.mendoza.127201</v>
      </c>
      <c r="B790" s="1" t="str">
        <f>IFERROR(__xludf.DUMMYFUNCTION("""COMPUTED_VALUE"""),"Nel Mendoza")</f>
        <v>Nel Mendoza</v>
      </c>
      <c r="C790" s="1" t="str">
        <f>IFERROR(__xludf.DUMMYFUNCTION("""COMPUTED_VALUE"""),"Nel")</f>
        <v>Nel</v>
      </c>
      <c r="D790" s="1" t="str">
        <f>IFERROR(__xludf.DUMMYFUNCTION("""COMPUTED_VALUE"""),"Mendoza")</f>
        <v>Mendoza</v>
      </c>
      <c r="E790" s="1" t="str">
        <f>IFERROR(__xludf.DUMMYFUNCTION("""COMPUTED_VALUE"""),"Nel Mendoza")</f>
        <v>Nel Mendoza</v>
      </c>
      <c r="F790" s="1"/>
      <c r="G790" s="1" t="str">
        <f>IFERROR(__xludf.DUMMYFUNCTION("""COMPUTED_VALUE"""),"3 mos")</f>
        <v>3 mos</v>
      </c>
      <c r="H790" s="1" t="str">
        <f>IFERROR(__xludf.DUMMYFUNCTION("""COMPUTED_VALUE"""),"comment")</f>
        <v>comment</v>
      </c>
      <c r="I790" s="2" t="str">
        <f>IFERROR(__xludf.DUMMYFUNCTION("""COMPUTED_VALUE"""),"https://www.facebook.com/rapplerdotcom/photos/a.317154781638645/5597116770309060/")</f>
        <v>https://www.facebook.com/rapplerdotcom/photos/a.317154781638645/5597116770309060/</v>
      </c>
      <c r="J790" s="1" t="str">
        <f>IFERROR(__xludf.DUMMYFUNCTION("""COMPUTED_VALUE"""),"2022-07-04T11:15:29.865Z")</f>
        <v>2022-07-04T11:15:29.865Z</v>
      </c>
      <c r="K790" s="1"/>
    </row>
    <row r="791">
      <c r="A791" s="2" t="str">
        <f>IFERROR(__xludf.DUMMYFUNCTION("""COMPUTED_VALUE"""),"https://www.facebook.com/gracepenetrante.udarbe")</f>
        <v>https://www.facebook.com/gracepenetrante.udarbe</v>
      </c>
      <c r="B791" s="1" t="str">
        <f>IFERROR(__xludf.DUMMYFUNCTION("""COMPUTED_VALUE"""),"Grace Dan Gabriel")</f>
        <v>Grace Dan Gabriel</v>
      </c>
      <c r="C791" s="1" t="str">
        <f>IFERROR(__xludf.DUMMYFUNCTION("""COMPUTED_VALUE"""),"Grace")</f>
        <v>Grace</v>
      </c>
      <c r="D791" s="1" t="str">
        <f>IFERROR(__xludf.DUMMYFUNCTION("""COMPUTED_VALUE"""),"Dan Gabriel")</f>
        <v>Dan Gabriel</v>
      </c>
      <c r="E791" s="1" t="str">
        <f>IFERROR(__xludf.DUMMYFUNCTION("""COMPUTED_VALUE"""),"❤️💚🕊")</f>
        <v>❤️💚🕊</v>
      </c>
      <c r="F791" s="1"/>
      <c r="G791" s="1" t="str">
        <f>IFERROR(__xludf.DUMMYFUNCTION("""COMPUTED_VALUE"""),"3 mos")</f>
        <v>3 mos</v>
      </c>
      <c r="H791" s="1" t="str">
        <f>IFERROR(__xludf.DUMMYFUNCTION("""COMPUTED_VALUE"""),"comment")</f>
        <v>comment</v>
      </c>
      <c r="I791" s="2" t="str">
        <f>IFERROR(__xludf.DUMMYFUNCTION("""COMPUTED_VALUE"""),"https://www.facebook.com/rapplerdotcom/photos/a.317154781638645/5597116770309060/")</f>
        <v>https://www.facebook.com/rapplerdotcom/photos/a.317154781638645/5597116770309060/</v>
      </c>
      <c r="J791" s="1" t="str">
        <f>IFERROR(__xludf.DUMMYFUNCTION("""COMPUTED_VALUE"""),"2022-07-04T11:15:29.865Z")</f>
        <v>2022-07-04T11:15:29.865Z</v>
      </c>
      <c r="K791" s="1"/>
    </row>
    <row r="792">
      <c r="A792" s="2" t="str">
        <f>IFERROR(__xludf.DUMMYFUNCTION("""COMPUTED_VALUE"""),"https://www.facebook.com/holaissa.jaboneta")</f>
        <v>https://www.facebook.com/holaissa.jaboneta</v>
      </c>
      <c r="B792" s="1" t="str">
        <f>IFERROR(__xludf.DUMMYFUNCTION("""COMPUTED_VALUE"""),"Holaissa Jaboneta")</f>
        <v>Holaissa Jaboneta</v>
      </c>
      <c r="C792" s="1" t="str">
        <f>IFERROR(__xludf.DUMMYFUNCTION("""COMPUTED_VALUE"""),"Holaissa")</f>
        <v>Holaissa</v>
      </c>
      <c r="D792" s="1" t="str">
        <f>IFERROR(__xludf.DUMMYFUNCTION("""COMPUTED_VALUE"""),"Jaboneta")</f>
        <v>Jaboneta</v>
      </c>
      <c r="E792" s="1" t="str">
        <f>IFERROR(__xludf.DUMMYFUNCTION("""COMPUTED_VALUE"""),"🤭")</f>
        <v>🤭</v>
      </c>
      <c r="F792" s="1"/>
      <c r="G792" s="1" t="str">
        <f>IFERROR(__xludf.DUMMYFUNCTION("""COMPUTED_VALUE"""),"3 mos")</f>
        <v>3 mos</v>
      </c>
      <c r="H792" s="1" t="str">
        <f>IFERROR(__xludf.DUMMYFUNCTION("""COMPUTED_VALUE"""),"comment")</f>
        <v>comment</v>
      </c>
      <c r="I792" s="2" t="str">
        <f>IFERROR(__xludf.DUMMYFUNCTION("""COMPUTED_VALUE"""),"https://www.facebook.com/rapplerdotcom/photos/a.317154781638645/5597116770309060/")</f>
        <v>https://www.facebook.com/rapplerdotcom/photos/a.317154781638645/5597116770309060/</v>
      </c>
      <c r="J792" s="1" t="str">
        <f>IFERROR(__xludf.DUMMYFUNCTION("""COMPUTED_VALUE"""),"2022-07-04T11:15:29.865Z")</f>
        <v>2022-07-04T11:15:29.865Z</v>
      </c>
      <c r="K792" s="1"/>
    </row>
    <row r="793">
      <c r="A793" s="2" t="str">
        <f>IFERROR(__xludf.DUMMYFUNCTION("""COMPUTED_VALUE"""),"https://www.facebook.com/biennes.balloons")</f>
        <v>https://www.facebook.com/biennes.balloons</v>
      </c>
      <c r="B793" s="1" t="str">
        <f>IFERROR(__xludf.DUMMYFUNCTION("""COMPUTED_VALUE"""),"Bienvenido Dio Jr.")</f>
        <v>Bienvenido Dio Jr.</v>
      </c>
      <c r="C793" s="1" t="str">
        <f>IFERROR(__xludf.DUMMYFUNCTION("""COMPUTED_VALUE"""),"Bienvenido")</f>
        <v>Bienvenido</v>
      </c>
      <c r="D793" s="1" t="str">
        <f>IFERROR(__xludf.DUMMYFUNCTION("""COMPUTED_VALUE"""),"Dio Jr.")</f>
        <v>Dio Jr.</v>
      </c>
      <c r="E793" s="1" t="str">
        <f>IFERROR(__xludf.DUMMYFUNCTION("""COMPUTED_VALUE"""),"😂")</f>
        <v>😂</v>
      </c>
      <c r="F793" s="1"/>
      <c r="G793" s="1" t="str">
        <f>IFERROR(__xludf.DUMMYFUNCTION("""COMPUTED_VALUE"""),"3 mos")</f>
        <v>3 mos</v>
      </c>
      <c r="H793" s="1" t="str">
        <f>IFERROR(__xludf.DUMMYFUNCTION("""COMPUTED_VALUE"""),"comment")</f>
        <v>comment</v>
      </c>
      <c r="I793" s="2" t="str">
        <f>IFERROR(__xludf.DUMMYFUNCTION("""COMPUTED_VALUE"""),"https://www.facebook.com/rapplerdotcom/photos/a.317154781638645/5597116770309060/")</f>
        <v>https://www.facebook.com/rapplerdotcom/photos/a.317154781638645/5597116770309060/</v>
      </c>
      <c r="J793" s="1" t="str">
        <f>IFERROR(__xludf.DUMMYFUNCTION("""COMPUTED_VALUE"""),"2022-07-04T11:15:29.865Z")</f>
        <v>2022-07-04T11:15:29.865Z</v>
      </c>
      <c r="K793" s="1"/>
    </row>
    <row r="794">
      <c r="A794" s="2" t="str">
        <f>IFERROR(__xludf.DUMMYFUNCTION("""COMPUTED_VALUE"""),"https://www.facebook.com/francrolan.manansala")</f>
        <v>https://www.facebook.com/francrolan.manansala</v>
      </c>
      <c r="B794" s="1" t="str">
        <f>IFERROR(__xludf.DUMMYFUNCTION("""COMPUTED_VALUE"""),"Franc Rolan Manansala")</f>
        <v>Franc Rolan Manansala</v>
      </c>
      <c r="C794" s="1" t="str">
        <f>IFERROR(__xludf.DUMMYFUNCTION("""COMPUTED_VALUE"""),"Franc")</f>
        <v>Franc</v>
      </c>
      <c r="D794" s="1" t="str">
        <f>IFERROR(__xludf.DUMMYFUNCTION("""COMPUTED_VALUE"""),"Rolan Manansala")</f>
        <v>Rolan Manansala</v>
      </c>
      <c r="E794" s="1" t="str">
        <f>IFERROR(__xludf.DUMMYFUNCTION("""COMPUTED_VALUE"""),"#neveragain")</f>
        <v>#neveragain</v>
      </c>
      <c r="F794" s="1">
        <f>IFERROR(__xludf.DUMMYFUNCTION("""COMPUTED_VALUE"""),9.0)</f>
        <v>9</v>
      </c>
      <c r="G794" s="1" t="str">
        <f>IFERROR(__xludf.DUMMYFUNCTION("""COMPUTED_VALUE"""),"3 mos")</f>
        <v>3 mos</v>
      </c>
      <c r="H794" s="1" t="str">
        <f>IFERROR(__xludf.DUMMYFUNCTION("""COMPUTED_VALUE"""),"comment")</f>
        <v>comment</v>
      </c>
      <c r="I794" s="2" t="str">
        <f>IFERROR(__xludf.DUMMYFUNCTION("""COMPUTED_VALUE"""),"https://www.facebook.com/rapplerdotcom/photos/a.317154781638645/5597116770309060/")</f>
        <v>https://www.facebook.com/rapplerdotcom/photos/a.317154781638645/5597116770309060/</v>
      </c>
      <c r="J794" s="1" t="str">
        <f>IFERROR(__xludf.DUMMYFUNCTION("""COMPUTED_VALUE"""),"2022-07-04T11:15:29.865Z")</f>
        <v>2022-07-04T11:15:29.865Z</v>
      </c>
      <c r="K794" s="1"/>
    </row>
    <row r="795">
      <c r="A795" s="2" t="str">
        <f>IFERROR(__xludf.DUMMYFUNCTION("""COMPUTED_VALUE"""),"https://www.facebook.com/profile.php?id=100009152090546")</f>
        <v>https://www.facebook.com/profile.php?id=100009152090546</v>
      </c>
      <c r="B795" s="1" t="str">
        <f>IFERROR(__xludf.DUMMYFUNCTION("""COMPUTED_VALUE"""),"Kowboy Santos")</f>
        <v>Kowboy Santos</v>
      </c>
      <c r="C795" s="1" t="str">
        <f>IFERROR(__xludf.DUMMYFUNCTION("""COMPUTED_VALUE"""),"Kowboy")</f>
        <v>Kowboy</v>
      </c>
      <c r="D795" s="1" t="str">
        <f>IFERROR(__xludf.DUMMYFUNCTION("""COMPUTED_VALUE"""),"Santos")</f>
        <v>Santos</v>
      </c>
      <c r="E795" s="1" t="str">
        <f>IFERROR(__xludf.DUMMYFUNCTION("""COMPUTED_VALUE"""),"NO CHOICE")</f>
        <v>NO CHOICE</v>
      </c>
      <c r="F795" s="1">
        <f>IFERROR(__xludf.DUMMYFUNCTION("""COMPUTED_VALUE"""),1.0)</f>
        <v>1</v>
      </c>
      <c r="G795" s="1" t="str">
        <f>IFERROR(__xludf.DUMMYFUNCTION("""COMPUTED_VALUE"""),"3 mos")</f>
        <v>3 mos</v>
      </c>
      <c r="H795" s="1" t="str">
        <f>IFERROR(__xludf.DUMMYFUNCTION("""COMPUTED_VALUE"""),"comment")</f>
        <v>comment</v>
      </c>
      <c r="I795"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795" s="1" t="str">
        <f>IFERROR(__xludf.DUMMYFUNCTION("""COMPUTED_VALUE"""),"2022-07-04T11:16:08.715Z")</f>
        <v>2022-07-04T11:16:08.715Z</v>
      </c>
      <c r="K795" s="1"/>
    </row>
    <row r="796">
      <c r="A796" s="2" t="str">
        <f>IFERROR(__xludf.DUMMYFUNCTION("""COMPUTED_VALUE"""),"https://www.facebook.com/docrly")</f>
        <v>https://www.facebook.com/docrly</v>
      </c>
      <c r="B796" s="1" t="str">
        <f>IFERROR(__xludf.DUMMYFUNCTION("""COMPUTED_VALUE"""),"Docrly L. RvYbanez")</f>
        <v>Docrly L. RvYbanez</v>
      </c>
      <c r="C796" s="1" t="str">
        <f>IFERROR(__xludf.DUMMYFUNCTION("""COMPUTED_VALUE"""),"Docrly")</f>
        <v>Docrly</v>
      </c>
      <c r="D796" s="1" t="str">
        <f>IFERROR(__xludf.DUMMYFUNCTION("""COMPUTED_VALUE"""),"L. RvYbanez")</f>
        <v>L. RvYbanez</v>
      </c>
      <c r="E796" s="1" t="str">
        <f>IFERROR(__xludf.DUMMYFUNCTION("""COMPUTED_VALUE"""),"More than 60yrs na cla sa ilocos norte.. Talo pa cla sa bukidnon, leyte.. Wala cla sa top10 richest provinces.. Didn't uplift the lives of garlic &amp; tobacco farmers.. Iba naman..")</f>
        <v>More than 60yrs na cla sa ilocos norte.. Talo pa cla sa bukidnon, leyte.. Wala cla sa top10 richest provinces.. Didn't uplift the lives of garlic &amp; tobacco farmers.. Iba naman..</v>
      </c>
      <c r="F796" s="1">
        <f>IFERROR(__xludf.DUMMYFUNCTION("""COMPUTED_VALUE"""),59.0)</f>
        <v>59</v>
      </c>
      <c r="G796" s="1" t="str">
        <f>IFERROR(__xludf.DUMMYFUNCTION("""COMPUTED_VALUE"""),"3 mos")</f>
        <v>3 mos</v>
      </c>
      <c r="H796" s="1" t="str">
        <f>IFERROR(__xludf.DUMMYFUNCTION("""COMPUTED_VALUE"""),"comment")</f>
        <v>comment</v>
      </c>
      <c r="I796"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796" s="1" t="str">
        <f>IFERROR(__xludf.DUMMYFUNCTION("""COMPUTED_VALUE"""),"2022-07-04T11:16:08.715Z")</f>
        <v>2022-07-04T11:16:08.715Z</v>
      </c>
      <c r="K796" s="1"/>
    </row>
    <row r="797">
      <c r="A797" s="2" t="str">
        <f>IFERROR(__xludf.DUMMYFUNCTION("""COMPUTED_VALUE"""),"https://www.facebook.com/elie.cosep.75")</f>
        <v>https://www.facebook.com/elie.cosep.75</v>
      </c>
      <c r="B797" s="1" t="str">
        <f>IFERROR(__xludf.DUMMYFUNCTION("""COMPUTED_VALUE"""),"Elie Cosep")</f>
        <v>Elie Cosep</v>
      </c>
      <c r="C797" s="1" t="str">
        <f>IFERROR(__xludf.DUMMYFUNCTION("""COMPUTED_VALUE"""),"Elie")</f>
        <v>Elie</v>
      </c>
      <c r="D797" s="1" t="str">
        <f>IFERROR(__xludf.DUMMYFUNCTION("""COMPUTED_VALUE"""),"Cosep")</f>
        <v>Cosep</v>
      </c>
      <c r="E797" s="1" t="str">
        <f>IFERROR(__xludf.DUMMYFUNCTION("""COMPUTED_VALUE"""),"Docrly L. RvYbanez Botbot")</f>
        <v>Docrly L. RvYbanez Botbot</v>
      </c>
      <c r="F797" s="1"/>
      <c r="G797" s="1" t="str">
        <f>IFERROR(__xludf.DUMMYFUNCTION("""COMPUTED_VALUE"""),"3 mos")</f>
        <v>3 mos</v>
      </c>
      <c r="H797" s="1" t="str">
        <f>IFERROR(__xludf.DUMMYFUNCTION("""COMPUTED_VALUE"""),"reply")</f>
        <v>reply</v>
      </c>
      <c r="I797"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797" s="1" t="str">
        <f>IFERROR(__xludf.DUMMYFUNCTION("""COMPUTED_VALUE"""),"2022-07-04T11:16:08.716Z")</f>
        <v>2022-07-04T11:16:08.716Z</v>
      </c>
      <c r="K797" s="1"/>
    </row>
    <row r="798">
      <c r="A798" s="2" t="str">
        <f>IFERROR(__xludf.DUMMYFUNCTION("""COMPUTED_VALUE"""),"https://www.facebook.com/amjad.lacman")</f>
        <v>https://www.facebook.com/amjad.lacman</v>
      </c>
      <c r="B798" s="1" t="str">
        <f>IFERROR(__xludf.DUMMYFUNCTION("""COMPUTED_VALUE"""),"Luck Man II")</f>
        <v>Luck Man II</v>
      </c>
      <c r="C798" s="1" t="str">
        <f>IFERROR(__xludf.DUMMYFUNCTION("""COMPUTED_VALUE"""),"Luck")</f>
        <v>Luck</v>
      </c>
      <c r="D798" s="1" t="str">
        <f>IFERROR(__xludf.DUMMYFUNCTION("""COMPUTED_VALUE"""),"Man II")</f>
        <v>Man II</v>
      </c>
      <c r="E798" s="1" t="str">
        <f>IFERROR(__xludf.DUMMYFUNCTION("""COMPUTED_VALUE"""),"Docrly L. RvYbanez  👍")</f>
        <v>Docrly L. RvYbanez  👍</v>
      </c>
      <c r="F798" s="1"/>
      <c r="G798" s="1" t="str">
        <f>IFERROR(__xludf.DUMMYFUNCTION("""COMPUTED_VALUE"""),"3 mos")</f>
        <v>3 mos</v>
      </c>
      <c r="H798" s="1" t="str">
        <f>IFERROR(__xludf.DUMMYFUNCTION("""COMPUTED_VALUE"""),"reply")</f>
        <v>reply</v>
      </c>
      <c r="I798"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798" s="1" t="str">
        <f>IFERROR(__xludf.DUMMYFUNCTION("""COMPUTED_VALUE"""),"2022-07-04T11:16:08.716Z")</f>
        <v>2022-07-04T11:16:08.716Z</v>
      </c>
      <c r="K798" s="1"/>
    </row>
    <row r="799">
      <c r="A799" s="2" t="str">
        <f>IFERROR(__xludf.DUMMYFUNCTION("""COMPUTED_VALUE"""),"https://www.facebook.com/DBTunacao")</f>
        <v>https://www.facebook.com/DBTunacao</v>
      </c>
      <c r="B799" s="1" t="str">
        <f>IFERROR(__xludf.DUMMYFUNCTION("""COMPUTED_VALUE"""),"DB Tunacao")</f>
        <v>DB Tunacao</v>
      </c>
      <c r="C799" s="1" t="str">
        <f>IFERROR(__xludf.DUMMYFUNCTION("""COMPUTED_VALUE"""),"DB")</f>
        <v>DB</v>
      </c>
      <c r="D799" s="1" t="str">
        <f>IFERROR(__xludf.DUMMYFUNCTION("""COMPUTED_VALUE"""),"Tunacao")</f>
        <v>Tunacao</v>
      </c>
      <c r="E799" s="1" t="str">
        <f>IFERROR(__xludf.DUMMYFUNCTION("""COMPUTED_VALUE"""),"Docrly L. RvYbanez politically immature kasi tao doon. Kaya kita mo parang panahon pa rin ng kastila.")</f>
        <v>Docrly L. RvYbanez politically immature kasi tao doon. Kaya kita mo parang panahon pa rin ng kastila.</v>
      </c>
      <c r="F799" s="1"/>
      <c r="G799" s="1" t="str">
        <f>IFERROR(__xludf.DUMMYFUNCTION("""COMPUTED_VALUE"""),"3 mos")</f>
        <v>3 mos</v>
      </c>
      <c r="H799" s="1" t="str">
        <f>IFERROR(__xludf.DUMMYFUNCTION("""COMPUTED_VALUE"""),"reply")</f>
        <v>reply</v>
      </c>
      <c r="I799"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799" s="1" t="str">
        <f>IFERROR(__xludf.DUMMYFUNCTION("""COMPUTED_VALUE"""),"2022-07-04T11:16:08.716Z")</f>
        <v>2022-07-04T11:16:08.716Z</v>
      </c>
      <c r="K799" s="1"/>
    </row>
    <row r="800">
      <c r="A800" s="2" t="str">
        <f>IFERROR(__xludf.DUMMYFUNCTION("""COMPUTED_VALUE"""),"https://www.facebook.com/mila.magsayo")</f>
        <v>https://www.facebook.com/mila.magsayo</v>
      </c>
      <c r="B800" s="1" t="str">
        <f>IFERROR(__xludf.DUMMYFUNCTION("""COMPUTED_VALUE"""),"Mila Liwagon Magsayo")</f>
        <v>Mila Liwagon Magsayo</v>
      </c>
      <c r="C800" s="1" t="str">
        <f>IFERROR(__xludf.DUMMYFUNCTION("""COMPUTED_VALUE"""),"Mila")</f>
        <v>Mila</v>
      </c>
      <c r="D800" s="1" t="str">
        <f>IFERROR(__xludf.DUMMYFUNCTION("""COMPUTED_VALUE"""),"Liwagon Magsayo")</f>
        <v>Liwagon Magsayo</v>
      </c>
      <c r="E800" s="1" t="str">
        <f>IFERROR(__xludf.DUMMYFUNCTION("""COMPUTED_VALUE"""),"Depende Yun sa pamilyang naninilbihan sa gobyerno. Tingnan ninyo ang Davao City, kumpara ang noon at ngayon. Malaki ang pagbabago, Kaya Depende Yun sa pamilya. Bakit iboboto PA rin NG mga tao, HINDI  dahil sa Pera kundi ang serbisyo nila. Natural naman na"&amp;" may mga against sa kanila kasi HINDI sila sang-ayonsa mga patakaran. Sa Davao City bawal manigarilyo sa publikong lugar, bawal magkalat, may curfew, bawal backer, bawal ang korap, lahat may patakaran. Kaya, yung mga taong HINDI gusto sa mga bawal ay yung"&amp;" mga naninira sa kanila. Isa yun c Pantaleon Alvarez sa mga against NG mga Duterte kasi may mga ginawa siyang.... Kaya ayaw NG mga Duterte sa kaniya. ""Sour grapes"" c Alvarez 🤔😀😂 Alam namin Yan.")</f>
        <v>Depende Yun sa pamilyang naninilbihan sa gobyerno. Tingnan ninyo ang Davao City, kumpara ang noon at ngayon. Malaki ang pagbabago, Kaya Depende Yun sa pamilya. Bakit iboboto PA rin NG mga tao, HINDI  dahil sa Pera kundi ang serbisyo nila. Natural naman na may mga against sa kanila kasi HINDI sila sang-ayonsa mga patakaran. Sa Davao City bawal manigarilyo sa publikong lugar, bawal magkalat, may curfew, bawal backer, bawal ang korap, lahat may patakaran. Kaya, yung mga taong HINDI gusto sa mga bawal ay yung mga naninira sa kanila. Isa yun c Pantaleon Alvarez sa mga against NG mga Duterte kasi may mga ginawa siyang.... Kaya ayaw NG mga Duterte sa kaniya. "Sour grapes" c Alvarez 🤔😀😂 Alam namin Yan.</v>
      </c>
      <c r="F800" s="1"/>
      <c r="G800" s="1" t="str">
        <f>IFERROR(__xludf.DUMMYFUNCTION("""COMPUTED_VALUE"""),"3 mos")</f>
        <v>3 mos</v>
      </c>
      <c r="H800" s="1" t="str">
        <f>IFERROR(__xludf.DUMMYFUNCTION("""COMPUTED_VALUE"""),"comment")</f>
        <v>comment</v>
      </c>
      <c r="I800"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0" s="1" t="str">
        <f>IFERROR(__xludf.DUMMYFUNCTION("""COMPUTED_VALUE"""),"2022-07-04T11:16:08.716Z")</f>
        <v>2022-07-04T11:16:08.716Z</v>
      </c>
      <c r="K800" s="1"/>
    </row>
    <row r="801">
      <c r="A801" s="2" t="str">
        <f>IFERROR(__xludf.DUMMYFUNCTION("""COMPUTED_VALUE"""),"https://www.facebook.com/profile.php?id=100006370367395")</f>
        <v>https://www.facebook.com/profile.php?id=100006370367395</v>
      </c>
      <c r="B801" s="1" t="str">
        <f>IFERROR(__xludf.DUMMYFUNCTION("""COMPUTED_VALUE"""),"Casey Briones Sr.")</f>
        <v>Casey Briones Sr.</v>
      </c>
      <c r="C801" s="1" t="str">
        <f>IFERROR(__xludf.DUMMYFUNCTION("""COMPUTED_VALUE"""),"Casey")</f>
        <v>Casey</v>
      </c>
      <c r="D801" s="1" t="str">
        <f>IFERROR(__xludf.DUMMYFUNCTION("""COMPUTED_VALUE"""),"Briones Sr.")</f>
        <v>Briones Sr.</v>
      </c>
      <c r="E801" s="1" t="str">
        <f>IFERROR(__xludf.DUMMYFUNCTION("""COMPUTED_VALUE"""),"Ilocanos gising NO to marcoses")</f>
        <v>Ilocanos gising NO to marcoses</v>
      </c>
      <c r="F801" s="1">
        <f>IFERROR(__xludf.DUMMYFUNCTION("""COMPUTED_VALUE"""),7.0)</f>
        <v>7</v>
      </c>
      <c r="G801" s="1" t="str">
        <f>IFERROR(__xludf.DUMMYFUNCTION("""COMPUTED_VALUE"""),"3 mos")</f>
        <v>3 mos</v>
      </c>
      <c r="H801" s="1" t="str">
        <f>IFERROR(__xludf.DUMMYFUNCTION("""COMPUTED_VALUE"""),"comment")</f>
        <v>comment</v>
      </c>
      <c r="I801"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1" s="1" t="str">
        <f>IFERROR(__xludf.DUMMYFUNCTION("""COMPUTED_VALUE"""),"2022-07-04T11:16:08.716Z")</f>
        <v>2022-07-04T11:16:08.716Z</v>
      </c>
      <c r="K801" s="1"/>
    </row>
    <row r="802">
      <c r="A802" s="2" t="str">
        <f>IFERROR(__xludf.DUMMYFUNCTION("""COMPUTED_VALUE"""),"https://www.facebook.com/profile.php?id=100077649885354")</f>
        <v>https://www.facebook.com/profile.php?id=100077649885354</v>
      </c>
      <c r="B802" s="1" t="str">
        <f>IFERROR(__xludf.DUMMYFUNCTION("""COMPUTED_VALUE"""),"Bentley Borja")</f>
        <v>Bentley Borja</v>
      </c>
      <c r="C802" s="1" t="str">
        <f>IFERROR(__xludf.DUMMYFUNCTION("""COMPUTED_VALUE"""),"Bentley")</f>
        <v>Bentley</v>
      </c>
      <c r="D802" s="1" t="str">
        <f>IFERROR(__xludf.DUMMYFUNCTION("""COMPUTED_VALUE"""),"Borja")</f>
        <v>Borja</v>
      </c>
      <c r="E802" s="1" t="str">
        <f>IFERROR(__xludf.DUMMYFUNCTION("""COMPUTED_VALUE"""),"#IpanaloNa10To #NeverAgainToMarcoses #HindiItoAngHulingEDSA #neveragain #neverforget #Kakampinks #KulayRosasAngBukas #kakampink2022 #pinkangpinoy #LeniKiko2022 #Kakampink #LetLeniLead #KikoPangilinan2022 #KikoIsMyVP2022 #kikopangilinanforvicepresident2022"&amp;" #IpanaloNa10To #UniThieves #MarcosMagnanakaw #MarcosSinungaling #MarcosDuwag #AngatBuhayLahatKayLeni #AngatBuhayAngLahat #KulayRosasAngBukas #liwanagsadilim")</f>
        <v>#IpanaloNa10To #NeverAgainToMarcoses #HindiItoAngHulingEDSA #neveragain #neverforget #Kakampinks #KulayRosasAngBukas #kakampink2022 #pinkangpinoy #LeniKiko2022 #Kakampink #LetLeniLead #KikoPangilinan2022 #KikoIsMyVP2022 #kikopangilinanforvicepresident2022 #IpanaloNa10To #UniThieves #MarcosMagnanakaw #MarcosSinungaling #MarcosDuwag #AngatBuhayLahatKayLeni #AngatBuhayAngLahat #KulayRosasAngBukas #liwanagsadilim</v>
      </c>
      <c r="F802" s="1">
        <f>IFERROR(__xludf.DUMMYFUNCTION("""COMPUTED_VALUE"""),5.0)</f>
        <v>5</v>
      </c>
      <c r="G802" s="1" t="str">
        <f>IFERROR(__xludf.DUMMYFUNCTION("""COMPUTED_VALUE"""),"3 mos")</f>
        <v>3 mos</v>
      </c>
      <c r="H802" s="1" t="str">
        <f>IFERROR(__xludf.DUMMYFUNCTION("""COMPUTED_VALUE"""),"comment")</f>
        <v>comment</v>
      </c>
      <c r="I802"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2" s="1" t="str">
        <f>IFERROR(__xludf.DUMMYFUNCTION("""COMPUTED_VALUE"""),"2022-07-04T11:16:08.716Z")</f>
        <v>2022-07-04T11:16:08.716Z</v>
      </c>
      <c r="K802" s="1"/>
    </row>
    <row r="803">
      <c r="A803" s="2" t="str">
        <f>IFERROR(__xludf.DUMMYFUNCTION("""COMPUTED_VALUE"""),"https://www.facebook.com/edward.deloso")</f>
        <v>https://www.facebook.com/edward.deloso</v>
      </c>
      <c r="B803" s="1" t="str">
        <f>IFERROR(__xludf.DUMMYFUNCTION("""COMPUTED_VALUE"""),"Edward Deloso")</f>
        <v>Edward Deloso</v>
      </c>
      <c r="C803" s="1" t="str">
        <f>IFERROR(__xludf.DUMMYFUNCTION("""COMPUTED_VALUE"""),"Edward")</f>
        <v>Edward</v>
      </c>
      <c r="D803" s="1" t="str">
        <f>IFERROR(__xludf.DUMMYFUNCTION("""COMPUTED_VALUE"""),"Deloso")</f>
        <v>Deloso</v>
      </c>
      <c r="E803" s="1" t="str">
        <f>IFERROR(__xludf.DUMMYFUNCTION("""COMPUTED_VALUE"""),"Bentley Borja sorry po hindi aq adik ,hinde po aq gusto sumali ung anak sa druga kc lahat ng phils.last liberal party  lahat sulok ng phils.nasa druga patay tayo!!!")</f>
        <v>Bentley Borja sorry po hindi aq adik ,hinde po aq gusto sumali ung anak sa druga kc lahat ng phils.last liberal party  lahat sulok ng phils.nasa druga patay tayo!!!</v>
      </c>
      <c r="F803" s="1"/>
      <c r="G803" s="1" t="str">
        <f>IFERROR(__xludf.DUMMYFUNCTION("""COMPUTED_VALUE"""),"3 mos")</f>
        <v>3 mos</v>
      </c>
      <c r="H803" s="1" t="str">
        <f>IFERROR(__xludf.DUMMYFUNCTION("""COMPUTED_VALUE"""),"reply")</f>
        <v>reply</v>
      </c>
      <c r="I803"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3" s="1" t="str">
        <f>IFERROR(__xludf.DUMMYFUNCTION("""COMPUTED_VALUE"""),"2022-07-04T11:16:08.716Z")</f>
        <v>2022-07-04T11:16:08.716Z</v>
      </c>
      <c r="K803" s="1"/>
    </row>
    <row r="804">
      <c r="A804" s="2" t="str">
        <f>IFERROR(__xludf.DUMMYFUNCTION("""COMPUTED_VALUE"""),"https://www.facebook.com/aroemeyen")</f>
        <v>https://www.facebook.com/aroemeyen</v>
      </c>
      <c r="B804" s="1" t="str">
        <f>IFERROR(__xludf.DUMMYFUNCTION("""COMPUTED_VALUE"""),"Boyet Gargantiel")</f>
        <v>Boyet Gargantiel</v>
      </c>
      <c r="C804" s="1" t="str">
        <f>IFERROR(__xludf.DUMMYFUNCTION("""COMPUTED_VALUE"""),"Boyet")</f>
        <v>Boyet</v>
      </c>
      <c r="D804" s="1" t="str">
        <f>IFERROR(__xludf.DUMMYFUNCTION("""COMPUTED_VALUE"""),"Gargantiel")</f>
        <v>Gargantiel</v>
      </c>
      <c r="E804" s="1" t="str">
        <f>IFERROR(__xludf.DUMMYFUNCTION("""COMPUTED_VALUE"""),"Here is where the 'Lesser of two evils"" dictum applies.")</f>
        <v>Here is where the 'Lesser of two evils" dictum applies.</v>
      </c>
      <c r="F804" s="1">
        <f>IFERROR(__xludf.DUMMYFUNCTION("""COMPUTED_VALUE"""),3.0)</f>
        <v>3</v>
      </c>
      <c r="G804" s="1" t="str">
        <f>IFERROR(__xludf.DUMMYFUNCTION("""COMPUTED_VALUE"""),"3 mos")</f>
        <v>3 mos</v>
      </c>
      <c r="H804" s="1" t="str">
        <f>IFERROR(__xludf.DUMMYFUNCTION("""COMPUTED_VALUE"""),"comment")</f>
        <v>comment</v>
      </c>
      <c r="I804"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4" s="1" t="str">
        <f>IFERROR(__xludf.DUMMYFUNCTION("""COMPUTED_VALUE"""),"2022-07-04T11:16:08.716Z")</f>
        <v>2022-07-04T11:16:08.716Z</v>
      </c>
      <c r="K804" s="1"/>
    </row>
    <row r="805">
      <c r="A805" s="2" t="str">
        <f>IFERROR(__xludf.DUMMYFUNCTION("""COMPUTED_VALUE"""),"https://www.facebook.com/QuenitoKing")</f>
        <v>https://www.facebook.com/QuenitoKing</v>
      </c>
      <c r="B805" s="1" t="str">
        <f>IFERROR(__xludf.DUMMYFUNCTION("""COMPUTED_VALUE"""),"Quenito King")</f>
        <v>Quenito King</v>
      </c>
      <c r="C805" s="1" t="str">
        <f>IFERROR(__xludf.DUMMYFUNCTION("""COMPUTED_VALUE"""),"Quenito")</f>
        <v>Quenito</v>
      </c>
      <c r="D805" s="1" t="str">
        <f>IFERROR(__xludf.DUMMYFUNCTION("""COMPUTED_VALUE"""),"King")</f>
        <v>King</v>
      </c>
      <c r="E805" s="1" t="str">
        <f>IFERROR(__xludf.DUMMYFUNCTION("""COMPUTED_VALUE"""),"Nag aaway away cla sa politiko..dahil ba big business ang nasa puesto na pede ipamana sa nearest next of kin..Only know the turns and ways sa gobyerno, ang mga polpolitiko unli monies na unli power pa")</f>
        <v>Nag aaway away cla sa politiko..dahil ba big business ang nasa puesto na pede ipamana sa nearest next of kin..Only know the turns and ways sa gobyerno, ang mga polpolitiko unli monies na unli power pa</v>
      </c>
      <c r="F805" s="1">
        <f>IFERROR(__xludf.DUMMYFUNCTION("""COMPUTED_VALUE"""),4.0)</f>
        <v>4</v>
      </c>
      <c r="G805" s="1" t="str">
        <f>IFERROR(__xludf.DUMMYFUNCTION("""COMPUTED_VALUE"""),"3 mos")</f>
        <v>3 mos</v>
      </c>
      <c r="H805" s="1" t="str">
        <f>IFERROR(__xludf.DUMMYFUNCTION("""COMPUTED_VALUE"""),"comment")</f>
        <v>comment</v>
      </c>
      <c r="I805"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5" s="1" t="str">
        <f>IFERROR(__xludf.DUMMYFUNCTION("""COMPUTED_VALUE"""),"2022-07-04T11:16:08.716Z")</f>
        <v>2022-07-04T11:16:08.716Z</v>
      </c>
      <c r="K805" s="1"/>
    </row>
    <row r="806">
      <c r="A806" s="2" t="str">
        <f>IFERROR(__xludf.DUMMYFUNCTION("""COMPUTED_VALUE"""),"https://www.facebook.com/ngorab.ngidnam")</f>
        <v>https://www.facebook.com/ngorab.ngidnam</v>
      </c>
      <c r="B806" s="1" t="str">
        <f>IFERROR(__xludf.DUMMYFUNCTION("""COMPUTED_VALUE"""),"Vic B Dal")</f>
        <v>Vic B Dal</v>
      </c>
      <c r="C806" s="1" t="str">
        <f>IFERROR(__xludf.DUMMYFUNCTION("""COMPUTED_VALUE"""),"Vic")</f>
        <v>Vic</v>
      </c>
      <c r="D806" s="1" t="str">
        <f>IFERROR(__xludf.DUMMYFUNCTION("""COMPUTED_VALUE"""),"B Dal")</f>
        <v>B Dal</v>
      </c>
      <c r="E806" s="1" t="str">
        <f>IFERROR(__xludf.DUMMYFUNCTION("""COMPUTED_VALUE"""),"Political dynasties: The Marcoses, Arroyos, Farinas, Dutertes, Binays, Estradas, Villafuertes, Zamoras, Remullas, Villars, etc., treated public office like an inheritance which they could pass to their children/heirs. These political dynasties have lorded"&amp;" and wielded the reins of power in their bailiwicks for many decades, but majority of their constituents remained poor, who kept on voting these political dynasties due to their false messianic hope from these political dynasties that they could resurrect"&amp;" the majority of their constituents from the graveyard of poverty when in reality these political dynasties buried the majority of their constituents more than 6 feet below the ground, which there could be no more resurrection from their haplessness and h"&amp;"elplessness.")</f>
        <v>Political dynasties: The Marcoses, Arroyos, Farinas, Dutertes, Binays, Estradas, Villafuertes, Zamoras, Remullas, Villars, etc., treated public office like an inheritance which they could pass to their children/heirs. These political dynasties have lorded and wielded the reins of power in their bailiwicks for many decades, but majority of their constituents remained poor, who kept on voting these political dynasties due to their false messianic hope from these political dynasties that they could resurrect the majority of their constituents from the graveyard of poverty when in reality these political dynasties buried the majority of their constituents more than 6 feet below the ground, which there could be no more resurrection from their haplessness and helplessness.</v>
      </c>
      <c r="F806" s="1">
        <f>IFERROR(__xludf.DUMMYFUNCTION("""COMPUTED_VALUE"""),47.0)</f>
        <v>47</v>
      </c>
      <c r="G806" s="1" t="str">
        <f>IFERROR(__xludf.DUMMYFUNCTION("""COMPUTED_VALUE"""),"3 mos")</f>
        <v>3 mos</v>
      </c>
      <c r="H806" s="1" t="str">
        <f>IFERROR(__xludf.DUMMYFUNCTION("""COMPUTED_VALUE"""),"comment")</f>
        <v>comment</v>
      </c>
      <c r="I806"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6" s="1" t="str">
        <f>IFERROR(__xludf.DUMMYFUNCTION("""COMPUTED_VALUE"""),"2022-07-04T11:16:08.716Z")</f>
        <v>2022-07-04T11:16:08.716Z</v>
      </c>
      <c r="K806" s="1"/>
    </row>
    <row r="807">
      <c r="A807" s="2" t="str">
        <f>IFERROR(__xludf.DUMMYFUNCTION("""COMPUTED_VALUE"""),"https://www.facebook.com/profile.php?id=100001866881530")</f>
        <v>https://www.facebook.com/profile.php?id=100001866881530</v>
      </c>
      <c r="B807" s="1" t="str">
        <f>IFERROR(__xludf.DUMMYFUNCTION("""COMPUTED_VALUE"""),"Julius Pabs")</f>
        <v>Julius Pabs</v>
      </c>
      <c r="C807" s="1" t="str">
        <f>IFERROR(__xludf.DUMMYFUNCTION("""COMPUTED_VALUE"""),"Julius")</f>
        <v>Julius</v>
      </c>
      <c r="D807" s="1" t="str">
        <f>IFERROR(__xludf.DUMMYFUNCTION("""COMPUTED_VALUE"""),"Pabs")</f>
        <v>Pabs</v>
      </c>
      <c r="E807" s="1" t="str">
        <f>IFERROR(__xludf.DUMMYFUNCTION("""COMPUTED_VALUE"""),"Vic B Dal daming bobotante bigyan lng ng 500 mga yang magiging loyal parin hahah")</f>
        <v>Vic B Dal daming bobotante bigyan lng ng 500 mga yang magiging loyal parin hahah</v>
      </c>
      <c r="F807" s="1">
        <f>IFERROR(__xludf.DUMMYFUNCTION("""COMPUTED_VALUE"""),3.0)</f>
        <v>3</v>
      </c>
      <c r="G807" s="1" t="str">
        <f>IFERROR(__xludf.DUMMYFUNCTION("""COMPUTED_VALUE"""),"3 mos")</f>
        <v>3 mos</v>
      </c>
      <c r="H807" s="1" t="str">
        <f>IFERROR(__xludf.DUMMYFUNCTION("""COMPUTED_VALUE"""),"reply")</f>
        <v>reply</v>
      </c>
      <c r="I807"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7" s="1" t="str">
        <f>IFERROR(__xludf.DUMMYFUNCTION("""COMPUTED_VALUE"""),"2022-07-04T11:16:08.716Z")</f>
        <v>2022-07-04T11:16:08.716Z</v>
      </c>
      <c r="K807" s="1"/>
    </row>
    <row r="808">
      <c r="A808" s="2" t="str">
        <f>IFERROR(__xludf.DUMMYFUNCTION("""COMPUTED_VALUE"""),"https://www.facebook.com/cenizanestor")</f>
        <v>https://www.facebook.com/cenizanestor</v>
      </c>
      <c r="B808" s="1" t="str">
        <f>IFERROR(__xludf.DUMMYFUNCTION("""COMPUTED_VALUE"""),"Nestor Ceniza")</f>
        <v>Nestor Ceniza</v>
      </c>
      <c r="C808" s="1" t="str">
        <f>IFERROR(__xludf.DUMMYFUNCTION("""COMPUTED_VALUE"""),"Nestor")</f>
        <v>Nestor</v>
      </c>
      <c r="D808" s="1" t="str">
        <f>IFERROR(__xludf.DUMMYFUNCTION("""COMPUTED_VALUE"""),"Ceniza")</f>
        <v>Ceniza</v>
      </c>
      <c r="E808" s="1" t="str">
        <f>IFERROR(__xludf.DUMMYFUNCTION("""COMPUTED_VALUE"""),"Julius Pabs Totoo Yan ,Kasi gusto nang mga politiko namahirap Sila para Kong kuntong in bigay ay mag samba na Sa kanila Ang mga taong  na Yan ,kaeawa na man Sila na walang madyadong kaalaman Sa palikid nila Sa kaunting ibigay para bang na loko Sila Sa kau"&amp;"nting Bagay.")</f>
        <v>Julius Pabs Totoo Yan ,Kasi gusto nang mga politiko namahirap Sila para Kong kuntong in bigay ay mag samba na Sa kanila Ang mga taong  na Yan ,kaeawa na man Sila na walang madyadong kaalaman Sa palikid nila Sa kaunting ibigay para bang na loko Sila Sa kaunting Bagay.</v>
      </c>
      <c r="F808" s="1">
        <f>IFERROR(__xludf.DUMMYFUNCTION("""COMPUTED_VALUE"""),4.0)</f>
        <v>4</v>
      </c>
      <c r="G808" s="1" t="str">
        <f>IFERROR(__xludf.DUMMYFUNCTION("""COMPUTED_VALUE"""),"3 mos")</f>
        <v>3 mos</v>
      </c>
      <c r="H808" s="1" t="str">
        <f>IFERROR(__xludf.DUMMYFUNCTION("""COMPUTED_VALUE"""),"reply")</f>
        <v>reply</v>
      </c>
      <c r="I808"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8" s="1" t="str">
        <f>IFERROR(__xludf.DUMMYFUNCTION("""COMPUTED_VALUE"""),"2022-07-04T11:16:08.716Z")</f>
        <v>2022-07-04T11:16:08.716Z</v>
      </c>
      <c r="K808" s="1"/>
    </row>
    <row r="809">
      <c r="A809" s="2" t="str">
        <f>IFERROR(__xludf.DUMMYFUNCTION("""COMPUTED_VALUE"""),"https://www.facebook.com/nilo.asas")</f>
        <v>https://www.facebook.com/nilo.asas</v>
      </c>
      <c r="B809" s="1" t="str">
        <f>IFERROR(__xludf.DUMMYFUNCTION("""COMPUTED_VALUE"""),"Nilo Asas")</f>
        <v>Nilo Asas</v>
      </c>
      <c r="C809" s="1" t="str">
        <f>IFERROR(__xludf.DUMMYFUNCTION("""COMPUTED_VALUE"""),"Nilo")</f>
        <v>Nilo</v>
      </c>
      <c r="D809" s="1" t="str">
        <f>IFERROR(__xludf.DUMMYFUNCTION("""COMPUTED_VALUE"""),"Asas")</f>
        <v>Asas</v>
      </c>
      <c r="E809" s="1" t="str">
        <f>IFERROR(__xludf.DUMMYFUNCTION("""COMPUTED_VALUE"""),"Nestor Ceniza diba my gumawa ng batas na ipag bawal dynaste sa politika pero hindi umubra kaya nasa tao yan kung iboboto parin nila.")</f>
        <v>Nestor Ceniza diba my gumawa ng batas na ipag bawal dynaste sa politika pero hindi umubra kaya nasa tao yan kung iboboto parin nila.</v>
      </c>
      <c r="F809" s="1"/>
      <c r="G809" s="1" t="str">
        <f>IFERROR(__xludf.DUMMYFUNCTION("""COMPUTED_VALUE"""),"3 mos")</f>
        <v>3 mos</v>
      </c>
      <c r="H809" s="1" t="str">
        <f>IFERROR(__xludf.DUMMYFUNCTION("""COMPUTED_VALUE"""),"reply")</f>
        <v>reply</v>
      </c>
      <c r="I809"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09" s="1" t="str">
        <f>IFERROR(__xludf.DUMMYFUNCTION("""COMPUTED_VALUE"""),"2022-07-04T11:16:08.716Z")</f>
        <v>2022-07-04T11:16:08.716Z</v>
      </c>
      <c r="K809" s="1"/>
    </row>
    <row r="810">
      <c r="A810" s="2" t="str">
        <f>IFERROR(__xludf.DUMMYFUNCTION("""COMPUTED_VALUE"""),"https://www.facebook.com/profile.php?id=100008332086519")</f>
        <v>https://www.facebook.com/profile.php?id=100008332086519</v>
      </c>
      <c r="B810" s="1" t="str">
        <f>IFERROR(__xludf.DUMMYFUNCTION("""COMPUTED_VALUE"""),"Alex Jacinto")</f>
        <v>Alex Jacinto</v>
      </c>
      <c r="C810" s="1" t="str">
        <f>IFERROR(__xludf.DUMMYFUNCTION("""COMPUTED_VALUE"""),"Alex")</f>
        <v>Alex</v>
      </c>
      <c r="D810" s="1" t="str">
        <f>IFERROR(__xludf.DUMMYFUNCTION("""COMPUTED_VALUE"""),"Jacinto")</f>
        <v>Jacinto</v>
      </c>
      <c r="E810" s="1" t="str">
        <f>IFERROR(__xludf.DUMMYFUNCTION("""COMPUTED_VALUE"""),"Kaya ayaw umasenso ng Pilipinas, dahil sa mga political dynasty na yan, dapat i-implement ng husto ang anti dynasty law, for our beloved country to rise up.")</f>
        <v>Kaya ayaw umasenso ng Pilipinas, dahil sa mga political dynasty na yan, dapat i-implement ng husto ang anti dynasty law, for our beloved country to rise up.</v>
      </c>
      <c r="F810" s="1">
        <f>IFERROR(__xludf.DUMMYFUNCTION("""COMPUTED_VALUE"""),8.0)</f>
        <v>8</v>
      </c>
      <c r="G810" s="1" t="str">
        <f>IFERROR(__xludf.DUMMYFUNCTION("""COMPUTED_VALUE"""),"3 mos")</f>
        <v>3 mos</v>
      </c>
      <c r="H810" s="1" t="str">
        <f>IFERROR(__xludf.DUMMYFUNCTION("""COMPUTED_VALUE"""),"comment")</f>
        <v>comment</v>
      </c>
      <c r="I810"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0" s="1" t="str">
        <f>IFERROR(__xludf.DUMMYFUNCTION("""COMPUTED_VALUE"""),"2022-07-04T11:16:08.716Z")</f>
        <v>2022-07-04T11:16:08.716Z</v>
      </c>
      <c r="K810" s="1"/>
    </row>
    <row r="811">
      <c r="A811" s="2" t="str">
        <f>IFERROR(__xludf.DUMMYFUNCTION("""COMPUTED_VALUE"""),"https://www.facebook.com/profile.php?id=100077412090788")</f>
        <v>https://www.facebook.com/profile.php?id=100077412090788</v>
      </c>
      <c r="B811" s="1" t="str">
        <f>IFERROR(__xludf.DUMMYFUNCTION("""COMPUTED_VALUE"""),"Ladymiles Enerio Belinario Bautista")</f>
        <v>Ladymiles Enerio Belinario Bautista</v>
      </c>
      <c r="C811" s="1" t="str">
        <f>IFERROR(__xludf.DUMMYFUNCTION("""COMPUTED_VALUE"""),"Ladymiles")</f>
        <v>Ladymiles</v>
      </c>
      <c r="D811" s="1" t="str">
        <f>IFERROR(__xludf.DUMMYFUNCTION("""COMPUTED_VALUE"""),"Enerio Belinario Bautista")</f>
        <v>Enerio Belinario Bautista</v>
      </c>
      <c r="E811" s="1" t="str">
        <f>IFERROR(__xludf.DUMMYFUNCTION("""COMPUTED_VALUE"""),"Iyak na mga pinklawans kaya niyo yan 🤣🤣🤣🤣")</f>
        <v>Iyak na mga pinklawans kaya niyo yan 🤣🤣🤣🤣</v>
      </c>
      <c r="F811" s="1">
        <f>IFERROR(__xludf.DUMMYFUNCTION("""COMPUTED_VALUE"""),1.0)</f>
        <v>1</v>
      </c>
      <c r="G811" s="1" t="str">
        <f>IFERROR(__xludf.DUMMYFUNCTION("""COMPUTED_VALUE"""),"3 mos")</f>
        <v>3 mos</v>
      </c>
      <c r="H811" s="1" t="str">
        <f>IFERROR(__xludf.DUMMYFUNCTION("""COMPUTED_VALUE"""),"comment")</f>
        <v>comment</v>
      </c>
      <c r="I811"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1" s="1" t="str">
        <f>IFERROR(__xludf.DUMMYFUNCTION("""COMPUTED_VALUE"""),"2022-07-04T11:16:08.716Z")</f>
        <v>2022-07-04T11:16:08.716Z</v>
      </c>
      <c r="K811" s="1"/>
    </row>
    <row r="812">
      <c r="A812" s="2" t="str">
        <f>IFERROR(__xludf.DUMMYFUNCTION("""COMPUTED_VALUE"""),"https://www.facebook.com/helen.y.dizon")</f>
        <v>https://www.facebook.com/helen.y.dizon</v>
      </c>
      <c r="B812" s="1" t="str">
        <f>IFERROR(__xludf.DUMMYFUNCTION("""COMPUTED_VALUE"""),"Helen Yu Dizon")</f>
        <v>Helen Yu Dizon</v>
      </c>
      <c r="C812" s="1" t="str">
        <f>IFERROR(__xludf.DUMMYFUNCTION("""COMPUTED_VALUE"""),"Helen")</f>
        <v>Helen</v>
      </c>
      <c r="D812" s="1" t="str">
        <f>IFERROR(__xludf.DUMMYFUNCTION("""COMPUTED_VALUE"""),"Yu Dizon")</f>
        <v>Yu Dizon</v>
      </c>
      <c r="E812" s="1" t="str">
        <f>IFERROR(__xludf.DUMMYFUNCTION("""COMPUTED_VALUE"""),"Its clear - these Marcoses want POWER over everyone, anyone. The GREED. Please mga  kababayan ko, gising po. May oras at chance oa nating mabago … dahil after election … wala na tayong kapangyarihan. Gamitin natin ang Boto na mailagay ang matino at walang"&amp;" bahid ng kurapsyon at lider na may totoong puso sa tao. Lubog na ang pilipino, gamitin natin ang natitirang lakas pra sa ikabubuti ng ating bansa. Pinamumugaran tayo ng mga GANID AT hayok sa kapangyarihan… pami pamilya na silang gustong umupo kasama ng m"&amp;"ga kauri nila… yan ang matinding dagok sa kinabukasan ng Pilipino. Dasal po na magawa natin ang tama.")</f>
        <v>Its clear - these Marcoses want POWER over everyone, anyone. The GREED. Please mga  kababayan ko, gising po. May oras at chance oa nating mabago … dahil after election … wala na tayong kapangyarihan. Gamitin natin ang Boto na mailagay ang matino at walang bahid ng kurapsyon at lider na may totoong puso sa tao. Lubog na ang pilipino, gamitin natin ang natitirang lakas pra sa ikabubuti ng ating bansa. Pinamumugaran tayo ng mga GANID AT hayok sa kapangyarihan… pami pamilya na silang gustong umupo kasama ng mga kauri nila… yan ang matinding dagok sa kinabukasan ng Pilipino. Dasal po na magawa natin ang tama.</v>
      </c>
      <c r="F812" s="1">
        <f>IFERROR(__xludf.DUMMYFUNCTION("""COMPUTED_VALUE"""),1.0)</f>
        <v>1</v>
      </c>
      <c r="G812" s="1" t="str">
        <f>IFERROR(__xludf.DUMMYFUNCTION("""COMPUTED_VALUE"""),"3 mos")</f>
        <v>3 mos</v>
      </c>
      <c r="H812" s="1" t="str">
        <f>IFERROR(__xludf.DUMMYFUNCTION("""COMPUTED_VALUE"""),"comment")</f>
        <v>comment</v>
      </c>
      <c r="I812"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2" s="1" t="str">
        <f>IFERROR(__xludf.DUMMYFUNCTION("""COMPUTED_VALUE"""),"2022-07-04T11:16:08.716Z")</f>
        <v>2022-07-04T11:16:08.716Z</v>
      </c>
      <c r="K812" s="1"/>
    </row>
    <row r="813">
      <c r="A813" s="2" t="str">
        <f>IFERROR(__xludf.DUMMYFUNCTION("""COMPUTED_VALUE"""),"https://www.facebook.com/rose.orain")</f>
        <v>https://www.facebook.com/rose.orain</v>
      </c>
      <c r="B813" s="1" t="str">
        <f>IFERROR(__xludf.DUMMYFUNCTION("""COMPUTED_VALUE"""),"Sweetty Pie Dz Roze")</f>
        <v>Sweetty Pie Dz Roze</v>
      </c>
      <c r="C813" s="1" t="str">
        <f>IFERROR(__xludf.DUMMYFUNCTION("""COMPUTED_VALUE"""),"Sweetty")</f>
        <v>Sweetty</v>
      </c>
      <c r="D813" s="1" t="str">
        <f>IFERROR(__xludf.DUMMYFUNCTION("""COMPUTED_VALUE"""),"Pie Dz Roze")</f>
        <v>Pie Dz Roze</v>
      </c>
      <c r="E813" s="1" t="str">
        <f>IFERROR(__xludf.DUMMYFUNCTION("""COMPUTED_VALUE"""),"For me,dynasty is the best 👍because if we want to improve our towns or city.madali lang malapitan ang familya mo.ang projects  tutulungan ka kaya madali lang maaprove.pero paghindi ka kadikit at iba and partido mo. Hindi ka tutulungan.that's politics.")</f>
        <v>For me,dynasty is the best 👍because if we want to improve our towns or city.madali lang malapitan ang familya mo.ang projects  tutulungan ka kaya madali lang maaprove.pero paghindi ka kadikit at iba and partido mo. Hindi ka tutulungan.that's politics.</v>
      </c>
      <c r="F813" s="1">
        <f>IFERROR(__xludf.DUMMYFUNCTION("""COMPUTED_VALUE"""),9.0)</f>
        <v>9</v>
      </c>
      <c r="G813" s="1" t="str">
        <f>IFERROR(__xludf.DUMMYFUNCTION("""COMPUTED_VALUE"""),"3 mos")</f>
        <v>3 mos</v>
      </c>
      <c r="H813" s="1" t="str">
        <f>IFERROR(__xludf.DUMMYFUNCTION("""COMPUTED_VALUE"""),"comment")</f>
        <v>comment</v>
      </c>
      <c r="I813"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3" s="1" t="str">
        <f>IFERROR(__xludf.DUMMYFUNCTION("""COMPUTED_VALUE"""),"2022-07-04T11:16:08.716Z")</f>
        <v>2022-07-04T11:16:08.716Z</v>
      </c>
      <c r="K813" s="1"/>
    </row>
    <row r="814">
      <c r="A814" s="2" t="str">
        <f>IFERROR(__xludf.DUMMYFUNCTION("""COMPUTED_VALUE"""),"https://www.facebook.com/virgenia.estrada.1")</f>
        <v>https://www.facebook.com/virgenia.estrada.1</v>
      </c>
      <c r="B814" s="1" t="str">
        <f>IFERROR(__xludf.DUMMYFUNCTION("""COMPUTED_VALUE"""),"Virginia Estrada")</f>
        <v>Virginia Estrada</v>
      </c>
      <c r="C814" s="1" t="str">
        <f>IFERROR(__xludf.DUMMYFUNCTION("""COMPUTED_VALUE"""),"Virginia")</f>
        <v>Virginia</v>
      </c>
      <c r="D814" s="1" t="str">
        <f>IFERROR(__xludf.DUMMYFUNCTION("""COMPUTED_VALUE"""),"Estrada")</f>
        <v>Estrada</v>
      </c>
      <c r="E814" s="1" t="str">
        <f>IFERROR(__xludf.DUMMYFUNCTION("""COMPUTED_VALUE"""),"Serbisyo nila ang hinahanap ng mamamayan kaya sila binoboto at  pinipili ng mga Ilokano hindi sila sugarol kgya ng ibang poltiko")</f>
        <v>Serbisyo nila ang hinahanap ng mamamayan kaya sila binoboto at  pinipili ng mga Ilokano hindi sila sugarol kgya ng ibang poltiko</v>
      </c>
      <c r="F814" s="1">
        <f>IFERROR(__xludf.DUMMYFUNCTION("""COMPUTED_VALUE"""),14.0)</f>
        <v>14</v>
      </c>
      <c r="G814" s="1" t="str">
        <f>IFERROR(__xludf.DUMMYFUNCTION("""COMPUTED_VALUE"""),"3 mos")</f>
        <v>3 mos</v>
      </c>
      <c r="H814" s="1" t="str">
        <f>IFERROR(__xludf.DUMMYFUNCTION("""COMPUTED_VALUE"""),"comment")</f>
        <v>comment</v>
      </c>
      <c r="I814"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4" s="1" t="str">
        <f>IFERROR(__xludf.DUMMYFUNCTION("""COMPUTED_VALUE"""),"2022-07-04T11:16:08.716Z")</f>
        <v>2022-07-04T11:16:08.716Z</v>
      </c>
      <c r="K814" s="1"/>
    </row>
    <row r="815">
      <c r="A815" s="2" t="str">
        <f>IFERROR(__xludf.DUMMYFUNCTION("""COMPUTED_VALUE"""),"https://www.facebook.com/profile.php?id=100007389911616")</f>
        <v>https://www.facebook.com/profile.php?id=100007389911616</v>
      </c>
      <c r="B815" s="1" t="str">
        <f>IFERROR(__xludf.DUMMYFUNCTION("""COMPUTED_VALUE"""),"Omar Castro")</f>
        <v>Omar Castro</v>
      </c>
      <c r="C815" s="1" t="str">
        <f>IFERROR(__xludf.DUMMYFUNCTION("""COMPUTED_VALUE"""),"Omar")</f>
        <v>Omar</v>
      </c>
      <c r="D815" s="1" t="str">
        <f>IFERROR(__xludf.DUMMYFUNCTION("""COMPUTED_VALUE"""),"Castro")</f>
        <v>Castro</v>
      </c>
      <c r="E815" s="1" t="str">
        <f>IFERROR(__xludf.DUMMYFUNCTION("""COMPUTED_VALUE"""),"Virginia Estrada ang Tanong bkit Hindi umuunlad ang Probinsya Nila 😉")</f>
        <v>Virginia Estrada ang Tanong bkit Hindi umuunlad ang Probinsya Nila 😉</v>
      </c>
      <c r="F815" s="1">
        <f>IFERROR(__xludf.DUMMYFUNCTION("""COMPUTED_VALUE"""),3.0)</f>
        <v>3</v>
      </c>
      <c r="G815" s="1" t="str">
        <f>IFERROR(__xludf.DUMMYFUNCTION("""COMPUTED_VALUE"""),"3 mos")</f>
        <v>3 mos</v>
      </c>
      <c r="H815" s="1" t="str">
        <f>IFERROR(__xludf.DUMMYFUNCTION("""COMPUTED_VALUE"""),"reply")</f>
        <v>reply</v>
      </c>
      <c r="I815"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5" s="1" t="str">
        <f>IFERROR(__xludf.DUMMYFUNCTION("""COMPUTED_VALUE"""),"2022-07-04T11:16:08.716Z")</f>
        <v>2022-07-04T11:16:08.716Z</v>
      </c>
      <c r="K815" s="1"/>
    </row>
    <row r="816">
      <c r="A816" s="2" t="str">
        <f>IFERROR(__xludf.DUMMYFUNCTION("""COMPUTED_VALUE"""),"https://www.facebook.com/virgenia.estrada.1")</f>
        <v>https://www.facebook.com/virgenia.estrada.1</v>
      </c>
      <c r="B816" s="1" t="str">
        <f>IFERROR(__xludf.DUMMYFUNCTION("""COMPUTED_VALUE"""),"Virginia Estrada")</f>
        <v>Virginia Estrada</v>
      </c>
      <c r="C816" s="1" t="str">
        <f>IFERROR(__xludf.DUMMYFUNCTION("""COMPUTED_VALUE"""),"Virginia")</f>
        <v>Virginia</v>
      </c>
      <c r="D816" s="1" t="str">
        <f>IFERROR(__xludf.DUMMYFUNCTION("""COMPUTED_VALUE"""),"Estrada")</f>
        <v>Estrada</v>
      </c>
      <c r="E816" s="1" t="str">
        <f>IFERROR(__xludf.DUMMYFUNCTION("""COMPUTED_VALUE"""),"Omar Castro ikaw lng ang may sabi at mga kakampink")</f>
        <v>Omar Castro ikaw lng ang may sabi at mga kakampink</v>
      </c>
      <c r="F816" s="1">
        <f>IFERROR(__xludf.DUMMYFUNCTION("""COMPUTED_VALUE"""),4.0)</f>
        <v>4</v>
      </c>
      <c r="G816" s="1" t="str">
        <f>IFERROR(__xludf.DUMMYFUNCTION("""COMPUTED_VALUE"""),"3 mos")</f>
        <v>3 mos</v>
      </c>
      <c r="H816" s="1" t="str">
        <f>IFERROR(__xludf.DUMMYFUNCTION("""COMPUTED_VALUE"""),"reply")</f>
        <v>reply</v>
      </c>
      <c r="I816"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6" s="1" t="str">
        <f>IFERROR(__xludf.DUMMYFUNCTION("""COMPUTED_VALUE"""),"2022-07-04T11:16:08.716Z")</f>
        <v>2022-07-04T11:16:08.716Z</v>
      </c>
      <c r="K816" s="1"/>
    </row>
    <row r="817">
      <c r="A817" s="2" t="str">
        <f>IFERROR(__xludf.DUMMYFUNCTION("""COMPUTED_VALUE"""),"https://www.facebook.com/ramon.l.escueta")</f>
        <v>https://www.facebook.com/ramon.l.escueta</v>
      </c>
      <c r="B817" s="1" t="str">
        <f>IFERROR(__xludf.DUMMYFUNCTION("""COMPUTED_VALUE"""),"Ramon L. Escueta")</f>
        <v>Ramon L. Escueta</v>
      </c>
      <c r="C817" s="1" t="str">
        <f>IFERROR(__xludf.DUMMYFUNCTION("""COMPUTED_VALUE"""),"Ramon")</f>
        <v>Ramon</v>
      </c>
      <c r="D817" s="1" t="str">
        <f>IFERROR(__xludf.DUMMYFUNCTION("""COMPUTED_VALUE"""),"L. Escueta")</f>
        <v>L. Escueta</v>
      </c>
      <c r="E817" s="1" t="str">
        <f>IFERROR(__xludf.DUMMYFUNCTION("""COMPUTED_VALUE"""),"Politics is very profitable business😀")</f>
        <v>Politics is very profitable business😀</v>
      </c>
      <c r="F817" s="1">
        <f>IFERROR(__xludf.DUMMYFUNCTION("""COMPUTED_VALUE"""),9.0)</f>
        <v>9</v>
      </c>
      <c r="G817" s="1" t="str">
        <f>IFERROR(__xludf.DUMMYFUNCTION("""COMPUTED_VALUE"""),"3 mos")</f>
        <v>3 mos</v>
      </c>
      <c r="H817" s="1" t="str">
        <f>IFERROR(__xludf.DUMMYFUNCTION("""COMPUTED_VALUE"""),"comment")</f>
        <v>comment</v>
      </c>
      <c r="I817"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7" s="1" t="str">
        <f>IFERROR(__xludf.DUMMYFUNCTION("""COMPUTED_VALUE"""),"2022-07-04T11:16:08.716Z")</f>
        <v>2022-07-04T11:16:08.716Z</v>
      </c>
      <c r="K817" s="1"/>
    </row>
    <row r="818">
      <c r="A818" s="2" t="str">
        <f>IFERROR(__xludf.DUMMYFUNCTION("""COMPUTED_VALUE"""),"https://www.facebook.com/rapkarl04")</f>
        <v>https://www.facebook.com/rapkarl04</v>
      </c>
      <c r="B818" s="1" t="str">
        <f>IFERROR(__xludf.DUMMYFUNCTION("""COMPUTED_VALUE"""),"Ralphs Carlo Centeno")</f>
        <v>Ralphs Carlo Centeno</v>
      </c>
      <c r="C818" s="1" t="str">
        <f>IFERROR(__xludf.DUMMYFUNCTION("""COMPUTED_VALUE"""),"Ralphs")</f>
        <v>Ralphs</v>
      </c>
      <c r="D818" s="1" t="str">
        <f>IFERROR(__xludf.DUMMYFUNCTION("""COMPUTED_VALUE"""),"Carlo Centeno")</f>
        <v>Carlo Centeno</v>
      </c>
      <c r="E818" s="1" t="str">
        <f>IFERROR(__xludf.DUMMYFUNCTION("""COMPUTED_VALUE"""),"Kleptocracy is a government whose corrupt leaders use political power to appropriate the wealth of the people and land they govern, typically by embezzling or misappropriating government funds at the expense of the wider population.🚩")</f>
        <v>Kleptocracy is a government whose corrupt leaders use political power to appropriate the wealth of the people and land they govern, typically by embezzling or misappropriating government funds at the expense of the wider population.🚩</v>
      </c>
      <c r="F818" s="1">
        <f>IFERROR(__xludf.DUMMYFUNCTION("""COMPUTED_VALUE"""),12.0)</f>
        <v>12</v>
      </c>
      <c r="G818" s="1" t="str">
        <f>IFERROR(__xludf.DUMMYFUNCTION("""COMPUTED_VALUE"""),"3 mos")</f>
        <v>3 mos</v>
      </c>
      <c r="H818" s="1" t="str">
        <f>IFERROR(__xludf.DUMMYFUNCTION("""COMPUTED_VALUE"""),"comment")</f>
        <v>comment</v>
      </c>
      <c r="I818"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8" s="1" t="str">
        <f>IFERROR(__xludf.DUMMYFUNCTION("""COMPUTED_VALUE"""),"2022-07-04T11:16:08.716Z")</f>
        <v>2022-07-04T11:16:08.716Z</v>
      </c>
      <c r="K818" s="1"/>
    </row>
    <row r="819">
      <c r="A819" s="2" t="str">
        <f>IFERROR(__xludf.DUMMYFUNCTION("""COMPUTED_VALUE"""),"https://www.facebook.com/rodel.franco.925")</f>
        <v>https://www.facebook.com/rodel.franco.925</v>
      </c>
      <c r="B819" s="1" t="str">
        <f>IFERROR(__xludf.DUMMYFUNCTION("""COMPUTED_VALUE"""),"Franco Del")</f>
        <v>Franco Del</v>
      </c>
      <c r="C819" s="1" t="str">
        <f>IFERROR(__xludf.DUMMYFUNCTION("""COMPUTED_VALUE"""),"Franco")</f>
        <v>Franco</v>
      </c>
      <c r="D819" s="1" t="str">
        <f>IFERROR(__xludf.DUMMYFUNCTION("""COMPUTED_VALUE"""),"Del")</f>
        <v>Del</v>
      </c>
      <c r="E819" s="1" t="str">
        <f>IFERROR(__xludf.DUMMYFUNCTION("""COMPUTED_VALUE"""),"Fariñas are far better than Marcoses")</f>
        <v>Fariñas are far better than Marcoses</v>
      </c>
      <c r="F819" s="1">
        <f>IFERROR(__xludf.DUMMYFUNCTION("""COMPUTED_VALUE"""),7.0)</f>
        <v>7</v>
      </c>
      <c r="G819" s="1" t="str">
        <f>IFERROR(__xludf.DUMMYFUNCTION("""COMPUTED_VALUE"""),"3 mos")</f>
        <v>3 mos</v>
      </c>
      <c r="H819" s="1" t="str">
        <f>IFERROR(__xludf.DUMMYFUNCTION("""COMPUTED_VALUE"""),"comment")</f>
        <v>comment</v>
      </c>
      <c r="I819"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19" s="1" t="str">
        <f>IFERROR(__xludf.DUMMYFUNCTION("""COMPUTED_VALUE"""),"2022-07-04T11:16:08.716Z")</f>
        <v>2022-07-04T11:16:08.716Z</v>
      </c>
      <c r="K819" s="1"/>
    </row>
    <row r="820">
      <c r="A820" s="2" t="str">
        <f>IFERROR(__xludf.DUMMYFUNCTION("""COMPUTED_VALUE"""),"https://www.facebook.com/profile.php?id=100002846509290")</f>
        <v>https://www.facebook.com/profile.php?id=100002846509290</v>
      </c>
      <c r="B820" s="1" t="str">
        <f>IFERROR(__xludf.DUMMYFUNCTION("""COMPUTED_VALUE"""),"Teng Vic Kabisote")</f>
        <v>Teng Vic Kabisote</v>
      </c>
      <c r="C820" s="1" t="str">
        <f>IFERROR(__xludf.DUMMYFUNCTION("""COMPUTED_VALUE"""),"Teng")</f>
        <v>Teng</v>
      </c>
      <c r="D820" s="1" t="str">
        <f>IFERROR(__xludf.DUMMYFUNCTION("""COMPUTED_VALUE"""),"Vic Kabisote")</f>
        <v>Vic Kabisote</v>
      </c>
      <c r="E820" s="1" t="str">
        <f>IFERROR(__xludf.DUMMYFUNCTION("""COMPUTED_VALUE"""),"Tumakbo kau sa ilocos norte, para may choice sila.. 😂🤣😂😂")</f>
        <v>Tumakbo kau sa ilocos norte, para may choice sila.. 😂🤣😂😂</v>
      </c>
      <c r="F820" s="1"/>
      <c r="G820" s="1" t="str">
        <f>IFERROR(__xludf.DUMMYFUNCTION("""COMPUTED_VALUE"""),"3 mos")</f>
        <v>3 mos</v>
      </c>
      <c r="H820" s="1" t="str">
        <f>IFERROR(__xludf.DUMMYFUNCTION("""COMPUTED_VALUE"""),"comment")</f>
        <v>comment</v>
      </c>
      <c r="I820"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0" s="1" t="str">
        <f>IFERROR(__xludf.DUMMYFUNCTION("""COMPUTED_VALUE"""),"2022-07-04T11:16:08.717Z")</f>
        <v>2022-07-04T11:16:08.717Z</v>
      </c>
      <c r="K820" s="1"/>
    </row>
    <row r="821">
      <c r="A821" s="2" t="str">
        <f>IFERROR(__xludf.DUMMYFUNCTION("""COMPUTED_VALUE"""),"https://www.facebook.com/0menP0")</f>
        <v>https://www.facebook.com/0menP0</v>
      </c>
      <c r="B821" s="1" t="str">
        <f>IFERROR(__xludf.DUMMYFUNCTION("""COMPUTED_VALUE"""),"Omen Po")</f>
        <v>Omen Po</v>
      </c>
      <c r="C821" s="1" t="str">
        <f>IFERROR(__xludf.DUMMYFUNCTION("""COMPUTED_VALUE"""),"Omen")</f>
        <v>Omen</v>
      </c>
      <c r="D821" s="1" t="str">
        <f>IFERROR(__xludf.DUMMYFUNCTION("""COMPUTED_VALUE"""),"Po")</f>
        <v>Po</v>
      </c>
      <c r="E821" s="1" t="str">
        <f>IFERROR(__xludf.DUMMYFUNCTION("""COMPUTED_VALUE"""),"Ang malas naman pala talaga ng mga taga Ilocos Norte... namimili kung sinong buwaya ang ihahalal")</f>
        <v>Ang malas naman pala talaga ng mga taga Ilocos Norte... namimili kung sinong buwaya ang ihahalal</v>
      </c>
      <c r="F821" s="1">
        <f>IFERROR(__xludf.DUMMYFUNCTION("""COMPUTED_VALUE"""),7.0)</f>
        <v>7</v>
      </c>
      <c r="G821" s="1" t="str">
        <f>IFERROR(__xludf.DUMMYFUNCTION("""COMPUTED_VALUE"""),"3 mos")</f>
        <v>3 mos</v>
      </c>
      <c r="H821" s="1" t="str">
        <f>IFERROR(__xludf.DUMMYFUNCTION("""COMPUTED_VALUE"""),"comment")</f>
        <v>comment</v>
      </c>
      <c r="I821"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1" s="1" t="str">
        <f>IFERROR(__xludf.DUMMYFUNCTION("""COMPUTED_VALUE"""),"2022-07-04T11:16:08.717Z")</f>
        <v>2022-07-04T11:16:08.717Z</v>
      </c>
      <c r="K821" s="1"/>
    </row>
    <row r="822">
      <c r="A822" s="2" t="str">
        <f>IFERROR(__xludf.DUMMYFUNCTION("""COMPUTED_VALUE"""),"https://www.facebook.com/jun.dizon.129")</f>
        <v>https://www.facebook.com/jun.dizon.129</v>
      </c>
      <c r="B822" s="1" t="str">
        <f>IFERROR(__xludf.DUMMYFUNCTION("""COMPUTED_VALUE"""),"Jun Dizon")</f>
        <v>Jun Dizon</v>
      </c>
      <c r="C822" s="1" t="str">
        <f>IFERROR(__xludf.DUMMYFUNCTION("""COMPUTED_VALUE"""),"Jun")</f>
        <v>Jun</v>
      </c>
      <c r="D822" s="1" t="str">
        <f>IFERROR(__xludf.DUMMYFUNCTION("""COMPUTED_VALUE"""),"Dizon")</f>
        <v>Dizon</v>
      </c>
      <c r="E822" s="1" t="str">
        <f>IFERROR(__xludf.DUMMYFUNCTION("""COMPUTED_VALUE"""),"Hindi kayo kasama sa plano nila…pamilya lang nila ang poprotektahan nila")</f>
        <v>Hindi kayo kasama sa plano nila…pamilya lang nila ang poprotektahan nila</v>
      </c>
      <c r="F822" s="1">
        <f>IFERROR(__xludf.DUMMYFUNCTION("""COMPUTED_VALUE"""),2.0)</f>
        <v>2</v>
      </c>
      <c r="G822" s="1" t="str">
        <f>IFERROR(__xludf.DUMMYFUNCTION("""COMPUTED_VALUE"""),"3 mos")</f>
        <v>3 mos</v>
      </c>
      <c r="H822" s="1" t="str">
        <f>IFERROR(__xludf.DUMMYFUNCTION("""COMPUTED_VALUE"""),"comment")</f>
        <v>comment</v>
      </c>
      <c r="I822"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2" s="1" t="str">
        <f>IFERROR(__xludf.DUMMYFUNCTION("""COMPUTED_VALUE"""),"2022-07-04T11:16:08.717Z")</f>
        <v>2022-07-04T11:16:08.717Z</v>
      </c>
      <c r="K822" s="1"/>
    </row>
    <row r="823">
      <c r="A823" s="2" t="str">
        <f>IFERROR(__xludf.DUMMYFUNCTION("""COMPUTED_VALUE"""),"https://www.facebook.com/nes.jularbal.69")</f>
        <v>https://www.facebook.com/nes.jularbal.69</v>
      </c>
      <c r="B823" s="1" t="str">
        <f>IFERROR(__xludf.DUMMYFUNCTION("""COMPUTED_VALUE"""),"Nes Jularbal")</f>
        <v>Nes Jularbal</v>
      </c>
      <c r="C823" s="1" t="str">
        <f>IFERROR(__xludf.DUMMYFUNCTION("""COMPUTED_VALUE"""),"Nes")</f>
        <v>Nes</v>
      </c>
      <c r="D823" s="1" t="str">
        <f>IFERROR(__xludf.DUMMYFUNCTION("""COMPUTED_VALUE"""),"Jularbal")</f>
        <v>Jularbal</v>
      </c>
      <c r="E823" s="1" t="str">
        <f>IFERROR(__xludf.DUMMYFUNCTION("""COMPUTED_VALUE"""),"Magtiis kayo. Gusto niyo yan e. 4th CLASS FOREVER!! 🤣🤣🤣")</f>
        <v>Magtiis kayo. Gusto niyo yan e. 4th CLASS FOREVER!! 🤣🤣🤣</v>
      </c>
      <c r="F823" s="1"/>
      <c r="G823" s="1" t="str">
        <f>IFERROR(__xludf.DUMMYFUNCTION("""COMPUTED_VALUE"""),"3 mos")</f>
        <v>3 mos</v>
      </c>
      <c r="H823" s="1" t="str">
        <f>IFERROR(__xludf.DUMMYFUNCTION("""COMPUTED_VALUE"""),"comment")</f>
        <v>comment</v>
      </c>
      <c r="I823"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3" s="1" t="str">
        <f>IFERROR(__xludf.DUMMYFUNCTION("""COMPUTED_VALUE"""),"2022-07-04T11:16:08.717Z")</f>
        <v>2022-07-04T11:16:08.717Z</v>
      </c>
      <c r="K823" s="1"/>
    </row>
    <row r="824">
      <c r="A824" s="2" t="str">
        <f>IFERROR(__xludf.DUMMYFUNCTION("""COMPUTED_VALUE"""),"https://www.facebook.com/antondee60")</f>
        <v>https://www.facebook.com/antondee60</v>
      </c>
      <c r="B824" s="1" t="str">
        <f>IFERROR(__xludf.DUMMYFUNCTION("""COMPUTED_VALUE"""),"Antonio Dee")</f>
        <v>Antonio Dee</v>
      </c>
      <c r="C824" s="1" t="str">
        <f>IFERROR(__xludf.DUMMYFUNCTION("""COMPUTED_VALUE"""),"Antonio")</f>
        <v>Antonio</v>
      </c>
      <c r="D824" s="1" t="str">
        <f>IFERROR(__xludf.DUMMYFUNCTION("""COMPUTED_VALUE"""),"Dee")</f>
        <v>Dee</v>
      </c>
      <c r="E824" s="1" t="str">
        <f>IFERROR(__xludf.DUMMYFUNCTION("""COMPUTED_VALUE"""),"Political dynasty strategy is for people to remain poor so they could buy their vote easily")</f>
        <v>Political dynasty strategy is for people to remain poor so they could buy their vote easily</v>
      </c>
      <c r="F824" s="1">
        <f>IFERROR(__xludf.DUMMYFUNCTION("""COMPUTED_VALUE"""),19.0)</f>
        <v>19</v>
      </c>
      <c r="G824" s="1" t="str">
        <f>IFERROR(__xludf.DUMMYFUNCTION("""COMPUTED_VALUE"""),"3 mos")</f>
        <v>3 mos</v>
      </c>
      <c r="H824" s="1" t="str">
        <f>IFERROR(__xludf.DUMMYFUNCTION("""COMPUTED_VALUE"""),"comment")</f>
        <v>comment</v>
      </c>
      <c r="I824"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4" s="1" t="str">
        <f>IFERROR(__xludf.DUMMYFUNCTION("""COMPUTED_VALUE"""),"2022-07-04T11:16:08.717Z")</f>
        <v>2022-07-04T11:16:08.717Z</v>
      </c>
      <c r="K824" s="1"/>
    </row>
    <row r="825">
      <c r="A825" s="2" t="str">
        <f>IFERROR(__xludf.DUMMYFUNCTION("""COMPUTED_VALUE"""),"https://www.facebook.com/DBTunacao")</f>
        <v>https://www.facebook.com/DBTunacao</v>
      </c>
      <c r="B825" s="1" t="str">
        <f>IFERROR(__xludf.DUMMYFUNCTION("""COMPUTED_VALUE"""),"DB Tunacao")</f>
        <v>DB Tunacao</v>
      </c>
      <c r="C825" s="1" t="str">
        <f>IFERROR(__xludf.DUMMYFUNCTION("""COMPUTED_VALUE"""),"DB")</f>
        <v>DB</v>
      </c>
      <c r="D825" s="1" t="str">
        <f>IFERROR(__xludf.DUMMYFUNCTION("""COMPUTED_VALUE"""),"Tunacao")</f>
        <v>Tunacao</v>
      </c>
      <c r="E825" s="1" t="str">
        <f>IFERROR(__xludf.DUMMYFUNCTION("""COMPUTED_VALUE"""),"Antonio Dee true")</f>
        <v>Antonio Dee true</v>
      </c>
      <c r="F825" s="1"/>
      <c r="G825" s="1" t="str">
        <f>IFERROR(__xludf.DUMMYFUNCTION("""COMPUTED_VALUE"""),"3 mos")</f>
        <v>3 mos</v>
      </c>
      <c r="H825" s="1" t="str">
        <f>IFERROR(__xludf.DUMMYFUNCTION("""COMPUTED_VALUE"""),"reply")</f>
        <v>reply</v>
      </c>
      <c r="I825"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5" s="1" t="str">
        <f>IFERROR(__xludf.DUMMYFUNCTION("""COMPUTED_VALUE"""),"2022-07-04T11:16:08.717Z")</f>
        <v>2022-07-04T11:16:08.717Z</v>
      </c>
      <c r="K825" s="1"/>
    </row>
    <row r="826">
      <c r="A826" s="2" t="str">
        <f>IFERROR(__xludf.DUMMYFUNCTION("""COMPUTED_VALUE"""),"https://www.facebook.com/ZenUnchi")</f>
        <v>https://www.facebook.com/ZenUnchi</v>
      </c>
      <c r="B826" s="1" t="str">
        <f>IFERROR(__xludf.DUMMYFUNCTION("""COMPUTED_VALUE"""),"Mackerz San Diego Racuya")</f>
        <v>Mackerz San Diego Racuya</v>
      </c>
      <c r="C826" s="1" t="str">
        <f>IFERROR(__xludf.DUMMYFUNCTION("""COMPUTED_VALUE"""),"Mackerz")</f>
        <v>Mackerz</v>
      </c>
      <c r="D826" s="1" t="str">
        <f>IFERROR(__xludf.DUMMYFUNCTION("""COMPUTED_VALUE"""),"San Diego Racuya")</f>
        <v>San Diego Racuya</v>
      </c>
      <c r="E826" s="1" t="str">
        <f>IFERROR(__xludf.DUMMYFUNCTION("""COMPUTED_VALUE"""),"We are Filipinos living in a Democratic country so Let the people decide!!! May political Dynasty kc cla ang gustong iboto ng tao, kaya hnd ang politiko ang May dahilan ng Dynasty..pag ayaw s politiko wag iboto un lng un")</f>
        <v>We are Filipinos living in a Democratic country so Let the people decide!!! May political Dynasty kc cla ang gustong iboto ng tao, kaya hnd ang politiko ang May dahilan ng Dynasty..pag ayaw s politiko wag iboto un lng un</v>
      </c>
      <c r="F826" s="1"/>
      <c r="G826" s="1" t="str">
        <f>IFERROR(__xludf.DUMMYFUNCTION("""COMPUTED_VALUE"""),"3 mos")</f>
        <v>3 mos</v>
      </c>
      <c r="H826" s="1" t="str">
        <f>IFERROR(__xludf.DUMMYFUNCTION("""COMPUTED_VALUE"""),"comment")</f>
        <v>comment</v>
      </c>
      <c r="I826"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6" s="1" t="str">
        <f>IFERROR(__xludf.DUMMYFUNCTION("""COMPUTED_VALUE"""),"2022-07-04T11:16:08.717Z")</f>
        <v>2022-07-04T11:16:08.717Z</v>
      </c>
      <c r="K826" s="1"/>
    </row>
    <row r="827">
      <c r="A827" s="2" t="str">
        <f>IFERROR(__xludf.DUMMYFUNCTION("""COMPUTED_VALUE"""),"https://www.facebook.com/oteng.gai")</f>
        <v>https://www.facebook.com/oteng.gai</v>
      </c>
      <c r="B827" s="1" t="str">
        <f>IFERROR(__xludf.DUMMYFUNCTION("""COMPUTED_VALUE"""),"Oteng Gai")</f>
        <v>Oteng Gai</v>
      </c>
      <c r="C827" s="1" t="str">
        <f>IFERROR(__xludf.DUMMYFUNCTION("""COMPUTED_VALUE"""),"Oteng")</f>
        <v>Oteng</v>
      </c>
      <c r="D827" s="1" t="str">
        <f>IFERROR(__xludf.DUMMYFUNCTION("""COMPUTED_VALUE"""),"Gai")</f>
        <v>Gai</v>
      </c>
      <c r="E827" s="1" t="str">
        <f>IFERROR(__xludf.DUMMYFUNCTION("""COMPUTED_VALUE"""),"Ano nangyari s political dynasty ni digong")</f>
        <v>Ano nangyari s political dynasty ni digong</v>
      </c>
      <c r="F827" s="1"/>
      <c r="G827" s="1" t="str">
        <f>IFERROR(__xludf.DUMMYFUNCTION("""COMPUTED_VALUE"""),"3 mos")</f>
        <v>3 mos</v>
      </c>
      <c r="H827" s="1" t="str">
        <f>IFERROR(__xludf.DUMMYFUNCTION("""COMPUTED_VALUE"""),"comment")</f>
        <v>comment</v>
      </c>
      <c r="I827"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7" s="1" t="str">
        <f>IFERROR(__xludf.DUMMYFUNCTION("""COMPUTED_VALUE"""),"2022-07-04T11:16:08.717Z")</f>
        <v>2022-07-04T11:16:08.717Z</v>
      </c>
      <c r="K827" s="1"/>
    </row>
    <row r="828">
      <c r="A828" s="2" t="str">
        <f>IFERROR(__xludf.DUMMYFUNCTION("""COMPUTED_VALUE"""),"https://www.facebook.com/Derolferrot")</f>
        <v>https://www.facebook.com/Derolferrot</v>
      </c>
      <c r="B828" s="1" t="str">
        <f>IFERROR(__xludf.DUMMYFUNCTION("""COMPUTED_VALUE"""),"Roland Dela Torre")</f>
        <v>Roland Dela Torre</v>
      </c>
      <c r="C828" s="1" t="str">
        <f>IFERROR(__xludf.DUMMYFUNCTION("""COMPUTED_VALUE"""),"Roland")</f>
        <v>Roland</v>
      </c>
      <c r="D828" s="1" t="str">
        <f>IFERROR(__xludf.DUMMYFUNCTION("""COMPUTED_VALUE"""),"Dela Torre")</f>
        <v>Dela Torre</v>
      </c>
      <c r="E828" s="1" t="str">
        <f>IFERROR(__xludf.DUMMYFUNCTION("""COMPUTED_VALUE"""),"Bagong dugo sana sa Ilocos. Baka mareporma pa yan.")</f>
        <v>Bagong dugo sana sa Ilocos. Baka mareporma pa yan.</v>
      </c>
      <c r="F828" s="1">
        <f>IFERROR(__xludf.DUMMYFUNCTION("""COMPUTED_VALUE"""),11.0)</f>
        <v>11</v>
      </c>
      <c r="G828" s="1" t="str">
        <f>IFERROR(__xludf.DUMMYFUNCTION("""COMPUTED_VALUE"""),"3 mos")</f>
        <v>3 mos</v>
      </c>
      <c r="H828" s="1" t="str">
        <f>IFERROR(__xludf.DUMMYFUNCTION("""COMPUTED_VALUE"""),"comment")</f>
        <v>comment</v>
      </c>
      <c r="I828"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8" s="1" t="str">
        <f>IFERROR(__xludf.DUMMYFUNCTION("""COMPUTED_VALUE"""),"2022-07-04T11:16:08.717Z")</f>
        <v>2022-07-04T11:16:08.717Z</v>
      </c>
      <c r="K828" s="1"/>
    </row>
    <row r="829">
      <c r="A829" s="2" t="str">
        <f>IFERROR(__xludf.DUMMYFUNCTION("""COMPUTED_VALUE"""),"https://www.facebook.com/henkendeman")</f>
        <v>https://www.facebook.com/henkendeman</v>
      </c>
      <c r="B829" s="1" t="str">
        <f>IFERROR(__xludf.DUMMYFUNCTION("""COMPUTED_VALUE"""),"Hendrik Endeman")</f>
        <v>Hendrik Endeman</v>
      </c>
      <c r="C829" s="1" t="str">
        <f>IFERROR(__xludf.DUMMYFUNCTION("""COMPUTED_VALUE"""),"Hendrik")</f>
        <v>Hendrik</v>
      </c>
      <c r="D829" s="1" t="str">
        <f>IFERROR(__xludf.DUMMYFUNCTION("""COMPUTED_VALUE"""),"Endeman")</f>
        <v>Endeman</v>
      </c>
      <c r="E829" s="1" t="str">
        <f>IFERROR(__xludf.DUMMYFUNCTION("""COMPUTED_VALUE"""),"Away with dynasties !!!")</f>
        <v>Away with dynasties !!!</v>
      </c>
      <c r="F829" s="1"/>
      <c r="G829" s="1" t="str">
        <f>IFERROR(__xludf.DUMMYFUNCTION("""COMPUTED_VALUE"""),"3 mos")</f>
        <v>3 mos</v>
      </c>
      <c r="H829" s="1" t="str">
        <f>IFERROR(__xludf.DUMMYFUNCTION("""COMPUTED_VALUE"""),"comment")</f>
        <v>comment</v>
      </c>
      <c r="I829"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29" s="1" t="str">
        <f>IFERROR(__xludf.DUMMYFUNCTION("""COMPUTED_VALUE"""),"2022-07-04T11:16:08.717Z")</f>
        <v>2022-07-04T11:16:08.717Z</v>
      </c>
      <c r="K829" s="1"/>
    </row>
    <row r="830">
      <c r="A830" s="2" t="str">
        <f>IFERROR(__xludf.DUMMYFUNCTION("""COMPUTED_VALUE"""),"https://www.facebook.com/profile.php?id=100078647222981")</f>
        <v>https://www.facebook.com/profile.php?id=100078647222981</v>
      </c>
      <c r="B830" s="1" t="str">
        <f>IFERROR(__xludf.DUMMYFUNCTION("""COMPUTED_VALUE"""),"Roger Juan Full")</f>
        <v>Roger Juan Full</v>
      </c>
      <c r="C830" s="1" t="str">
        <f>IFERROR(__xludf.DUMMYFUNCTION("""COMPUTED_VALUE"""),"Roger")</f>
        <v>Roger</v>
      </c>
      <c r="D830" s="1" t="str">
        <f>IFERROR(__xludf.DUMMYFUNCTION("""COMPUTED_VALUE"""),"Juan Full")</f>
        <v>Juan Full</v>
      </c>
      <c r="E830" s="1" t="str">
        <f>IFERROR(__xludf.DUMMYFUNCTION("""COMPUTED_VALUE"""),"Kawawang ilocos norte napagkaisahan na iboto nyo pa din until now still 4th class province ang home town ni bleng blong")</f>
        <v>Kawawang ilocos norte napagkaisahan na iboto nyo pa din until now still 4th class province ang home town ni bleng blong</v>
      </c>
      <c r="F830" s="1">
        <f>IFERROR(__xludf.DUMMYFUNCTION("""COMPUTED_VALUE"""),11.0)</f>
        <v>11</v>
      </c>
      <c r="G830" s="1" t="str">
        <f>IFERROR(__xludf.DUMMYFUNCTION("""COMPUTED_VALUE"""),"3 mos")</f>
        <v>3 mos</v>
      </c>
      <c r="H830" s="1" t="str">
        <f>IFERROR(__xludf.DUMMYFUNCTION("""COMPUTED_VALUE"""),"comment")</f>
        <v>comment</v>
      </c>
      <c r="I830"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0" s="1" t="str">
        <f>IFERROR(__xludf.DUMMYFUNCTION("""COMPUTED_VALUE"""),"2022-07-04T11:16:08.717Z")</f>
        <v>2022-07-04T11:16:08.717Z</v>
      </c>
      <c r="K830" s="1"/>
    </row>
    <row r="831">
      <c r="A831" s="2" t="str">
        <f>IFERROR(__xludf.DUMMYFUNCTION("""COMPUTED_VALUE"""),"https://www.facebook.com/mabelen.a.cartago")</f>
        <v>https://www.facebook.com/mabelen.a.cartago</v>
      </c>
      <c r="B831" s="1" t="str">
        <f>IFERROR(__xludf.DUMMYFUNCTION("""COMPUTED_VALUE"""),"Maria Belen")</f>
        <v>Maria Belen</v>
      </c>
      <c r="C831" s="1" t="str">
        <f>IFERROR(__xludf.DUMMYFUNCTION("""COMPUTED_VALUE"""),"Maria")</f>
        <v>Maria</v>
      </c>
      <c r="D831" s="1" t="str">
        <f>IFERROR(__xludf.DUMMYFUNCTION("""COMPUTED_VALUE"""),"Belen")</f>
        <v>Belen</v>
      </c>
      <c r="E831" s="1" t="str">
        <f>IFERROR(__xludf.DUMMYFUNCTION("""COMPUTED_VALUE"""),"Mas nakakaalam kayo sa mga  mamamayan ng Ilocos")</f>
        <v>Mas nakakaalam kayo sa mga  mamamayan ng Ilocos</v>
      </c>
      <c r="F831" s="1">
        <f>IFERROR(__xludf.DUMMYFUNCTION("""COMPUTED_VALUE"""),2.0)</f>
        <v>2</v>
      </c>
      <c r="G831" s="1" t="str">
        <f>IFERROR(__xludf.DUMMYFUNCTION("""COMPUTED_VALUE"""),"3 mos")</f>
        <v>3 mos</v>
      </c>
      <c r="H831" s="1" t="str">
        <f>IFERROR(__xludf.DUMMYFUNCTION("""COMPUTED_VALUE"""),"reply")</f>
        <v>reply</v>
      </c>
      <c r="I831"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1" s="1" t="str">
        <f>IFERROR(__xludf.DUMMYFUNCTION("""COMPUTED_VALUE"""),"2022-07-04T11:16:08.717Z")</f>
        <v>2022-07-04T11:16:08.717Z</v>
      </c>
      <c r="K831" s="1"/>
    </row>
    <row r="832">
      <c r="A832" s="2" t="str">
        <f>IFERROR(__xludf.DUMMYFUNCTION("""COMPUTED_VALUE"""),"https://www.facebook.com/pampilo.layson")</f>
        <v>https://www.facebook.com/pampilo.layson</v>
      </c>
      <c r="B832" s="1" t="str">
        <f>IFERROR(__xludf.DUMMYFUNCTION("""COMPUTED_VALUE"""),"Pampilo Layson")</f>
        <v>Pampilo Layson</v>
      </c>
      <c r="C832" s="1" t="str">
        <f>IFERROR(__xludf.DUMMYFUNCTION("""COMPUTED_VALUE"""),"Pampilo")</f>
        <v>Pampilo</v>
      </c>
      <c r="D832" s="1" t="str">
        <f>IFERROR(__xludf.DUMMYFUNCTION("""COMPUTED_VALUE"""),"Layson")</f>
        <v>Layson</v>
      </c>
      <c r="E832" s="1" t="str">
        <f>IFERROR(__xludf.DUMMYFUNCTION("""COMPUTED_VALUE"""),"Maria Belen nasa stats po maam.4th class province..")</f>
        <v>Maria Belen nasa stats po maam.4th class province..</v>
      </c>
      <c r="F832" s="1">
        <f>IFERROR(__xludf.DUMMYFUNCTION("""COMPUTED_VALUE"""),2.0)</f>
        <v>2</v>
      </c>
      <c r="G832" s="1" t="str">
        <f>IFERROR(__xludf.DUMMYFUNCTION("""COMPUTED_VALUE"""),"3 mos")</f>
        <v>3 mos</v>
      </c>
      <c r="H832" s="1" t="str">
        <f>IFERROR(__xludf.DUMMYFUNCTION("""COMPUTED_VALUE"""),"reply")</f>
        <v>reply</v>
      </c>
      <c r="I832"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2" s="1" t="str">
        <f>IFERROR(__xludf.DUMMYFUNCTION("""COMPUTED_VALUE"""),"2022-07-04T11:16:08.717Z")</f>
        <v>2022-07-04T11:16:08.717Z</v>
      </c>
      <c r="K832" s="1"/>
    </row>
    <row r="833">
      <c r="A833" s="2" t="str">
        <f>IFERROR(__xludf.DUMMYFUNCTION("""COMPUTED_VALUE"""),"https://www.facebook.com/profile.php?id=100078745816266")</f>
        <v>https://www.facebook.com/profile.php?id=100078745816266</v>
      </c>
      <c r="B833" s="1" t="str">
        <f>IFERROR(__xludf.DUMMYFUNCTION("""COMPUTED_VALUE"""),"Kalen Daryo")</f>
        <v>Kalen Daryo</v>
      </c>
      <c r="C833" s="1" t="str">
        <f>IFERROR(__xludf.DUMMYFUNCTION("""COMPUTED_VALUE"""),"Kalen")</f>
        <v>Kalen</v>
      </c>
      <c r="D833" s="1" t="str">
        <f>IFERROR(__xludf.DUMMYFUNCTION("""COMPUTED_VALUE"""),"Daryo")</f>
        <v>Daryo</v>
      </c>
      <c r="E833" s="1" t="str">
        <f>IFERROR(__xludf.DUMMYFUNCTION("""COMPUTED_VALUE"""),"Hindi kami kawawa rito sa ilocos,namumuhay kami ng masagana at nakakain ng sobra,kaya pinagbebenta na namin mga sobrang ani para may makain tga syudad, nkakapag aral din")</f>
        <v>Hindi kami kawawa rito sa ilocos,namumuhay kami ng masagana at nakakain ng sobra,kaya pinagbebenta na namin mga sobrang ani para may makain tga syudad, nkakapag aral din</v>
      </c>
      <c r="F833" s="1">
        <f>IFERROR(__xludf.DUMMYFUNCTION("""COMPUTED_VALUE"""),1.0)</f>
        <v>1</v>
      </c>
      <c r="G833" s="1" t="str">
        <f>IFERROR(__xludf.DUMMYFUNCTION("""COMPUTED_VALUE"""),"3 mos")</f>
        <v>3 mos</v>
      </c>
      <c r="H833" s="1" t="str">
        <f>IFERROR(__xludf.DUMMYFUNCTION("""COMPUTED_VALUE"""),"reply")</f>
        <v>reply</v>
      </c>
      <c r="I833"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3" s="1" t="str">
        <f>IFERROR(__xludf.DUMMYFUNCTION("""COMPUTED_VALUE"""),"2022-07-04T11:16:08.717Z")</f>
        <v>2022-07-04T11:16:08.717Z</v>
      </c>
      <c r="K833" s="1"/>
    </row>
    <row r="834">
      <c r="A834" s="2" t="str">
        <f>IFERROR(__xludf.DUMMYFUNCTION("""COMPUTED_VALUE"""),"https://www.facebook.com/cruz.marc.9")</f>
        <v>https://www.facebook.com/cruz.marc.9</v>
      </c>
      <c r="B834" s="1" t="str">
        <f>IFERROR(__xludf.DUMMYFUNCTION("""COMPUTED_VALUE"""),"Cram Zurc")</f>
        <v>Cram Zurc</v>
      </c>
      <c r="C834" s="1" t="str">
        <f>IFERROR(__xludf.DUMMYFUNCTION("""COMPUTED_VALUE"""),"Cram")</f>
        <v>Cram</v>
      </c>
      <c r="D834" s="1" t="str">
        <f>IFERROR(__xludf.DUMMYFUNCTION("""COMPUTED_VALUE"""),"Zurc")</f>
        <v>Zurc</v>
      </c>
      <c r="E834" s="1" t="str">
        <f>IFERROR(__xludf.DUMMYFUNCTION("""COMPUTED_VALUE"""),"Cram Zurc")</f>
        <v>Cram Zurc</v>
      </c>
      <c r="F834" s="1">
        <f>IFERROR(__xludf.DUMMYFUNCTION("""COMPUTED_VALUE"""),1.0)</f>
        <v>1</v>
      </c>
      <c r="G834" s="1" t="str">
        <f>IFERROR(__xludf.DUMMYFUNCTION("""COMPUTED_VALUE"""),"3 mos")</f>
        <v>3 mos</v>
      </c>
      <c r="H834" s="1" t="str">
        <f>IFERROR(__xludf.DUMMYFUNCTION("""COMPUTED_VALUE"""),"comment")</f>
        <v>comment</v>
      </c>
      <c r="I834"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4" s="1" t="str">
        <f>IFERROR(__xludf.DUMMYFUNCTION("""COMPUTED_VALUE"""),"2022-07-04T11:16:08.717Z")</f>
        <v>2022-07-04T11:16:08.717Z</v>
      </c>
      <c r="K834" s="1"/>
    </row>
    <row r="835">
      <c r="A835" s="2" t="str">
        <f>IFERROR(__xludf.DUMMYFUNCTION("""COMPUTED_VALUE"""),"https://www.facebook.com/dan.mendoza.5602")</f>
        <v>https://www.facebook.com/dan.mendoza.5602</v>
      </c>
      <c r="B835" s="1" t="str">
        <f>IFERROR(__xludf.DUMMYFUNCTION("""COMPUTED_VALUE"""),"Dan Don Mendoza")</f>
        <v>Dan Don Mendoza</v>
      </c>
      <c r="C835" s="1" t="str">
        <f>IFERROR(__xludf.DUMMYFUNCTION("""COMPUTED_VALUE"""),"Dan")</f>
        <v>Dan</v>
      </c>
      <c r="D835" s="1" t="str">
        <f>IFERROR(__xludf.DUMMYFUNCTION("""COMPUTED_VALUE"""),"Don Mendoza")</f>
        <v>Don Mendoza</v>
      </c>
      <c r="E835" s="1" t="str">
        <f>IFERROR(__xludf.DUMMYFUNCTION("""COMPUTED_VALUE"""),"Kailan kaya gigising ang mga Ilocano???")</f>
        <v>Kailan kaya gigising ang mga Ilocano???</v>
      </c>
      <c r="F835" s="1"/>
      <c r="G835" s="1" t="str">
        <f>IFERROR(__xludf.DUMMYFUNCTION("""COMPUTED_VALUE"""),"3 mos")</f>
        <v>3 mos</v>
      </c>
      <c r="H835" s="1" t="str">
        <f>IFERROR(__xludf.DUMMYFUNCTION("""COMPUTED_VALUE"""),"comment")</f>
        <v>comment</v>
      </c>
      <c r="I835"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5" s="1" t="str">
        <f>IFERROR(__xludf.DUMMYFUNCTION("""COMPUTED_VALUE"""),"2022-07-04T11:16:08.717Z")</f>
        <v>2022-07-04T11:16:08.717Z</v>
      </c>
      <c r="K835" s="1"/>
    </row>
    <row r="836">
      <c r="A836" s="2" t="str">
        <f>IFERROR(__xludf.DUMMYFUNCTION("""COMPUTED_VALUE"""),"https://www.facebook.com/carlreyes09")</f>
        <v>https://www.facebook.com/carlreyes09</v>
      </c>
      <c r="B836" s="1" t="str">
        <f>IFERROR(__xludf.DUMMYFUNCTION("""COMPUTED_VALUE"""),"Carlzan Jay Reyes")</f>
        <v>Carlzan Jay Reyes</v>
      </c>
      <c r="C836" s="1" t="str">
        <f>IFERROR(__xludf.DUMMYFUNCTION("""COMPUTED_VALUE"""),"Carlzan")</f>
        <v>Carlzan</v>
      </c>
      <c r="D836" s="1" t="str">
        <f>IFERROR(__xludf.DUMMYFUNCTION("""COMPUTED_VALUE"""),"Jay Reyes")</f>
        <v>Jay Reyes</v>
      </c>
      <c r="E836" s="1" t="str">
        <f>IFERROR(__xludf.DUMMYFUNCTION("""COMPUTED_VALUE"""),"Ginawang negosyo ang pulitika. Haha.")</f>
        <v>Ginawang negosyo ang pulitika. Haha.</v>
      </c>
      <c r="F836" s="1">
        <f>IFERROR(__xludf.DUMMYFUNCTION("""COMPUTED_VALUE"""),1.0)</f>
        <v>1</v>
      </c>
      <c r="G836" s="1" t="str">
        <f>IFERROR(__xludf.DUMMYFUNCTION("""COMPUTED_VALUE"""),"3 mos")</f>
        <v>3 mos</v>
      </c>
      <c r="H836" s="1" t="str">
        <f>IFERROR(__xludf.DUMMYFUNCTION("""COMPUTED_VALUE"""),"comment")</f>
        <v>comment</v>
      </c>
      <c r="I836"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6" s="1" t="str">
        <f>IFERROR(__xludf.DUMMYFUNCTION("""COMPUTED_VALUE"""),"2022-07-04T11:16:08.717Z")</f>
        <v>2022-07-04T11:16:08.717Z</v>
      </c>
      <c r="K836" s="1"/>
    </row>
    <row r="837">
      <c r="A837" s="2" t="str">
        <f>IFERROR(__xludf.DUMMYFUNCTION("""COMPUTED_VALUE"""),"https://www.facebook.com/eddie.d.cruz.7")</f>
        <v>https://www.facebook.com/eddie.d.cruz.7</v>
      </c>
      <c r="B837" s="1" t="str">
        <f>IFERROR(__xludf.DUMMYFUNCTION("""COMPUTED_VALUE"""),"Eddie Dela Cruz")</f>
        <v>Eddie Dela Cruz</v>
      </c>
      <c r="C837" s="1" t="str">
        <f>IFERROR(__xludf.DUMMYFUNCTION("""COMPUTED_VALUE"""),"Eddie")</f>
        <v>Eddie</v>
      </c>
      <c r="D837" s="1" t="str">
        <f>IFERROR(__xludf.DUMMYFUNCTION("""COMPUTED_VALUE"""),"Dela Cruz")</f>
        <v>Dela Cruz</v>
      </c>
      <c r="E837" s="1" t="str">
        <f>IFERROR(__xludf.DUMMYFUNCTION("""COMPUTED_VALUE"""),"If the voters did it to Estradas you can do it to marcoses too and others..")</f>
        <v>If the voters did it to Estradas you can do it to marcoses too and others..</v>
      </c>
      <c r="F837" s="1">
        <f>IFERROR(__xludf.DUMMYFUNCTION("""COMPUTED_VALUE"""),11.0)</f>
        <v>11</v>
      </c>
      <c r="G837" s="1" t="str">
        <f>IFERROR(__xludf.DUMMYFUNCTION("""COMPUTED_VALUE"""),"3 mos")</f>
        <v>3 mos</v>
      </c>
      <c r="H837" s="1" t="str">
        <f>IFERROR(__xludf.DUMMYFUNCTION("""COMPUTED_VALUE"""),"comment")</f>
        <v>comment</v>
      </c>
      <c r="I837" s="2" t="str">
        <f>IFERROR(__xludf.DUMMYFUNCTION("""COMPUTED_VALUE"""),"https://www.facebook.com/rapplerdotcom/posts/pfbid02AsSA4LQqjQ2Y8SVathQmtduoE3fhoGvQSNhvrzsMerDaJSQJ6jDvApCCiuaE7XCol")</f>
        <v>https://www.facebook.com/rapplerdotcom/posts/pfbid02AsSA4LQqjQ2Y8SVathQmtduoE3fhoGvQSNhvrzsMerDaJSQJ6jDvApCCiuaE7XCol</v>
      </c>
      <c r="J837" s="1" t="str">
        <f>IFERROR(__xludf.DUMMYFUNCTION("""COMPUTED_VALUE"""),"2022-07-04T11:16:08.717Z")</f>
        <v>2022-07-04T11:16:08.717Z</v>
      </c>
      <c r="K837" s="1"/>
    </row>
    <row r="838">
      <c r="A838" s="2" t="str">
        <f>IFERROR(__xludf.DUMMYFUNCTION("""COMPUTED_VALUE"""),"https://www.facebook.com/julius.alonzo.5")</f>
        <v>https://www.facebook.com/julius.alonzo.5</v>
      </c>
      <c r="B838" s="1" t="str">
        <f>IFERROR(__xludf.DUMMYFUNCTION("""COMPUTED_VALUE"""),"Julius Aquino Alonzo")</f>
        <v>Julius Aquino Alonzo</v>
      </c>
      <c r="C838" s="1" t="str">
        <f>IFERROR(__xludf.DUMMYFUNCTION("""COMPUTED_VALUE"""),"Julius")</f>
        <v>Julius</v>
      </c>
      <c r="D838" s="1" t="str">
        <f>IFERROR(__xludf.DUMMYFUNCTION("""COMPUTED_VALUE"""),"Aquino Alonzo")</f>
        <v>Aquino Alonzo</v>
      </c>
      <c r="E838" s="1" t="str">
        <f>IFERROR(__xludf.DUMMYFUNCTION("""COMPUTED_VALUE"""),"Choose a leader for the 🇵🇭 with the following attributes   1. Honesty or integrity  2. Competence  3. Inspiring leadership  4. Vision for change or platform  5. Moral courage to face challenges")</f>
        <v>Choose a leader for the 🇵🇭 with the following attributes   1. Honesty or integrity  2. Competence  3. Inspiring leadership  4. Vision for change or platform  5. Moral courage to face challenges</v>
      </c>
      <c r="F838" s="1">
        <f>IFERROR(__xludf.DUMMYFUNCTION("""COMPUTED_VALUE"""),51.0)</f>
        <v>51</v>
      </c>
      <c r="G838" s="1" t="str">
        <f>IFERROR(__xludf.DUMMYFUNCTION("""COMPUTED_VALUE"""),"3 mos")</f>
        <v>3 mos</v>
      </c>
      <c r="H838" s="1" t="str">
        <f>IFERROR(__xludf.DUMMYFUNCTION("""COMPUTED_VALUE"""),"comment")</f>
        <v>comment</v>
      </c>
      <c r="I838" s="2" t="str">
        <f>IFERROR(__xludf.DUMMYFUNCTION("""COMPUTED_VALUE"""),"https://www.facebook.com/rapplerdotcom/photos/a.317154781638645/5596043783749692/")</f>
        <v>https://www.facebook.com/rapplerdotcom/photos/a.317154781638645/5596043783749692/</v>
      </c>
      <c r="J838" s="1" t="str">
        <f>IFERROR(__xludf.DUMMYFUNCTION("""COMPUTED_VALUE"""),"2022-07-04T15:38:38.274Z")</f>
        <v>2022-07-04T15:38:38.274Z</v>
      </c>
      <c r="K838" s="1"/>
    </row>
    <row r="839">
      <c r="A839" s="2" t="str">
        <f>IFERROR(__xludf.DUMMYFUNCTION("""COMPUTED_VALUE"""),"https://www.facebook.com/dr.julius.uy")</f>
        <v>https://www.facebook.com/dr.julius.uy</v>
      </c>
      <c r="B839" s="1" t="str">
        <f>IFERROR(__xludf.DUMMYFUNCTION("""COMPUTED_VALUE"""),"Julius Uy")</f>
        <v>Julius Uy</v>
      </c>
      <c r="C839" s="1" t="str">
        <f>IFERROR(__xludf.DUMMYFUNCTION("""COMPUTED_VALUE"""),"Julius")</f>
        <v>Julius</v>
      </c>
      <c r="D839" s="1" t="str">
        <f>IFERROR(__xludf.DUMMYFUNCTION("""COMPUTED_VALUE"""),"Uy")</f>
        <v>Uy</v>
      </c>
      <c r="E839" s="1" t="str">
        <f>IFERROR(__xludf.DUMMYFUNCTION("""COMPUTED_VALUE"""),"#CaMaNaVaIsPink  #CaMaNaVaForLeni  #LeniKiko2022 #LeniKikoAllTheWay  #LeniForPresident2022  #LetLeniLead #sagobyernongtapatangatbuhayanglahat #kulayrosasangbukas #ipanalana10to 💗💗💗")</f>
        <v>#CaMaNaVaIsPink  #CaMaNaVaForLeni  #LeniKiko2022 #LeniKikoAllTheWay  #LeniForPresident2022  #LetLeniLead #sagobyernongtapatangatbuhayanglahat #kulayrosasangbukas #ipanalana10to 💗💗💗</v>
      </c>
      <c r="F839" s="1">
        <f>IFERROR(__xludf.DUMMYFUNCTION("""COMPUTED_VALUE"""),8.0)</f>
        <v>8</v>
      </c>
      <c r="G839" s="1" t="str">
        <f>IFERROR(__xludf.DUMMYFUNCTION("""COMPUTED_VALUE"""),"3 mos")</f>
        <v>3 mos</v>
      </c>
      <c r="H839" s="1" t="str">
        <f>IFERROR(__xludf.DUMMYFUNCTION("""COMPUTED_VALUE"""),"comment")</f>
        <v>comment</v>
      </c>
      <c r="I839" s="2" t="str">
        <f>IFERROR(__xludf.DUMMYFUNCTION("""COMPUTED_VALUE"""),"https://www.facebook.com/rapplerdotcom/photos/a.317154781638645/5596043783749692/")</f>
        <v>https://www.facebook.com/rapplerdotcom/photos/a.317154781638645/5596043783749692/</v>
      </c>
      <c r="J839" s="1" t="str">
        <f>IFERROR(__xludf.DUMMYFUNCTION("""COMPUTED_VALUE"""),"2022-07-04T15:38:38.274Z")</f>
        <v>2022-07-04T15:38:38.274Z</v>
      </c>
      <c r="K839" s="1"/>
    </row>
    <row r="840">
      <c r="A840" s="2" t="str">
        <f>IFERROR(__xludf.DUMMYFUNCTION("""COMPUTED_VALUE"""),"https://www.facebook.com/pepe.ledesma.7140")</f>
        <v>https://www.facebook.com/pepe.ledesma.7140</v>
      </c>
      <c r="B840" s="1" t="str">
        <f>IFERROR(__xludf.DUMMYFUNCTION("""COMPUTED_VALUE"""),"Pepe Ledesma")</f>
        <v>Pepe Ledesma</v>
      </c>
      <c r="C840" s="1" t="str">
        <f>IFERROR(__xludf.DUMMYFUNCTION("""COMPUTED_VALUE"""),"Pepe")</f>
        <v>Pepe</v>
      </c>
      <c r="D840" s="1" t="str">
        <f>IFERROR(__xludf.DUMMYFUNCTION("""COMPUTED_VALUE"""),"Ledesma")</f>
        <v>Ledesma</v>
      </c>
      <c r="E840" s="1" t="str">
        <f>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840" s="1"/>
      <c r="G840" s="1" t="str">
        <f>IFERROR(__xludf.DUMMYFUNCTION("""COMPUTED_VALUE"""),"3 mos")</f>
        <v>3 mos</v>
      </c>
      <c r="H840" s="1" t="str">
        <f>IFERROR(__xludf.DUMMYFUNCTION("""COMPUTED_VALUE"""),"comment")</f>
        <v>comment</v>
      </c>
      <c r="I840" s="2" t="str">
        <f>IFERROR(__xludf.DUMMYFUNCTION("""COMPUTED_VALUE"""),"https://www.facebook.com/rapplerdotcom/photos/a.317154781638645/5596043783749692/")</f>
        <v>https://www.facebook.com/rapplerdotcom/photos/a.317154781638645/5596043783749692/</v>
      </c>
      <c r="J840" s="1" t="str">
        <f>IFERROR(__xludf.DUMMYFUNCTION("""COMPUTED_VALUE"""),"2022-07-04T15:38:38.274Z")</f>
        <v>2022-07-04T15:38:38.274Z</v>
      </c>
      <c r="K840" s="1"/>
    </row>
    <row r="841">
      <c r="A841" s="2" t="str">
        <f>IFERROR(__xludf.DUMMYFUNCTION("""COMPUTED_VALUE"""),"https://www.facebook.com/jening.martinez")</f>
        <v>https://www.facebook.com/jening.martinez</v>
      </c>
      <c r="B841" s="1" t="str">
        <f>IFERROR(__xludf.DUMMYFUNCTION("""COMPUTED_VALUE"""),"Jenine Cayetano Magcalayo Martinez")</f>
        <v>Jenine Cayetano Magcalayo Martinez</v>
      </c>
      <c r="C841" s="1" t="str">
        <f>IFERROR(__xludf.DUMMYFUNCTION("""COMPUTED_VALUE"""),"Jenine")</f>
        <v>Jenine</v>
      </c>
      <c r="D841" s="1" t="str">
        <f>IFERROR(__xludf.DUMMYFUNCTION("""COMPUTED_VALUE"""),"Cayetano Magcalayo Martinez")</f>
        <v>Cayetano Magcalayo Martinez</v>
      </c>
      <c r="E841" s="1" t="str">
        <f>IFERROR(__xludf.DUMMYFUNCTION("""COMPUTED_VALUE"""),"Dami pa sa labas Hindi n nka pasok #GobyernongTapatAngatBuhayAngLahat")</f>
        <v>Dami pa sa labas Hindi n nka pasok #GobyernongTapatAngatBuhayAngLahat</v>
      </c>
      <c r="F841" s="1">
        <f>IFERROR(__xludf.DUMMYFUNCTION("""COMPUTED_VALUE"""),26.0)</f>
        <v>26</v>
      </c>
      <c r="G841" s="1" t="str">
        <f>IFERROR(__xludf.DUMMYFUNCTION("""COMPUTED_VALUE"""),"3 mos")</f>
        <v>3 mos</v>
      </c>
      <c r="H841" s="1" t="str">
        <f>IFERROR(__xludf.DUMMYFUNCTION("""COMPUTED_VALUE"""),"comment")</f>
        <v>comment</v>
      </c>
      <c r="I841" s="2" t="str">
        <f>IFERROR(__xludf.DUMMYFUNCTION("""COMPUTED_VALUE"""),"https://www.facebook.com/rapplerdotcom/photos/a.317154781638645/5596043783749692/")</f>
        <v>https://www.facebook.com/rapplerdotcom/photos/a.317154781638645/5596043783749692/</v>
      </c>
      <c r="J841" s="1" t="str">
        <f>IFERROR(__xludf.DUMMYFUNCTION("""COMPUTED_VALUE"""),"2022-07-04T15:38:38.275Z")</f>
        <v>2022-07-04T15:38:38.275Z</v>
      </c>
      <c r="K841" s="1"/>
    </row>
    <row r="842">
      <c r="A842" s="2" t="str">
        <f>IFERROR(__xludf.DUMMYFUNCTION("""COMPUTED_VALUE"""),"https://www.facebook.com/yongcoonang")</f>
        <v>https://www.facebook.com/yongcoonang</v>
      </c>
      <c r="B842" s="1" t="str">
        <f>IFERROR(__xludf.DUMMYFUNCTION("""COMPUTED_VALUE"""),"Kelvin Billy")</f>
        <v>Kelvin Billy</v>
      </c>
      <c r="C842" s="1" t="str">
        <f>IFERROR(__xludf.DUMMYFUNCTION("""COMPUTED_VALUE"""),"Kelvin")</f>
        <v>Kelvin</v>
      </c>
      <c r="D842" s="1" t="str">
        <f>IFERROR(__xludf.DUMMYFUNCTION("""COMPUTED_VALUE"""),"Billy")</f>
        <v>Billy</v>
      </c>
      <c r="E842" s="1" t="str">
        <f>IFERROR(__xludf.DUMMYFUNCTION("""COMPUTED_VALUE"""),"Jenine Cayetano Magcalayo Martinez   ⚙️ EARN MONEY ONLINE WITHOUT GOING TO WORK OR STRESS YOURSELF  ⚙️if you're interested ☝️☝️☝️ just kindly click on the link to contact my Senior Cryptofx account manager for guidance 📩  Link 🔗🔗🔗  https://www.faceboo"&amp;"k.com/evlira.cryptofxtrader")</f>
        <v>Jenine Cayetano Magcalayo Martinez   ⚙️ EARN MONEY ONLINE WITHOUT GOING TO WORK OR STRESS YOURSELF  ⚙️if you're interested ☝️☝️☝️ just kindly click on the link to contact my Senior Cryptofx account manager for guidance 📩  Link 🔗🔗🔗  https://www.facebook.com/evlira.cryptofxtrader</v>
      </c>
      <c r="F842" s="1"/>
      <c r="G842" s="1" t="str">
        <f>IFERROR(__xludf.DUMMYFUNCTION("""COMPUTED_VALUE"""),"3 mos")</f>
        <v>3 mos</v>
      </c>
      <c r="H842" s="1" t="str">
        <f>IFERROR(__xludf.DUMMYFUNCTION("""COMPUTED_VALUE"""),"reply")</f>
        <v>reply</v>
      </c>
      <c r="I842" s="2" t="str">
        <f>IFERROR(__xludf.DUMMYFUNCTION("""COMPUTED_VALUE"""),"https://www.facebook.com/rapplerdotcom/photos/a.317154781638645/5596043783749692/")</f>
        <v>https://www.facebook.com/rapplerdotcom/photos/a.317154781638645/5596043783749692/</v>
      </c>
      <c r="J842" s="1" t="str">
        <f>IFERROR(__xludf.DUMMYFUNCTION("""COMPUTED_VALUE"""),"2022-07-04T15:38:38.275Z")</f>
        <v>2022-07-04T15:38:38.275Z</v>
      </c>
      <c r="K842" s="1"/>
    </row>
    <row r="843">
      <c r="A843" s="2" t="str">
        <f>IFERROR(__xludf.DUMMYFUNCTION("""COMPUTED_VALUE"""),"https://www.facebook.com/nedned.anobla")</f>
        <v>https://www.facebook.com/nedned.anobla</v>
      </c>
      <c r="B843" s="1" t="str">
        <f>IFERROR(__xludf.DUMMYFUNCTION("""COMPUTED_VALUE"""),"Lier Hakami")</f>
        <v>Lier Hakami</v>
      </c>
      <c r="C843" s="1" t="str">
        <f>IFERROR(__xludf.DUMMYFUNCTION("""COMPUTED_VALUE"""),"Lier")</f>
        <v>Lier</v>
      </c>
      <c r="D843" s="1" t="str">
        <f>IFERROR(__xludf.DUMMYFUNCTION("""COMPUTED_VALUE"""),"Hakami")</f>
        <v>Hakami</v>
      </c>
      <c r="E843" s="1" t="str">
        <f>IFERROR(__xludf.DUMMYFUNCTION("""COMPUTED_VALUE"""),"Jenine Cayetano Magcalayo Martinez pag nakaupo na corrupt kawawa ka bulag")</f>
        <v>Jenine Cayetano Magcalayo Martinez pag nakaupo na corrupt kawawa ka bulag</v>
      </c>
      <c r="F843" s="1"/>
      <c r="G843" s="1" t="str">
        <f>IFERROR(__xludf.DUMMYFUNCTION("""COMPUTED_VALUE"""),"3 mos")</f>
        <v>3 mos</v>
      </c>
      <c r="H843" s="1" t="str">
        <f>IFERROR(__xludf.DUMMYFUNCTION("""COMPUTED_VALUE"""),"reply")</f>
        <v>reply</v>
      </c>
      <c r="I843" s="2" t="str">
        <f>IFERROR(__xludf.DUMMYFUNCTION("""COMPUTED_VALUE"""),"https://www.facebook.com/rapplerdotcom/photos/a.317154781638645/5596043783749692/")</f>
        <v>https://www.facebook.com/rapplerdotcom/photos/a.317154781638645/5596043783749692/</v>
      </c>
      <c r="J843" s="1" t="str">
        <f>IFERROR(__xludf.DUMMYFUNCTION("""COMPUTED_VALUE"""),"2022-07-04T15:38:38.275Z")</f>
        <v>2022-07-04T15:38:38.275Z</v>
      </c>
      <c r="K843" s="1"/>
    </row>
    <row r="844">
      <c r="A844" s="2" t="str">
        <f>IFERROR(__xludf.DUMMYFUNCTION("""COMPUTED_VALUE"""),"https://www.facebook.com/tony.deguzman.104")</f>
        <v>https://www.facebook.com/tony.deguzman.104</v>
      </c>
      <c r="B844" s="1" t="str">
        <f>IFERROR(__xludf.DUMMYFUNCTION("""COMPUTED_VALUE"""),"Tony de Guzman")</f>
        <v>Tony de Guzman</v>
      </c>
      <c r="C844" s="1" t="str">
        <f>IFERROR(__xludf.DUMMYFUNCTION("""COMPUTED_VALUE"""),"Tony")</f>
        <v>Tony</v>
      </c>
      <c r="D844" s="1" t="str">
        <f>IFERROR(__xludf.DUMMYFUNCTION("""COMPUTED_VALUE"""),"de Guzman")</f>
        <v>de Guzman</v>
      </c>
      <c r="E844" s="1" t="str">
        <f>IFERROR(__xludf.DUMMYFUNCTION("""COMPUTED_VALUE"""),"Jenine Cayetano Magcalayo Martinez angat buhay ka jan, atras nga kay prof. Carlos! #leniduwagkayprofcarlos")</f>
        <v>Jenine Cayetano Magcalayo Martinez angat buhay ka jan, atras nga kay prof. Carlos! #leniduwagkayprofcarlos</v>
      </c>
      <c r="F844" s="1"/>
      <c r="G844" s="1" t="str">
        <f>IFERROR(__xludf.DUMMYFUNCTION("""COMPUTED_VALUE"""),"3 mos")</f>
        <v>3 mos</v>
      </c>
      <c r="H844" s="1" t="str">
        <f>IFERROR(__xludf.DUMMYFUNCTION("""COMPUTED_VALUE"""),"reply")</f>
        <v>reply</v>
      </c>
      <c r="I844" s="2" t="str">
        <f>IFERROR(__xludf.DUMMYFUNCTION("""COMPUTED_VALUE"""),"https://www.facebook.com/rapplerdotcom/photos/a.317154781638645/5596043783749692/")</f>
        <v>https://www.facebook.com/rapplerdotcom/photos/a.317154781638645/5596043783749692/</v>
      </c>
      <c r="J844" s="1" t="str">
        <f>IFERROR(__xludf.DUMMYFUNCTION("""COMPUTED_VALUE"""),"2022-07-04T15:38:38.275Z")</f>
        <v>2022-07-04T15:38:38.275Z</v>
      </c>
      <c r="K844" s="1"/>
    </row>
    <row r="845">
      <c r="A845" s="2" t="str">
        <f>IFERROR(__xludf.DUMMYFUNCTION("""COMPUTED_VALUE"""),"https://www.facebook.com/kenneth.shinkim")</f>
        <v>https://www.facebook.com/kenneth.shinkim</v>
      </c>
      <c r="B845" s="1" t="str">
        <f>IFERROR(__xludf.DUMMYFUNCTION("""COMPUTED_VALUE"""),"Kenneth Shin Kim")</f>
        <v>Kenneth Shin Kim</v>
      </c>
      <c r="C845" s="1" t="str">
        <f>IFERROR(__xludf.DUMMYFUNCTION("""COMPUTED_VALUE"""),"Kenneth")</f>
        <v>Kenneth</v>
      </c>
      <c r="D845" s="1" t="str">
        <f>IFERROR(__xludf.DUMMYFUNCTION("""COMPUTED_VALUE"""),"Shin Kim")</f>
        <v>Shin Kim</v>
      </c>
      <c r="E845" s="1" t="str">
        <f>IFERROR(__xludf.DUMMYFUNCTION("""COMPUTED_VALUE"""),"Parami na ng parami ang gusto ng #GobyerongTapat para #AngatBuhayLahat ng mga Pilipino sa Pilipinas at sa buong mundo!! 🌷🇵🇭💕   Maraming salamat mga #Kakampink tuloy-tuloy ang laban at tindig natin!  #KulayRosasAngBukas #IbobotoKoSiLeni #10RobredoForPr"&amp;"esident #7PangilinanForVicePresident #LeniRobredoIsMyPresident #KikoPangilinanForVicePresident #ChelDioknoforSenator2022 #AntonioTrillanesforSenator2022. #LeilaDeLimaforSenator2022  #RissaHontiverosforSenator2022.  #TeddyBaguilatforSenator2022. #AlexLacso"&amp;"nforSenator2022. #SonnyMatulaforSenaror2022.  #TROPA2022 #LeniKiko2022")</f>
        <v>Parami na ng parami ang gusto ng #GobyerongTapat para #AngatBuhayLahat ng mga Pilipino sa Pilipinas at sa buong mundo!! 🌷🇵🇭💕   Maraming salamat mga #Kakampink tuloy-tuloy ang laban at tindig natin!  #KulayRosasAngBukas #IbobotoKoSiLeni #10RobredoForPresident #7PangilinanForVicePresident #LeniRobredoIsMyPresident #KikoPangilinanForVicePresident #ChelDioknoforSenator2022 #AntonioTrillanesforSenator2022. #LeilaDeLimaforSenator2022  #RissaHontiverosforSenator2022.  #TeddyBaguilatforSenator2022. #AlexLacsonforSenator2022. #SonnyMatulaforSenaror2022.  #TROPA2022 #LeniKiko2022</v>
      </c>
      <c r="F845" s="1">
        <f>IFERROR(__xludf.DUMMYFUNCTION("""COMPUTED_VALUE"""),40.0)</f>
        <v>40</v>
      </c>
      <c r="G845" s="1" t="str">
        <f>IFERROR(__xludf.DUMMYFUNCTION("""COMPUTED_VALUE"""),"3 mos")</f>
        <v>3 mos</v>
      </c>
      <c r="H845" s="1" t="str">
        <f>IFERROR(__xludf.DUMMYFUNCTION("""COMPUTED_VALUE"""),"comment")</f>
        <v>comment</v>
      </c>
      <c r="I845" s="2" t="str">
        <f>IFERROR(__xludf.DUMMYFUNCTION("""COMPUTED_VALUE"""),"https://www.facebook.com/rapplerdotcom/photos/a.317154781638645/5596043783749692/")</f>
        <v>https://www.facebook.com/rapplerdotcom/photos/a.317154781638645/5596043783749692/</v>
      </c>
      <c r="J845" s="1" t="str">
        <f>IFERROR(__xludf.DUMMYFUNCTION("""COMPUTED_VALUE"""),"2022-07-04T15:38:38.275Z")</f>
        <v>2022-07-04T15:38:38.275Z</v>
      </c>
      <c r="K845" s="1"/>
    </row>
    <row r="846">
      <c r="A846" s="2" t="str">
        <f>IFERROR(__xludf.DUMMYFUNCTION("""COMPUTED_VALUE"""),"https://www.facebook.com/yongcoonang")</f>
        <v>https://www.facebook.com/yongcoonang</v>
      </c>
      <c r="B846" s="1" t="str">
        <f>IFERROR(__xludf.DUMMYFUNCTION("""COMPUTED_VALUE"""),"Kelvin Billy")</f>
        <v>Kelvin Billy</v>
      </c>
      <c r="C846" s="1" t="str">
        <f>IFERROR(__xludf.DUMMYFUNCTION("""COMPUTED_VALUE"""),"Kelvin")</f>
        <v>Kelvin</v>
      </c>
      <c r="D846" s="1" t="str">
        <f>IFERROR(__xludf.DUMMYFUNCTION("""COMPUTED_VALUE"""),"Billy")</f>
        <v>Billy</v>
      </c>
      <c r="E846" s="1" t="str">
        <f>IFERROR(__xludf.DUMMYFUNCTION("""COMPUTED_VALUE"""),"Kenneth Shin Kim   ⚙️ EARN MONEY ONLINE WITHOUT GOING TO WORK OR STRESS YOURSELF  ⚙️if you're interested ☝️☝️☝️ just kindly click on the link to contact my Senior Cryptofx account manager for guidance 📩  Link 🔗🔗🔗  https://www.facebook.com/evlira.crypt"&amp;"ofxtrader")</f>
        <v>Kenneth Shin Kim   ⚙️ EARN MONEY ONLINE WITHOUT GOING TO WORK OR STRESS YOURSELF  ⚙️if you're interested ☝️☝️☝️ just kindly click on the link to contact my Senior Cryptofx account manager for guidance 📩  Link 🔗🔗🔗  https://www.facebook.com/evlira.cryptofxtrader</v>
      </c>
      <c r="F846" s="1"/>
      <c r="G846" s="1" t="str">
        <f>IFERROR(__xludf.DUMMYFUNCTION("""COMPUTED_VALUE"""),"3 mos")</f>
        <v>3 mos</v>
      </c>
      <c r="H846" s="1" t="str">
        <f>IFERROR(__xludf.DUMMYFUNCTION("""COMPUTED_VALUE"""),"reply")</f>
        <v>reply</v>
      </c>
      <c r="I846" s="2" t="str">
        <f>IFERROR(__xludf.DUMMYFUNCTION("""COMPUTED_VALUE"""),"https://www.facebook.com/rapplerdotcom/photos/a.317154781638645/5596043783749692/")</f>
        <v>https://www.facebook.com/rapplerdotcom/photos/a.317154781638645/5596043783749692/</v>
      </c>
      <c r="J846" s="1" t="str">
        <f>IFERROR(__xludf.DUMMYFUNCTION("""COMPUTED_VALUE"""),"2022-07-04T15:38:38.275Z")</f>
        <v>2022-07-04T15:38:38.275Z</v>
      </c>
      <c r="K846" s="1"/>
    </row>
    <row r="847">
      <c r="A847" s="2" t="str">
        <f>IFERROR(__xludf.DUMMYFUNCTION("""COMPUTED_VALUE"""),"https://www.facebook.com/ricollections08")</f>
        <v>https://www.facebook.com/ricollections08</v>
      </c>
      <c r="B847" s="1" t="str">
        <f>IFERROR(__xludf.DUMMYFUNCTION("""COMPUTED_VALUE"""),"Rico Si")</f>
        <v>Rico Si</v>
      </c>
      <c r="C847" s="1" t="str">
        <f>IFERROR(__xludf.DUMMYFUNCTION("""COMPUTED_VALUE"""),"Rico")</f>
        <v>Rico</v>
      </c>
      <c r="D847" s="1" t="str">
        <f>IFERROR(__xludf.DUMMYFUNCTION("""COMPUTED_VALUE"""),"Si")</f>
        <v>Si</v>
      </c>
      <c r="E847" s="1" t="str">
        <f>IFERROR(__xludf.DUMMYFUNCTION("""COMPUTED_VALUE"""),"Yung ganyan kakapal na tao half million na sa kabila.")</f>
        <v>Yung ganyan kakapal na tao half million na sa kabila.</v>
      </c>
      <c r="F847" s="1">
        <f>IFERROR(__xludf.DUMMYFUNCTION("""COMPUTED_VALUE"""),1.0)</f>
        <v>1</v>
      </c>
      <c r="G847" s="1" t="str">
        <f>IFERROR(__xludf.DUMMYFUNCTION("""COMPUTED_VALUE"""),"3 mos")</f>
        <v>3 mos</v>
      </c>
      <c r="H847" s="1" t="str">
        <f>IFERROR(__xludf.DUMMYFUNCTION("""COMPUTED_VALUE"""),"comment")</f>
        <v>comment</v>
      </c>
      <c r="I847" s="2" t="str">
        <f>IFERROR(__xludf.DUMMYFUNCTION("""COMPUTED_VALUE"""),"https://www.facebook.com/rapplerdotcom/photos/a.317154781638645/5596043783749692/")</f>
        <v>https://www.facebook.com/rapplerdotcom/photos/a.317154781638645/5596043783749692/</v>
      </c>
      <c r="J847" s="1" t="str">
        <f>IFERROR(__xludf.DUMMYFUNCTION("""COMPUTED_VALUE"""),"2022-07-04T15:38:38.275Z")</f>
        <v>2022-07-04T15:38:38.275Z</v>
      </c>
      <c r="K847" s="1"/>
    </row>
    <row r="848">
      <c r="A848" s="2" t="str">
        <f>IFERROR(__xludf.DUMMYFUNCTION("""COMPUTED_VALUE"""),"https://www.facebook.com/yongcoonang")</f>
        <v>https://www.facebook.com/yongcoonang</v>
      </c>
      <c r="B848" s="1" t="str">
        <f>IFERROR(__xludf.DUMMYFUNCTION("""COMPUTED_VALUE"""),"Kelvin Billy")</f>
        <v>Kelvin Billy</v>
      </c>
      <c r="C848" s="1" t="str">
        <f>IFERROR(__xludf.DUMMYFUNCTION("""COMPUTED_VALUE"""),"Kelvin")</f>
        <v>Kelvin</v>
      </c>
      <c r="D848" s="1" t="str">
        <f>IFERROR(__xludf.DUMMYFUNCTION("""COMPUTED_VALUE"""),"Billy")</f>
        <v>Billy</v>
      </c>
      <c r="E848" s="1" t="str">
        <f>IFERROR(__xludf.DUMMYFUNCTION("""COMPUTED_VALUE"""),"Rico Si   ⚙️ EARN MONEY ONLINE WITHOUT GOING TO WORK OR STRESS YOURSELF  ⚙️if you're interested ☝️☝️☝️ just kindly click on the link to contact my Senior Cryptofx account manager for guidance 📩  Link 🔗🔗🔗  https://www.facebook.com/evlira.cryptofxtrader")</f>
        <v>Rico Si   ⚙️ EARN MONEY ONLINE WITHOUT GOING TO WORK OR STRESS YOURSELF  ⚙️if you're interested ☝️☝️☝️ just kindly click on the link to contact my Senior Cryptofx account manager for guidance 📩  Link 🔗🔗🔗  https://www.facebook.com/evlira.cryptofxtrader</v>
      </c>
      <c r="F848" s="1"/>
      <c r="G848" s="1" t="str">
        <f>IFERROR(__xludf.DUMMYFUNCTION("""COMPUTED_VALUE"""),"3 mos")</f>
        <v>3 mos</v>
      </c>
      <c r="H848" s="1" t="str">
        <f>IFERROR(__xludf.DUMMYFUNCTION("""COMPUTED_VALUE"""),"reply")</f>
        <v>reply</v>
      </c>
      <c r="I848" s="2" t="str">
        <f>IFERROR(__xludf.DUMMYFUNCTION("""COMPUTED_VALUE"""),"https://www.facebook.com/rapplerdotcom/photos/a.317154781638645/5596043783749692/")</f>
        <v>https://www.facebook.com/rapplerdotcom/photos/a.317154781638645/5596043783749692/</v>
      </c>
      <c r="J848" s="1" t="str">
        <f>IFERROR(__xludf.DUMMYFUNCTION("""COMPUTED_VALUE"""),"2022-07-04T15:38:38.275Z")</f>
        <v>2022-07-04T15:38:38.275Z</v>
      </c>
      <c r="K848" s="1"/>
    </row>
    <row r="849">
      <c r="A849" s="2" t="str">
        <f>IFERROR(__xludf.DUMMYFUNCTION("""COMPUTED_VALUE"""),"https://www.facebook.com/ino.reyes.1441")</f>
        <v>https://www.facebook.com/ino.reyes.1441</v>
      </c>
      <c r="B849" s="1" t="str">
        <f>IFERROR(__xludf.DUMMYFUNCTION("""COMPUTED_VALUE"""),"Ino Reyes")</f>
        <v>Ino Reyes</v>
      </c>
      <c r="C849" s="1" t="str">
        <f>IFERROR(__xludf.DUMMYFUNCTION("""COMPUTED_VALUE"""),"Ino")</f>
        <v>Ino</v>
      </c>
      <c r="D849" s="1" t="str">
        <f>IFERROR(__xludf.DUMMYFUNCTION("""COMPUTED_VALUE"""),"Reyes")</f>
        <v>Reyes</v>
      </c>
      <c r="E849" s="1" t="str">
        <f>IFERROR(__xludf.DUMMYFUNCTION("""COMPUTED_VALUE"""),"LAHAT PANALO sa OLYMPINK dahil pinagbuklod nito ang ating mga kababayan para sa isang layunin upang isulong ang PAGBABAGO para sa SAMBAYANANG PILIPINONG nagnanais ng #GobyernongTapat #AngatBuhayLahat #LeniKiko2022 TEAM IBOTO ang mas karapatdapat")</f>
        <v>LAHAT PANALO sa OLYMPINK dahil pinagbuklod nito ang ating mga kababayan para sa isang layunin upang isulong ang PAGBABAGO para sa SAMBAYANANG PILIPINONG nagnanais ng #GobyernongTapat #AngatBuhayLahat #LeniKiko2022 TEAM IBOTO ang mas karapatdapat</v>
      </c>
      <c r="F849" s="1">
        <f>IFERROR(__xludf.DUMMYFUNCTION("""COMPUTED_VALUE"""),5.0)</f>
        <v>5</v>
      </c>
      <c r="G849" s="1" t="str">
        <f>IFERROR(__xludf.DUMMYFUNCTION("""COMPUTED_VALUE"""),"3 mos")</f>
        <v>3 mos</v>
      </c>
      <c r="H849" s="1" t="str">
        <f>IFERROR(__xludf.DUMMYFUNCTION("""COMPUTED_VALUE"""),"comment")</f>
        <v>comment</v>
      </c>
      <c r="I849" s="2" t="str">
        <f>IFERROR(__xludf.DUMMYFUNCTION("""COMPUTED_VALUE"""),"https://www.facebook.com/rapplerdotcom/photos/a.317154781638645/5596043783749692/")</f>
        <v>https://www.facebook.com/rapplerdotcom/photos/a.317154781638645/5596043783749692/</v>
      </c>
      <c r="J849" s="1" t="str">
        <f>IFERROR(__xludf.DUMMYFUNCTION("""COMPUTED_VALUE"""),"2022-07-04T15:38:38.275Z")</f>
        <v>2022-07-04T15:38:38.275Z</v>
      </c>
      <c r="K849" s="1"/>
    </row>
    <row r="850">
      <c r="A850" s="2" t="str">
        <f>IFERROR(__xludf.DUMMYFUNCTION("""COMPUTED_VALUE"""),"https://www.facebook.com/felix.bauya.9")</f>
        <v>https://www.facebook.com/felix.bauya.9</v>
      </c>
      <c r="B850" s="1" t="str">
        <f>IFERROR(__xludf.DUMMYFUNCTION("""COMPUTED_VALUE"""),"Felix Bauya")</f>
        <v>Felix Bauya</v>
      </c>
      <c r="C850" s="1" t="str">
        <f>IFERROR(__xludf.DUMMYFUNCTION("""COMPUTED_VALUE"""),"Felix")</f>
        <v>Felix</v>
      </c>
      <c r="D850" s="1" t="str">
        <f>IFERROR(__xludf.DUMMYFUNCTION("""COMPUTED_VALUE"""),"Bauya")</f>
        <v>Bauya</v>
      </c>
      <c r="E850" s="1" t="str">
        <f>IFERROR(__xludf.DUMMYFUNCTION("""COMPUTED_VALUE"""),"Talaga ba.  Yun ang Sabi ng wrapler.  Dapat bang paniwalaan.")</f>
        <v>Talaga ba.  Yun ang Sabi ng wrapler.  Dapat bang paniwalaan.</v>
      </c>
      <c r="F850" s="1">
        <f>IFERROR(__xludf.DUMMYFUNCTION("""COMPUTED_VALUE"""),2.0)</f>
        <v>2</v>
      </c>
      <c r="G850" s="1" t="str">
        <f>IFERROR(__xludf.DUMMYFUNCTION("""COMPUTED_VALUE"""),"3 mos")</f>
        <v>3 mos</v>
      </c>
      <c r="H850" s="1" t="str">
        <f>IFERROR(__xludf.DUMMYFUNCTION("""COMPUTED_VALUE"""),"comment")</f>
        <v>comment</v>
      </c>
      <c r="I850" s="2" t="str">
        <f>IFERROR(__xludf.DUMMYFUNCTION("""COMPUTED_VALUE"""),"https://www.facebook.com/rapplerdotcom/photos/a.317154781638645/5596043783749692/")</f>
        <v>https://www.facebook.com/rapplerdotcom/photos/a.317154781638645/5596043783749692/</v>
      </c>
      <c r="J850" s="1" t="str">
        <f>IFERROR(__xludf.DUMMYFUNCTION("""COMPUTED_VALUE"""),"2022-07-04T15:38:38.275Z")</f>
        <v>2022-07-04T15:38:38.275Z</v>
      </c>
      <c r="K850" s="1"/>
    </row>
    <row r="851">
      <c r="A851" s="2" t="str">
        <f>IFERROR(__xludf.DUMMYFUNCTION("""COMPUTED_VALUE"""),"https://www.facebook.com/cory.ander.3")</f>
        <v>https://www.facebook.com/cory.ander.3</v>
      </c>
      <c r="B851" s="1" t="str">
        <f>IFERROR(__xludf.DUMMYFUNCTION("""COMPUTED_VALUE"""),"Ernest A. Baunden")</f>
        <v>Ernest A. Baunden</v>
      </c>
      <c r="C851" s="1" t="str">
        <f>IFERROR(__xludf.DUMMYFUNCTION("""COMPUTED_VALUE"""),"Ernest")</f>
        <v>Ernest</v>
      </c>
      <c r="D851" s="1" t="str">
        <f>IFERROR(__xludf.DUMMYFUNCTION("""COMPUTED_VALUE"""),"A. Baunden")</f>
        <v>A. Baunden</v>
      </c>
      <c r="E851" s="1" t="str">
        <f>IFERROR(__xludf.DUMMYFUNCTION("""COMPUTED_VALUE"""),". o O ( hindi ka kinukumbinse. nagsasabi lang sila ng nakalap nilang impormasyon. kung nasasaktan ka, hwag mong patulan ang balita. unless masokista ka. )")</f>
        <v>. o O ( hindi ka kinukumbinse. nagsasabi lang sila ng nakalap nilang impormasyon. kung nasasaktan ka, hwag mong patulan ang balita. unless masokista ka. )</v>
      </c>
      <c r="F851" s="1">
        <f>IFERROR(__xludf.DUMMYFUNCTION("""COMPUTED_VALUE"""),18.0)</f>
        <v>18</v>
      </c>
      <c r="G851" s="1" t="str">
        <f>IFERROR(__xludf.DUMMYFUNCTION("""COMPUTED_VALUE"""),"3 mos")</f>
        <v>3 mos</v>
      </c>
      <c r="H851" s="1" t="str">
        <f>IFERROR(__xludf.DUMMYFUNCTION("""COMPUTED_VALUE"""),"reply")</f>
        <v>reply</v>
      </c>
      <c r="I851" s="2" t="str">
        <f>IFERROR(__xludf.DUMMYFUNCTION("""COMPUTED_VALUE"""),"https://www.facebook.com/rapplerdotcom/photos/a.317154781638645/5596043783749692/")</f>
        <v>https://www.facebook.com/rapplerdotcom/photos/a.317154781638645/5596043783749692/</v>
      </c>
      <c r="J851" s="1" t="str">
        <f>IFERROR(__xludf.DUMMYFUNCTION("""COMPUTED_VALUE"""),"2022-07-04T15:38:38.275Z")</f>
        <v>2022-07-04T15:38:38.275Z</v>
      </c>
      <c r="K851" s="1"/>
    </row>
    <row r="852">
      <c r="A852" s="2" t="str">
        <f>IFERROR(__xludf.DUMMYFUNCTION("""COMPUTED_VALUE"""),"https://www.facebook.com/cory.ander.3")</f>
        <v>https://www.facebook.com/cory.ander.3</v>
      </c>
      <c r="B852" s="1" t="str">
        <f>IFERROR(__xludf.DUMMYFUNCTION("""COMPUTED_VALUE"""),"Ernest A. Baunden")</f>
        <v>Ernest A. Baunden</v>
      </c>
      <c r="C852" s="1" t="str">
        <f>IFERROR(__xludf.DUMMYFUNCTION("""COMPUTED_VALUE"""),"Ernest")</f>
        <v>Ernest</v>
      </c>
      <c r="D852" s="1" t="str">
        <f>IFERROR(__xludf.DUMMYFUNCTION("""COMPUTED_VALUE"""),"A. Baunden")</f>
        <v>A. Baunden</v>
      </c>
      <c r="E852" s="1" t="str">
        <f>IFERROR(__xludf.DUMMYFUNCTION("""COMPUTED_VALUE"""),". o O ( ano yan, tumanda ka sa mundo na intrigero? )")</f>
        <v>. o O ( ano yan, tumanda ka sa mundo na intrigero? )</v>
      </c>
      <c r="F852" s="1">
        <f>IFERROR(__xludf.DUMMYFUNCTION("""COMPUTED_VALUE"""),5.0)</f>
        <v>5</v>
      </c>
      <c r="G852" s="1" t="str">
        <f>IFERROR(__xludf.DUMMYFUNCTION("""COMPUTED_VALUE"""),"3 mos")</f>
        <v>3 mos</v>
      </c>
      <c r="H852" s="1" t="str">
        <f>IFERROR(__xludf.DUMMYFUNCTION("""COMPUTED_VALUE"""),"reply")</f>
        <v>reply</v>
      </c>
      <c r="I852" s="2" t="str">
        <f>IFERROR(__xludf.DUMMYFUNCTION("""COMPUTED_VALUE"""),"https://www.facebook.com/rapplerdotcom/photos/a.317154781638645/5596043783749692/")</f>
        <v>https://www.facebook.com/rapplerdotcom/photos/a.317154781638645/5596043783749692/</v>
      </c>
      <c r="J852" s="1" t="str">
        <f>IFERROR(__xludf.DUMMYFUNCTION("""COMPUTED_VALUE"""),"2022-07-04T15:38:38.275Z")</f>
        <v>2022-07-04T15:38:38.275Z</v>
      </c>
      <c r="K852" s="1"/>
    </row>
    <row r="853">
      <c r="A853" s="2" t="str">
        <f>IFERROR(__xludf.DUMMYFUNCTION("""COMPUTED_VALUE"""),"https://www.facebook.com/EnricElesisCruz")</f>
        <v>https://www.facebook.com/EnricElesisCruz</v>
      </c>
      <c r="B853" s="1" t="str">
        <f>IFERROR(__xludf.DUMMYFUNCTION("""COMPUTED_VALUE"""),"Enric Elesis Cruz")</f>
        <v>Enric Elesis Cruz</v>
      </c>
      <c r="C853" s="1" t="str">
        <f>IFERROR(__xludf.DUMMYFUNCTION("""COMPUTED_VALUE"""),"Enric")</f>
        <v>Enric</v>
      </c>
      <c r="D853" s="1" t="str">
        <f>IFERROR(__xludf.DUMMYFUNCTION("""COMPUTED_VALUE"""),"Elesis Cruz")</f>
        <v>Elesis Cruz</v>
      </c>
      <c r="E853" s="1" t="str">
        <f>IFERROR(__xludf.DUMMYFUNCTION("""COMPUTED_VALUE"""),"Ernest A. Baunden check the info reported by inquirer.net compared to this page. 21k vs 37k.")</f>
        <v>Ernest A. Baunden check the info reported by inquirer.net compared to this page. 21k vs 37k.</v>
      </c>
      <c r="F853" s="1"/>
      <c r="G853" s="1" t="str">
        <f>IFERROR(__xludf.DUMMYFUNCTION("""COMPUTED_VALUE"""),"3 mos")</f>
        <v>3 mos</v>
      </c>
      <c r="H853" s="1" t="str">
        <f>IFERROR(__xludf.DUMMYFUNCTION("""COMPUTED_VALUE"""),"reply")</f>
        <v>reply</v>
      </c>
      <c r="I853" s="2" t="str">
        <f>IFERROR(__xludf.DUMMYFUNCTION("""COMPUTED_VALUE"""),"https://www.facebook.com/rapplerdotcom/photos/a.317154781638645/5596043783749692/")</f>
        <v>https://www.facebook.com/rapplerdotcom/photos/a.317154781638645/5596043783749692/</v>
      </c>
      <c r="J853" s="1" t="str">
        <f>IFERROR(__xludf.DUMMYFUNCTION("""COMPUTED_VALUE"""),"2022-07-04T15:38:38.275Z")</f>
        <v>2022-07-04T15:38:38.275Z</v>
      </c>
      <c r="K853" s="1"/>
    </row>
    <row r="854">
      <c r="A854" s="2" t="str">
        <f>IFERROR(__xludf.DUMMYFUNCTION("""COMPUTED_VALUE"""),"https://www.facebook.com/cory.ander.3")</f>
        <v>https://www.facebook.com/cory.ander.3</v>
      </c>
      <c r="B854" s="1" t="str">
        <f>IFERROR(__xludf.DUMMYFUNCTION("""COMPUTED_VALUE"""),"Ernest A. Baunden")</f>
        <v>Ernest A. Baunden</v>
      </c>
      <c r="C854" s="1" t="str">
        <f>IFERROR(__xludf.DUMMYFUNCTION("""COMPUTED_VALUE"""),"Ernest")</f>
        <v>Ernest</v>
      </c>
      <c r="D854" s="1" t="str">
        <f>IFERROR(__xludf.DUMMYFUNCTION("""COMPUTED_VALUE"""),"A. Baunden")</f>
        <v>A. Baunden</v>
      </c>
      <c r="E854" s="1" t="str">
        <f>IFERROR(__xludf.DUMMYFUNCTION("""COMPUTED_VALUE"""),". o O ( send the article to felix, not to me. )")</f>
        <v>. o O ( send the article to felix, not to me. )</v>
      </c>
      <c r="F854" s="1">
        <f>IFERROR(__xludf.DUMMYFUNCTION("""COMPUTED_VALUE"""),5.0)</f>
        <v>5</v>
      </c>
      <c r="G854" s="1" t="str">
        <f>IFERROR(__xludf.DUMMYFUNCTION("""COMPUTED_VALUE"""),"3 mos")</f>
        <v>3 mos</v>
      </c>
      <c r="H854" s="1" t="str">
        <f>IFERROR(__xludf.DUMMYFUNCTION("""COMPUTED_VALUE"""),"reply")</f>
        <v>reply</v>
      </c>
      <c r="I854" s="2" t="str">
        <f>IFERROR(__xludf.DUMMYFUNCTION("""COMPUTED_VALUE"""),"https://www.facebook.com/rapplerdotcom/photos/a.317154781638645/5596043783749692/")</f>
        <v>https://www.facebook.com/rapplerdotcom/photos/a.317154781638645/5596043783749692/</v>
      </c>
      <c r="J854" s="1" t="str">
        <f>IFERROR(__xludf.DUMMYFUNCTION("""COMPUTED_VALUE"""),"2022-07-04T15:38:38.275Z")</f>
        <v>2022-07-04T15:38:38.275Z</v>
      </c>
      <c r="K854" s="1"/>
    </row>
    <row r="855">
      <c r="A855" s="2" t="str">
        <f>IFERROR(__xludf.DUMMYFUNCTION("""COMPUTED_VALUE"""),"https://www.facebook.com/leon.leyoww")</f>
        <v>https://www.facebook.com/leon.leyoww</v>
      </c>
      <c r="B855" s="1" t="str">
        <f>IFERROR(__xludf.DUMMYFUNCTION("""COMPUTED_VALUE"""),"Coronel Chiu Noel")</f>
        <v>Coronel Chiu Noel</v>
      </c>
      <c r="C855" s="1" t="str">
        <f>IFERROR(__xludf.DUMMYFUNCTION("""COMPUTED_VALUE"""),"Coronel")</f>
        <v>Coronel</v>
      </c>
      <c r="D855" s="1" t="str">
        <f>IFERROR(__xludf.DUMMYFUNCTION("""COMPUTED_VALUE"""),"Chiu Noel")</f>
        <v>Chiu Noel</v>
      </c>
      <c r="E855" s="1" t="str">
        <f>IFERROR(__xludf.DUMMYFUNCTION("""COMPUTED_VALUE"""),"Iyak mga loyalistang apologist hakot yarn dun Kay sa nag rarambulan pag kakaisa daw ha ha ha ha")</f>
        <v>Iyak mga loyalistang apologist hakot yarn dun Kay sa nag rarambulan pag kakaisa daw ha ha ha ha</v>
      </c>
      <c r="F855" s="1">
        <f>IFERROR(__xludf.DUMMYFUNCTION("""COMPUTED_VALUE"""),1.0)</f>
        <v>1</v>
      </c>
      <c r="G855" s="1" t="str">
        <f>IFERROR(__xludf.DUMMYFUNCTION("""COMPUTED_VALUE"""),"3 mos")</f>
        <v>3 mos</v>
      </c>
      <c r="H855" s="1" t="str">
        <f>IFERROR(__xludf.DUMMYFUNCTION("""COMPUTED_VALUE"""),"comment")</f>
        <v>comment</v>
      </c>
      <c r="I855" s="2" t="str">
        <f>IFERROR(__xludf.DUMMYFUNCTION("""COMPUTED_VALUE"""),"https://www.facebook.com/rapplerdotcom/photos/a.317154781638645/5596043783749692/")</f>
        <v>https://www.facebook.com/rapplerdotcom/photos/a.317154781638645/5596043783749692/</v>
      </c>
      <c r="J855" s="1" t="str">
        <f>IFERROR(__xludf.DUMMYFUNCTION("""COMPUTED_VALUE"""),"2022-07-04T15:38:38.275Z")</f>
        <v>2022-07-04T15:38:38.275Z</v>
      </c>
      <c r="K855" s="1"/>
    </row>
    <row r="856">
      <c r="A856" s="2" t="str">
        <f>IFERROR(__xludf.DUMMYFUNCTION("""COMPUTED_VALUE"""),"https://www.facebook.com/profile.php?id=100013008619170")</f>
        <v>https://www.facebook.com/profile.php?id=100013008619170</v>
      </c>
      <c r="B856" s="1" t="str">
        <f>IFERROR(__xludf.DUMMYFUNCTION("""COMPUTED_VALUE"""),"Roland Grande")</f>
        <v>Roland Grande</v>
      </c>
      <c r="C856" s="1" t="str">
        <f>IFERROR(__xludf.DUMMYFUNCTION("""COMPUTED_VALUE"""),"Roland")</f>
        <v>Roland</v>
      </c>
      <c r="D856" s="1" t="str">
        <f>IFERROR(__xludf.DUMMYFUNCTION("""COMPUTED_VALUE"""),"Grande")</f>
        <v>Grande</v>
      </c>
      <c r="E856" s="1" t="str">
        <f>IFERROR(__xludf.DUMMYFUNCTION("""COMPUTED_VALUE"""),"Once again.... THANK YOU MGA KABABAYAN!   💗💗💗  #LeniForPresident #WeWantNeri #labogforsenator #KatutuboSaSenado #MakabayangPagbabago2022")</f>
        <v>Once again.... THANK YOU MGA KABABAYAN!   💗💗💗  #LeniForPresident #WeWantNeri #labogforsenator #KatutuboSaSenado #MakabayangPagbabago2022</v>
      </c>
      <c r="F856" s="1">
        <f>IFERROR(__xludf.DUMMYFUNCTION("""COMPUTED_VALUE"""),4.0)</f>
        <v>4</v>
      </c>
      <c r="G856" s="1" t="str">
        <f>IFERROR(__xludf.DUMMYFUNCTION("""COMPUTED_VALUE"""),"3 mos")</f>
        <v>3 mos</v>
      </c>
      <c r="H856" s="1" t="str">
        <f>IFERROR(__xludf.DUMMYFUNCTION("""COMPUTED_VALUE"""),"comment")</f>
        <v>comment</v>
      </c>
      <c r="I856" s="2" t="str">
        <f>IFERROR(__xludf.DUMMYFUNCTION("""COMPUTED_VALUE"""),"https://www.facebook.com/rapplerdotcom/photos/a.317154781638645/5596043783749692/")</f>
        <v>https://www.facebook.com/rapplerdotcom/photos/a.317154781638645/5596043783749692/</v>
      </c>
      <c r="J856" s="1" t="str">
        <f>IFERROR(__xludf.DUMMYFUNCTION("""COMPUTED_VALUE"""),"2022-07-04T15:38:38.275Z")</f>
        <v>2022-07-04T15:38:38.275Z</v>
      </c>
      <c r="K856" s="1"/>
    </row>
    <row r="857">
      <c r="A857" s="2" t="str">
        <f>IFERROR(__xludf.DUMMYFUNCTION("""COMPUTED_VALUE"""),"https://www.facebook.com/geegee.lopez")</f>
        <v>https://www.facebook.com/geegee.lopez</v>
      </c>
      <c r="B857" s="1" t="str">
        <f>IFERROR(__xludf.DUMMYFUNCTION("""COMPUTED_VALUE"""),"Grateful Geegee")</f>
        <v>Grateful Geegee</v>
      </c>
      <c r="C857" s="1" t="str">
        <f>IFERROR(__xludf.DUMMYFUNCTION("""COMPUTED_VALUE"""),"Grateful")</f>
        <v>Grateful</v>
      </c>
      <c r="D857" s="1" t="str">
        <f>IFERROR(__xludf.DUMMYFUNCTION("""COMPUTED_VALUE"""),"Geegee")</f>
        <v>Geegee</v>
      </c>
      <c r="E857" s="1" t="str">
        <f>IFERROR(__xludf.DUMMYFUNCTION("""COMPUTED_VALUE"""),"👏🏻💖💖 nag-uumapaw ang suporta ng mga kapwa natin Pilipino para kay #LeniKiko2022  dahil sila lang talaga ang may tunay na pagmamahal at malasakit sa atin at sa ating bayan! #10RobredoPresident #7KikoPangilinanVicePresident #GobyernongTapatAngatBuhayLah"&amp;"at Oras na! Kailangan ng bayan ng matinong gobyerno! Kailangan MAPAGKAKATIWALAAN para pumasok ang mga negosyo at trabaho at kabuhayan para sa lahat! Tayo naman and dapat umangat! #AngatBuhayLahat kay #LeniKiko2022 #10RobredoPresident #7KikoPangilinanViceP"&amp;"resident #GobyernongTapatAngatBuhayLahat")</f>
        <v>👏🏻💖💖 nag-uumapaw ang suporta ng mga kapwa natin Pilipino para kay #LeniKiko2022  dahil sila lang talaga ang may tunay na pagmamahal at malasakit sa atin at sa ating bayan! #10RobredoPresident #7KikoPangilinanVicePresident #GobyernongTapatAngatBuhayLahat Oras na! Kailangan ng bayan ng matinong gobyerno! Kailangan MAPAGKAKATIWALAAN para pumasok ang mga negosyo at trabaho at kabuhayan para sa lahat! Tayo naman and dapat umangat! #AngatBuhayLahat kay #LeniKiko2022 #10RobredoPresident #7KikoPangilinanVicePresident #GobyernongTapatAngatBuhayLahat</v>
      </c>
      <c r="F857" s="1">
        <f>IFERROR(__xludf.DUMMYFUNCTION("""COMPUTED_VALUE"""),4.0)</f>
        <v>4</v>
      </c>
      <c r="G857" s="1" t="str">
        <f>IFERROR(__xludf.DUMMYFUNCTION("""COMPUTED_VALUE"""),"3 mos")</f>
        <v>3 mos</v>
      </c>
      <c r="H857" s="1" t="str">
        <f>IFERROR(__xludf.DUMMYFUNCTION("""COMPUTED_VALUE"""),"comment")</f>
        <v>comment</v>
      </c>
      <c r="I857" s="2" t="str">
        <f>IFERROR(__xludf.DUMMYFUNCTION("""COMPUTED_VALUE"""),"https://www.facebook.com/rapplerdotcom/photos/a.317154781638645/5596043783749692/")</f>
        <v>https://www.facebook.com/rapplerdotcom/photos/a.317154781638645/5596043783749692/</v>
      </c>
      <c r="J857" s="1" t="str">
        <f>IFERROR(__xludf.DUMMYFUNCTION("""COMPUTED_VALUE"""),"2022-07-04T15:38:38.275Z")</f>
        <v>2022-07-04T15:38:38.275Z</v>
      </c>
      <c r="K857" s="1"/>
    </row>
    <row r="858">
      <c r="A858" s="2" t="str">
        <f>IFERROR(__xludf.DUMMYFUNCTION("""COMPUTED_VALUE"""),"https://www.facebook.com/julio.quian")</f>
        <v>https://www.facebook.com/julio.quian</v>
      </c>
      <c r="B858" s="1" t="str">
        <f>IFERROR(__xludf.DUMMYFUNCTION("""COMPUTED_VALUE"""),"Julio Quian")</f>
        <v>Julio Quian</v>
      </c>
      <c r="C858" s="1" t="str">
        <f>IFERROR(__xludf.DUMMYFUNCTION("""COMPUTED_VALUE"""),"Julio")</f>
        <v>Julio</v>
      </c>
      <c r="D858" s="1" t="str">
        <f>IFERROR(__xludf.DUMMYFUNCTION("""COMPUTED_VALUE"""),"Quian")</f>
        <v>Quian</v>
      </c>
      <c r="E858" s="1" t="str">
        <f>IFERROR(__xludf.DUMMYFUNCTION("""COMPUTED_VALUE"""),"Solid Sarah @ Marco's nlang ako he is very good leader...! ¡")</f>
        <v>Solid Sarah @ Marco's nlang ako he is very good leader...! ¡</v>
      </c>
      <c r="F858" s="1">
        <f>IFERROR(__xludf.DUMMYFUNCTION("""COMPUTED_VALUE"""),25.0)</f>
        <v>25</v>
      </c>
      <c r="G858" s="1" t="str">
        <f>IFERROR(__xludf.DUMMYFUNCTION("""COMPUTED_VALUE"""),"3 mos")</f>
        <v>3 mos</v>
      </c>
      <c r="H858" s="1" t="str">
        <f>IFERROR(__xludf.DUMMYFUNCTION("""COMPUTED_VALUE"""),"comment")</f>
        <v>comment</v>
      </c>
      <c r="I858" s="2" t="str">
        <f>IFERROR(__xludf.DUMMYFUNCTION("""COMPUTED_VALUE"""),"https://www.facebook.com/rapplerdotcom/photos/a.317154781638645/5596043783749692/")</f>
        <v>https://www.facebook.com/rapplerdotcom/photos/a.317154781638645/5596043783749692/</v>
      </c>
      <c r="J858" s="1" t="str">
        <f>IFERROR(__xludf.DUMMYFUNCTION("""COMPUTED_VALUE"""),"2022-07-04T15:38:38.275Z")</f>
        <v>2022-07-04T15:38:38.275Z</v>
      </c>
      <c r="K858" s="1"/>
    </row>
    <row r="859">
      <c r="A859" s="2" t="str">
        <f>IFERROR(__xludf.DUMMYFUNCTION("""COMPUTED_VALUE"""),"https://www.facebook.com/maripaz.mira")</f>
        <v>https://www.facebook.com/maripaz.mira</v>
      </c>
      <c r="B859" s="1" t="str">
        <f>IFERROR(__xludf.DUMMYFUNCTION("""COMPUTED_VALUE"""),"Maripaz Remoquillo Mira")</f>
        <v>Maripaz Remoquillo Mira</v>
      </c>
      <c r="C859" s="1" t="str">
        <f>IFERROR(__xludf.DUMMYFUNCTION("""COMPUTED_VALUE"""),"Maripaz")</f>
        <v>Maripaz</v>
      </c>
      <c r="D859" s="1" t="str">
        <f>IFERROR(__xludf.DUMMYFUNCTION("""COMPUTED_VALUE"""),"Remoquillo Mira")</f>
        <v>Remoquillo Mira</v>
      </c>
      <c r="E859" s="1" t="str">
        <f>IFERROR(__xludf.DUMMYFUNCTION("""COMPUTED_VALUE"""),"Julio Quian what???? Good leader????")</f>
        <v>Julio Quian what???? Good leader????</v>
      </c>
      <c r="F859" s="1">
        <f>IFERROR(__xludf.DUMMYFUNCTION("""COMPUTED_VALUE"""),3.0)</f>
        <v>3</v>
      </c>
      <c r="G859" s="1" t="str">
        <f>IFERROR(__xludf.DUMMYFUNCTION("""COMPUTED_VALUE"""),"3 mos")</f>
        <v>3 mos</v>
      </c>
      <c r="H859" s="1" t="str">
        <f>IFERROR(__xludf.DUMMYFUNCTION("""COMPUTED_VALUE"""),"reply")</f>
        <v>reply</v>
      </c>
      <c r="I859" s="2" t="str">
        <f>IFERROR(__xludf.DUMMYFUNCTION("""COMPUTED_VALUE"""),"https://www.facebook.com/rapplerdotcom/photos/a.317154781638645/5596043783749692/")</f>
        <v>https://www.facebook.com/rapplerdotcom/photos/a.317154781638645/5596043783749692/</v>
      </c>
      <c r="J859" s="1" t="str">
        <f>IFERROR(__xludf.DUMMYFUNCTION("""COMPUTED_VALUE"""),"2022-07-04T15:38:38.275Z")</f>
        <v>2022-07-04T15:38:38.275Z</v>
      </c>
      <c r="K859" s="1"/>
    </row>
    <row r="860">
      <c r="A860" s="2" t="str">
        <f>IFERROR(__xludf.DUMMYFUNCTION("""COMPUTED_VALUE"""),"https://www.facebook.com/arizagabrielellaine")</f>
        <v>https://www.facebook.com/arizagabrielellaine</v>
      </c>
      <c r="B860" s="1" t="str">
        <f>IFERROR(__xludf.DUMMYFUNCTION("""COMPUTED_VALUE"""),"Ariza Ellaine Gabriel")</f>
        <v>Ariza Ellaine Gabriel</v>
      </c>
      <c r="C860" s="1" t="str">
        <f>IFERROR(__xludf.DUMMYFUNCTION("""COMPUTED_VALUE"""),"Ariza")</f>
        <v>Ariza</v>
      </c>
      <c r="D860" s="1" t="str">
        <f>IFERROR(__xludf.DUMMYFUNCTION("""COMPUTED_VALUE"""),"Ellaine Gabriel")</f>
        <v>Ellaine Gabriel</v>
      </c>
      <c r="E860" s="1" t="str">
        <f>IFERROR(__xludf.DUMMYFUNCTION("""COMPUTED_VALUE"""),"Julio Quian lapag po ng plataporma aside from pagkakaisa.")</f>
        <v>Julio Quian lapag po ng plataporma aside from pagkakaisa.</v>
      </c>
      <c r="F860" s="1">
        <f>IFERROR(__xludf.DUMMYFUNCTION("""COMPUTED_VALUE"""),4.0)</f>
        <v>4</v>
      </c>
      <c r="G860" s="1" t="str">
        <f>IFERROR(__xludf.DUMMYFUNCTION("""COMPUTED_VALUE"""),"3 mos")</f>
        <v>3 mos</v>
      </c>
      <c r="H860" s="1" t="str">
        <f>IFERROR(__xludf.DUMMYFUNCTION("""COMPUTED_VALUE"""),"reply")</f>
        <v>reply</v>
      </c>
      <c r="I860" s="2" t="str">
        <f>IFERROR(__xludf.DUMMYFUNCTION("""COMPUTED_VALUE"""),"https://www.facebook.com/rapplerdotcom/photos/a.317154781638645/5596043783749692/")</f>
        <v>https://www.facebook.com/rapplerdotcom/photos/a.317154781638645/5596043783749692/</v>
      </c>
      <c r="J860" s="1" t="str">
        <f>IFERROR(__xludf.DUMMYFUNCTION("""COMPUTED_VALUE"""),"2022-07-04T15:38:38.275Z")</f>
        <v>2022-07-04T15:38:38.275Z</v>
      </c>
      <c r="K860" s="1"/>
    </row>
    <row r="861">
      <c r="A861" s="2" t="str">
        <f>IFERROR(__xludf.DUMMYFUNCTION("""COMPUTED_VALUE"""),"https://www.facebook.com/profile.php?id=100009486210065")</f>
        <v>https://www.facebook.com/profile.php?id=100009486210065</v>
      </c>
      <c r="B861" s="1" t="str">
        <f>IFERROR(__xludf.DUMMYFUNCTION("""COMPUTED_VALUE"""),"Anita Lope")</f>
        <v>Anita Lope</v>
      </c>
      <c r="C861" s="1" t="str">
        <f>IFERROR(__xludf.DUMMYFUNCTION("""COMPUTED_VALUE"""),"Anita")</f>
        <v>Anita</v>
      </c>
      <c r="D861" s="1" t="str">
        <f>IFERROR(__xludf.DUMMYFUNCTION("""COMPUTED_VALUE"""),"Lope")</f>
        <v>Lope</v>
      </c>
      <c r="E861" s="1" t="str">
        <f>IFERROR(__xludf.DUMMYFUNCTION("""COMPUTED_VALUE"""),"Julio Quian in what way sir leader sa d pagbabayad ng buwis.sana d na rn tyo pagbayarin ng buwis s a poor individwal")</f>
        <v>Julio Quian in what way sir leader sa d pagbabayad ng buwis.sana d na rn tyo pagbayarin ng buwis s a poor individwal</v>
      </c>
      <c r="F861" s="1">
        <f>IFERROR(__xludf.DUMMYFUNCTION("""COMPUTED_VALUE"""),3.0)</f>
        <v>3</v>
      </c>
      <c r="G861" s="1" t="str">
        <f>IFERROR(__xludf.DUMMYFUNCTION("""COMPUTED_VALUE"""),"3 mos")</f>
        <v>3 mos</v>
      </c>
      <c r="H861" s="1" t="str">
        <f>IFERROR(__xludf.DUMMYFUNCTION("""COMPUTED_VALUE"""),"reply")</f>
        <v>reply</v>
      </c>
      <c r="I861" s="2" t="str">
        <f>IFERROR(__xludf.DUMMYFUNCTION("""COMPUTED_VALUE"""),"https://www.facebook.com/rapplerdotcom/photos/a.317154781638645/5596043783749692/")</f>
        <v>https://www.facebook.com/rapplerdotcom/photos/a.317154781638645/5596043783749692/</v>
      </c>
      <c r="J861" s="1" t="str">
        <f>IFERROR(__xludf.DUMMYFUNCTION("""COMPUTED_VALUE"""),"2022-07-04T15:38:38.275Z")</f>
        <v>2022-07-04T15:38:38.275Z</v>
      </c>
      <c r="K861" s="1"/>
    </row>
    <row r="862">
      <c r="A862" s="2" t="str">
        <f>IFERROR(__xludf.DUMMYFUNCTION("""COMPUTED_VALUE"""),"https://www.facebook.com/EJCAmoroso")</f>
        <v>https://www.facebook.com/EJCAmoroso</v>
      </c>
      <c r="B862" s="1" t="str">
        <f>IFERROR(__xludf.DUMMYFUNCTION("""COMPUTED_VALUE"""),"Elise Amor")</f>
        <v>Elise Amor</v>
      </c>
      <c r="C862" s="1" t="str">
        <f>IFERROR(__xludf.DUMMYFUNCTION("""COMPUTED_VALUE"""),"Elise")</f>
        <v>Elise</v>
      </c>
      <c r="D862" s="1" t="str">
        <f>IFERROR(__xludf.DUMMYFUNCTION("""COMPUTED_VALUE"""),"Amor")</f>
        <v>Amor</v>
      </c>
      <c r="E862" s="1" t="str">
        <f>IFERROR(__xludf.DUMMYFUNCTION("""COMPUTED_VALUE"""),"Julio Quian sino muna si Sarah at bakit siya nasa Marco’s !¡ …")</f>
        <v>Julio Quian sino muna si Sarah at bakit siya nasa Marco’s !¡ …</v>
      </c>
      <c r="F862" s="1">
        <f>IFERROR(__xludf.DUMMYFUNCTION("""COMPUTED_VALUE"""),1.0)</f>
        <v>1</v>
      </c>
      <c r="G862" s="1" t="str">
        <f>IFERROR(__xludf.DUMMYFUNCTION("""COMPUTED_VALUE"""),"3 mos")</f>
        <v>3 mos</v>
      </c>
      <c r="H862" s="1" t="str">
        <f>IFERROR(__xludf.DUMMYFUNCTION("""COMPUTED_VALUE"""),"reply")</f>
        <v>reply</v>
      </c>
      <c r="I862" s="2" t="str">
        <f>IFERROR(__xludf.DUMMYFUNCTION("""COMPUTED_VALUE"""),"https://www.facebook.com/rapplerdotcom/photos/a.317154781638645/5596043783749692/")</f>
        <v>https://www.facebook.com/rapplerdotcom/photos/a.317154781638645/5596043783749692/</v>
      </c>
      <c r="J862" s="1" t="str">
        <f>IFERROR(__xludf.DUMMYFUNCTION("""COMPUTED_VALUE"""),"2022-07-04T15:38:38.275Z")</f>
        <v>2022-07-04T15:38:38.275Z</v>
      </c>
      <c r="K862" s="1"/>
    </row>
    <row r="863">
      <c r="A863" s="2" t="str">
        <f>IFERROR(__xludf.DUMMYFUNCTION("""COMPUTED_VALUE"""),"https://www.facebook.com/mhelay.ybanez")</f>
        <v>https://www.facebook.com/mhelay.ybanez</v>
      </c>
      <c r="B863" s="1" t="str">
        <f>IFERROR(__xludf.DUMMYFUNCTION("""COMPUTED_VALUE"""),"Mhelay Quin")</f>
        <v>Mhelay Quin</v>
      </c>
      <c r="C863" s="1" t="str">
        <f>IFERROR(__xludf.DUMMYFUNCTION("""COMPUTED_VALUE"""),"Mhelay")</f>
        <v>Mhelay</v>
      </c>
      <c r="D863" s="1" t="str">
        <f>IFERROR(__xludf.DUMMYFUNCTION("""COMPUTED_VALUE"""),"Quin")</f>
        <v>Quin</v>
      </c>
      <c r="E863" s="1" t="str">
        <f>IFERROR(__xludf.DUMMYFUNCTION("""COMPUTED_VALUE"""),"Julio Quian  saan po ang resibo? Leader po sila ng Ilocos for 60 years bakit 4th class province pa rin ang Ilocos?🤔🤔🤔 Naisip nyo po ba yun?")</f>
        <v>Julio Quian  saan po ang resibo? Leader po sila ng Ilocos for 60 years bakit 4th class province pa rin ang Ilocos?🤔🤔🤔 Naisip nyo po ba yun?</v>
      </c>
      <c r="F863" s="1">
        <f>IFERROR(__xludf.DUMMYFUNCTION("""COMPUTED_VALUE"""),2.0)</f>
        <v>2</v>
      </c>
      <c r="G863" s="1" t="str">
        <f>IFERROR(__xludf.DUMMYFUNCTION("""COMPUTED_VALUE"""),"3 mos")</f>
        <v>3 mos</v>
      </c>
      <c r="H863" s="1" t="str">
        <f>IFERROR(__xludf.DUMMYFUNCTION("""COMPUTED_VALUE"""),"reply")</f>
        <v>reply</v>
      </c>
      <c r="I863" s="2" t="str">
        <f>IFERROR(__xludf.DUMMYFUNCTION("""COMPUTED_VALUE"""),"https://www.facebook.com/rapplerdotcom/photos/a.317154781638645/5596043783749692/")</f>
        <v>https://www.facebook.com/rapplerdotcom/photos/a.317154781638645/5596043783749692/</v>
      </c>
      <c r="J863" s="1" t="str">
        <f>IFERROR(__xludf.DUMMYFUNCTION("""COMPUTED_VALUE"""),"2022-07-04T15:38:38.275Z")</f>
        <v>2022-07-04T15:38:38.275Z</v>
      </c>
      <c r="K863" s="1"/>
    </row>
    <row r="864">
      <c r="A864" s="2" t="str">
        <f>IFERROR(__xludf.DUMMYFUNCTION("""COMPUTED_VALUE"""),"https://www.facebook.com/dhang.veritas")</f>
        <v>https://www.facebook.com/dhang.veritas</v>
      </c>
      <c r="B864" s="1" t="str">
        <f>IFERROR(__xludf.DUMMYFUNCTION("""COMPUTED_VALUE"""),"Dang Elizalde Candame")</f>
        <v>Dang Elizalde Candame</v>
      </c>
      <c r="C864" s="1" t="str">
        <f>IFERROR(__xludf.DUMMYFUNCTION("""COMPUTED_VALUE"""),"Dang")</f>
        <v>Dang</v>
      </c>
      <c r="D864" s="1" t="str">
        <f>IFERROR(__xludf.DUMMYFUNCTION("""COMPUTED_VALUE"""),"Elizalde Candame")</f>
        <v>Elizalde Candame</v>
      </c>
      <c r="E864" s="1" t="str">
        <f>IFERROR(__xludf.DUMMYFUNCTION("""COMPUTED_VALUE"""),"at iisa ang kuwento ng mga dumalo.. hindi sila binayaran... kahit napakainit, walang nauhaw , walang nagutom.. ang daming libreng tubig at pagkain na mismong mga pumunta doon ang kusang nagluto,bumili at nagdala para lahat may lakas , at hindi manghina ha"&amp;"bang nagkakasayahan.. Sayang , palagi kaming nasa work , kaya di kami nakakapunta... pero ang mga kasamahan namin na available , nagpunta at tuwang tuwa pag-uwi..")</f>
        <v>at iisa ang kuwento ng mga dumalo.. hindi sila binayaran... kahit napakainit, walang nauhaw , walang nagutom.. ang daming libreng tubig at pagkain na mismong mga pumunta doon ang kusang nagluto,bumili at nagdala para lahat may lakas , at hindi manghina habang nagkakasayahan.. Sayang , palagi kaming nasa work , kaya di kami nakakapunta... pero ang mga kasamahan namin na available , nagpunta at tuwang tuwa pag-uwi..</v>
      </c>
      <c r="F864" s="1"/>
      <c r="G864" s="1" t="str">
        <f>IFERROR(__xludf.DUMMYFUNCTION("""COMPUTED_VALUE"""),"3 mos")</f>
        <v>3 mos</v>
      </c>
      <c r="H864" s="1" t="str">
        <f>IFERROR(__xludf.DUMMYFUNCTION("""COMPUTED_VALUE"""),"comment")</f>
        <v>comment</v>
      </c>
      <c r="I864" s="2" t="str">
        <f>IFERROR(__xludf.DUMMYFUNCTION("""COMPUTED_VALUE"""),"https://www.facebook.com/rapplerdotcom/photos/a.317154781638645/5596043783749692/")</f>
        <v>https://www.facebook.com/rapplerdotcom/photos/a.317154781638645/5596043783749692/</v>
      </c>
      <c r="J864" s="1" t="str">
        <f>IFERROR(__xludf.DUMMYFUNCTION("""COMPUTED_VALUE"""),"2022-07-04T15:38:38.275Z")</f>
        <v>2022-07-04T15:38:38.275Z</v>
      </c>
      <c r="K864" s="1"/>
    </row>
    <row r="865">
      <c r="A865" s="2" t="str">
        <f>IFERROR(__xludf.DUMMYFUNCTION("""COMPUTED_VALUE"""),"https://www.facebook.com/xernes.martinez")</f>
        <v>https://www.facebook.com/xernes.martinez</v>
      </c>
      <c r="B865" s="1" t="str">
        <f>IFERROR(__xludf.DUMMYFUNCTION("""COMPUTED_VALUE"""),"Xernes Martinez")</f>
        <v>Xernes Martinez</v>
      </c>
      <c r="C865" s="1" t="str">
        <f>IFERROR(__xludf.DUMMYFUNCTION("""COMPUTED_VALUE"""),"Xernes")</f>
        <v>Xernes</v>
      </c>
      <c r="D865" s="1" t="str">
        <f>IFERROR(__xludf.DUMMYFUNCTION("""COMPUTED_VALUE"""),"Martinez")</f>
        <v>Martinez</v>
      </c>
      <c r="E865" s="1" t="str">
        <f>IFERROR(__xludf.DUMMYFUNCTION("""COMPUTED_VALUE"""),"#LeniKiko2022  🇵🇭💗💚")</f>
        <v>#LeniKiko2022  🇵🇭💗💚</v>
      </c>
      <c r="F865" s="1">
        <f>IFERROR(__xludf.DUMMYFUNCTION("""COMPUTED_VALUE"""),1.0)</f>
        <v>1</v>
      </c>
      <c r="G865" s="1" t="str">
        <f>IFERROR(__xludf.DUMMYFUNCTION("""COMPUTED_VALUE"""),"3 mos")</f>
        <v>3 mos</v>
      </c>
      <c r="H865" s="1" t="str">
        <f>IFERROR(__xludf.DUMMYFUNCTION("""COMPUTED_VALUE"""),"comment")</f>
        <v>comment</v>
      </c>
      <c r="I865" s="2" t="str">
        <f>IFERROR(__xludf.DUMMYFUNCTION("""COMPUTED_VALUE"""),"https://www.facebook.com/rapplerdotcom/photos/a.317154781638645/5596043783749692/")</f>
        <v>https://www.facebook.com/rapplerdotcom/photos/a.317154781638645/5596043783749692/</v>
      </c>
      <c r="J865" s="1" t="str">
        <f>IFERROR(__xludf.DUMMYFUNCTION("""COMPUTED_VALUE"""),"2022-07-04T15:38:38.275Z")</f>
        <v>2022-07-04T15:38:38.275Z</v>
      </c>
      <c r="K865" s="1"/>
    </row>
    <row r="866">
      <c r="A866" s="2" t="str">
        <f>IFERROR(__xludf.DUMMYFUNCTION("""COMPUTED_VALUE"""),"https://www.facebook.com/ellen.barrios")</f>
        <v>https://www.facebook.com/ellen.barrios</v>
      </c>
      <c r="B866" s="1" t="str">
        <f>IFERROR(__xludf.DUMMYFUNCTION("""COMPUTED_VALUE"""),"Ellen Barrios")</f>
        <v>Ellen Barrios</v>
      </c>
      <c r="C866" s="1" t="str">
        <f>IFERROR(__xludf.DUMMYFUNCTION("""COMPUTED_VALUE"""),"Ellen")</f>
        <v>Ellen</v>
      </c>
      <c r="D866" s="1" t="str">
        <f>IFERROR(__xludf.DUMMYFUNCTION("""COMPUTED_VALUE"""),"Barrios")</f>
        <v>Barrios</v>
      </c>
      <c r="E866" s="1" t="str">
        <f>IFERROR(__xludf.DUMMYFUNCTION("""COMPUTED_VALUE"""),"Puro Naman entertainment ginagawa nyo d naman rally puro concert.kaya dinadayo sa caravan walang tao bat Ganon.")</f>
        <v>Puro Naman entertainment ginagawa nyo d naman rally puro concert.kaya dinadayo sa caravan walang tao bat Ganon.</v>
      </c>
      <c r="F866" s="1">
        <f>IFERROR(__xludf.DUMMYFUNCTION("""COMPUTED_VALUE"""),9.0)</f>
        <v>9</v>
      </c>
      <c r="G866" s="1" t="str">
        <f>IFERROR(__xludf.DUMMYFUNCTION("""COMPUTED_VALUE"""),"3 mos")</f>
        <v>3 mos</v>
      </c>
      <c r="H866" s="1" t="str">
        <f>IFERROR(__xludf.DUMMYFUNCTION("""COMPUTED_VALUE"""),"comment")</f>
        <v>comment</v>
      </c>
      <c r="I866" s="2" t="str">
        <f>IFERROR(__xludf.DUMMYFUNCTION("""COMPUTED_VALUE"""),"https://www.facebook.com/rapplerdotcom/photos/a.317154781638645/5596043783749692/")</f>
        <v>https://www.facebook.com/rapplerdotcom/photos/a.317154781638645/5596043783749692/</v>
      </c>
      <c r="J866" s="1" t="str">
        <f>IFERROR(__xludf.DUMMYFUNCTION("""COMPUTED_VALUE"""),"2022-07-04T15:38:38.275Z")</f>
        <v>2022-07-04T15:38:38.275Z</v>
      </c>
      <c r="K866" s="1"/>
    </row>
    <row r="867">
      <c r="A867" s="2" t="str">
        <f>IFERROR(__xludf.DUMMYFUNCTION("""COMPUTED_VALUE"""),"https://www.facebook.com/nedned.anobla")</f>
        <v>https://www.facebook.com/nedned.anobla</v>
      </c>
      <c r="B867" s="1" t="str">
        <f>IFERROR(__xludf.DUMMYFUNCTION("""COMPUTED_VALUE"""),"Lier Hakami")</f>
        <v>Lier Hakami</v>
      </c>
      <c r="C867" s="1" t="str">
        <f>IFERROR(__xludf.DUMMYFUNCTION("""COMPUTED_VALUE"""),"Lier")</f>
        <v>Lier</v>
      </c>
      <c r="D867" s="1" t="str">
        <f>IFERROR(__xludf.DUMMYFUNCTION("""COMPUTED_VALUE"""),"Hakami")</f>
        <v>Hakami</v>
      </c>
      <c r="E867" s="1" t="str">
        <f>IFERROR(__xludf.DUMMYFUNCTION("""COMPUTED_VALUE"""),"Ellen Barrios tama")</f>
        <v>Ellen Barrios tama</v>
      </c>
      <c r="F867" s="1">
        <f>IFERROR(__xludf.DUMMYFUNCTION("""COMPUTED_VALUE"""),4.0)</f>
        <v>4</v>
      </c>
      <c r="G867" s="1" t="str">
        <f>IFERROR(__xludf.DUMMYFUNCTION("""COMPUTED_VALUE"""),"3 mos")</f>
        <v>3 mos</v>
      </c>
      <c r="H867" s="1" t="str">
        <f>IFERROR(__xludf.DUMMYFUNCTION("""COMPUTED_VALUE"""),"reply")</f>
        <v>reply</v>
      </c>
      <c r="I867" s="2" t="str">
        <f>IFERROR(__xludf.DUMMYFUNCTION("""COMPUTED_VALUE"""),"https://www.facebook.com/rapplerdotcom/photos/a.317154781638645/5596043783749692/")</f>
        <v>https://www.facebook.com/rapplerdotcom/photos/a.317154781638645/5596043783749692/</v>
      </c>
      <c r="J867" s="1" t="str">
        <f>IFERROR(__xludf.DUMMYFUNCTION("""COMPUTED_VALUE"""),"2022-07-04T15:38:38.275Z")</f>
        <v>2022-07-04T15:38:38.275Z</v>
      </c>
      <c r="K867" s="1"/>
    </row>
    <row r="868">
      <c r="A868" s="2" t="str">
        <f>IFERROR(__xludf.DUMMYFUNCTION("""COMPUTED_VALUE"""),"https://www.facebook.com/nedned.anobla")</f>
        <v>https://www.facebook.com/nedned.anobla</v>
      </c>
      <c r="B868" s="1" t="str">
        <f>IFERROR(__xludf.DUMMYFUNCTION("""COMPUTED_VALUE"""),"Lier Hakami")</f>
        <v>Lier Hakami</v>
      </c>
      <c r="C868" s="1" t="str">
        <f>IFERROR(__xludf.DUMMYFUNCTION("""COMPUTED_VALUE"""),"Lier")</f>
        <v>Lier</v>
      </c>
      <c r="D868" s="1" t="str">
        <f>IFERROR(__xludf.DUMMYFUNCTION("""COMPUTED_VALUE"""),"Hakami")</f>
        <v>Hakami</v>
      </c>
      <c r="E868" s="1" t="str">
        <f>IFERROR(__xludf.DUMMYFUNCTION("""COMPUTED_VALUE"""),"Ellen Barrios may bayad at hakot kasi ma'am")</f>
        <v>Ellen Barrios may bayad at hakot kasi ma'am</v>
      </c>
      <c r="F868" s="1">
        <f>IFERROR(__xludf.DUMMYFUNCTION("""COMPUTED_VALUE"""),1.0)</f>
        <v>1</v>
      </c>
      <c r="G868" s="1" t="str">
        <f>IFERROR(__xludf.DUMMYFUNCTION("""COMPUTED_VALUE"""),"3 mos")</f>
        <v>3 mos</v>
      </c>
      <c r="H868" s="1" t="str">
        <f>IFERROR(__xludf.DUMMYFUNCTION("""COMPUTED_VALUE"""),"reply")</f>
        <v>reply</v>
      </c>
      <c r="I868" s="2" t="str">
        <f>IFERROR(__xludf.DUMMYFUNCTION("""COMPUTED_VALUE"""),"https://www.facebook.com/rapplerdotcom/photos/a.317154781638645/5596043783749692/")</f>
        <v>https://www.facebook.com/rapplerdotcom/photos/a.317154781638645/5596043783749692/</v>
      </c>
      <c r="J868" s="1" t="str">
        <f>IFERROR(__xludf.DUMMYFUNCTION("""COMPUTED_VALUE"""),"2022-07-04T15:38:38.275Z")</f>
        <v>2022-07-04T15:38:38.275Z</v>
      </c>
      <c r="K868" s="1"/>
    </row>
    <row r="869">
      <c r="A869" s="2" t="str">
        <f>IFERROR(__xludf.DUMMYFUNCTION("""COMPUTED_VALUE"""),"https://www.facebook.com/jean.salmorin.731")</f>
        <v>https://www.facebook.com/jean.salmorin.731</v>
      </c>
      <c r="B869" s="1" t="str">
        <f>IFERROR(__xludf.DUMMYFUNCTION("""COMPUTED_VALUE"""),"Jean Ribon Salmorin")</f>
        <v>Jean Ribon Salmorin</v>
      </c>
      <c r="C869" s="1" t="str">
        <f>IFERROR(__xludf.DUMMYFUNCTION("""COMPUTED_VALUE"""),"Jean")</f>
        <v>Jean</v>
      </c>
      <c r="D869" s="1" t="str">
        <f>IFERROR(__xludf.DUMMYFUNCTION("""COMPUTED_VALUE"""),"Ribon Salmorin")</f>
        <v>Ribon Salmorin</v>
      </c>
      <c r="E869" s="1" t="str">
        <f>IFERROR(__xludf.DUMMYFUNCTION("""COMPUTED_VALUE"""),"totoo to knina mga bata pabalik balik inabangan mag perform Ben n Ben daw .")</f>
        <v>totoo to knina mga bata pabalik balik inabangan mag perform Ben n Ben daw .</v>
      </c>
      <c r="F869" s="1">
        <f>IFERROR(__xludf.DUMMYFUNCTION("""COMPUTED_VALUE"""),1.0)</f>
        <v>1</v>
      </c>
      <c r="G869" s="1" t="str">
        <f>IFERROR(__xludf.DUMMYFUNCTION("""COMPUTED_VALUE"""),"3 mos")</f>
        <v>3 mos</v>
      </c>
      <c r="H869" s="1" t="str">
        <f>IFERROR(__xludf.DUMMYFUNCTION("""COMPUTED_VALUE"""),"reply")</f>
        <v>reply</v>
      </c>
      <c r="I869" s="2" t="str">
        <f>IFERROR(__xludf.DUMMYFUNCTION("""COMPUTED_VALUE"""),"https://www.facebook.com/rapplerdotcom/photos/a.317154781638645/5596043783749692/")</f>
        <v>https://www.facebook.com/rapplerdotcom/photos/a.317154781638645/5596043783749692/</v>
      </c>
      <c r="J869" s="1" t="str">
        <f>IFERROR(__xludf.DUMMYFUNCTION("""COMPUTED_VALUE"""),"2022-07-04T15:38:38.275Z")</f>
        <v>2022-07-04T15:38:38.275Z</v>
      </c>
      <c r="K869" s="1"/>
    </row>
    <row r="870">
      <c r="A870" s="2" t="str">
        <f>IFERROR(__xludf.DUMMYFUNCTION("""COMPUTED_VALUE"""),"https://www.facebook.com/honeybee.apelado")</f>
        <v>https://www.facebook.com/honeybee.apelado</v>
      </c>
      <c r="B870" s="1" t="str">
        <f>IFERROR(__xludf.DUMMYFUNCTION("""COMPUTED_VALUE"""),"Hani Apelado")</f>
        <v>Hani Apelado</v>
      </c>
      <c r="C870" s="1" t="str">
        <f>IFERROR(__xludf.DUMMYFUNCTION("""COMPUTED_VALUE"""),"Hani")</f>
        <v>Hani</v>
      </c>
      <c r="D870" s="1" t="str">
        <f>IFERROR(__xludf.DUMMYFUNCTION("""COMPUTED_VALUE"""),"Apelado")</f>
        <v>Apelado</v>
      </c>
      <c r="E870" s="1" t="str">
        <f>IFERROR(__xludf.DUMMYFUNCTION("""COMPUTED_VALUE"""),"Ellen Barrios tawag nyo samin? Sibuyas?  🤣😊🙄 Anu naman kung puro concert sayawan kantahan.. people's rally po kasi 😊 Ang saya saya join po kayo minsan para mabawasan Ang kapaitan 😊😘")</f>
        <v>Ellen Barrios tawag nyo samin? Sibuyas?  🤣😊🙄 Anu naman kung puro concert sayawan kantahan.. people's rally po kasi 😊 Ang saya saya join po kayo minsan para mabawasan Ang kapaitan 😊😘</v>
      </c>
      <c r="F870" s="1">
        <f>IFERROR(__xludf.DUMMYFUNCTION("""COMPUTED_VALUE"""),5.0)</f>
        <v>5</v>
      </c>
      <c r="G870" s="1" t="str">
        <f>IFERROR(__xludf.DUMMYFUNCTION("""COMPUTED_VALUE"""),"3 mos")</f>
        <v>3 mos</v>
      </c>
      <c r="H870" s="1" t="str">
        <f>IFERROR(__xludf.DUMMYFUNCTION("""COMPUTED_VALUE"""),"reply")</f>
        <v>reply</v>
      </c>
      <c r="I870" s="2" t="str">
        <f>IFERROR(__xludf.DUMMYFUNCTION("""COMPUTED_VALUE"""),"https://www.facebook.com/rapplerdotcom/photos/a.317154781638645/5596043783749692/")</f>
        <v>https://www.facebook.com/rapplerdotcom/photos/a.317154781638645/5596043783749692/</v>
      </c>
      <c r="J870" s="1" t="str">
        <f>IFERROR(__xludf.DUMMYFUNCTION("""COMPUTED_VALUE"""),"2022-07-04T15:38:38.275Z")</f>
        <v>2022-07-04T15:38:38.275Z</v>
      </c>
      <c r="K870" s="1"/>
    </row>
    <row r="871">
      <c r="A871" s="2" t="str">
        <f>IFERROR(__xludf.DUMMYFUNCTION("""COMPUTED_VALUE"""),"https://www.facebook.com/profile.php?id=100023261888630")</f>
        <v>https://www.facebook.com/profile.php?id=100023261888630</v>
      </c>
      <c r="B871" s="1" t="str">
        <f>IFERROR(__xludf.DUMMYFUNCTION("""COMPUTED_VALUE"""),"De Quiros Liezl")</f>
        <v>De Quiros Liezl</v>
      </c>
      <c r="C871" s="1" t="str">
        <f>IFERROR(__xludf.DUMMYFUNCTION("""COMPUTED_VALUE"""),"De")</f>
        <v>De</v>
      </c>
      <c r="D871" s="1" t="str">
        <f>IFERROR(__xludf.DUMMYFUNCTION("""COMPUTED_VALUE"""),"Quiros Liezl")</f>
        <v>Quiros Liezl</v>
      </c>
      <c r="E871" s="1" t="str">
        <f>IFERROR(__xludf.DUMMYFUNCTION("""COMPUTED_VALUE"""),"Ellen Barrios, mas ok na yan na ngayong kampanya may entertainment kesa kung kelan na nakapuwesto saka panay na lang clownery at joke, joke,joke sa mga issues ng Pinas.")</f>
        <v>Ellen Barrios, mas ok na yan na ngayong kampanya may entertainment kesa kung kelan na nakapuwesto saka panay na lang clownery at joke, joke,joke sa mga issues ng Pinas.</v>
      </c>
      <c r="F871" s="1">
        <f>IFERROR(__xludf.DUMMYFUNCTION("""COMPUTED_VALUE"""),1.0)</f>
        <v>1</v>
      </c>
      <c r="G871" s="1" t="str">
        <f>IFERROR(__xludf.DUMMYFUNCTION("""COMPUTED_VALUE"""),"3 mos")</f>
        <v>3 mos</v>
      </c>
      <c r="H871" s="1" t="str">
        <f>IFERROR(__xludf.DUMMYFUNCTION("""COMPUTED_VALUE"""),"reply")</f>
        <v>reply</v>
      </c>
      <c r="I871" s="2" t="str">
        <f>IFERROR(__xludf.DUMMYFUNCTION("""COMPUTED_VALUE"""),"https://www.facebook.com/rapplerdotcom/photos/a.317154781638645/5596043783749692/")</f>
        <v>https://www.facebook.com/rapplerdotcom/photos/a.317154781638645/5596043783749692/</v>
      </c>
      <c r="J871" s="1" t="str">
        <f>IFERROR(__xludf.DUMMYFUNCTION("""COMPUTED_VALUE"""),"2022-07-04T15:38:38.275Z")</f>
        <v>2022-07-04T15:38:38.275Z</v>
      </c>
      <c r="K871" s="1"/>
    </row>
    <row r="872">
      <c r="A872" s="2" t="str">
        <f>IFERROR(__xludf.DUMMYFUNCTION("""COMPUTED_VALUE"""),"https://www.facebook.com/ellen.barrios")</f>
        <v>https://www.facebook.com/ellen.barrios</v>
      </c>
      <c r="B872" s="1" t="str">
        <f>IFERROR(__xludf.DUMMYFUNCTION("""COMPUTED_VALUE"""),"Ellen Barrios")</f>
        <v>Ellen Barrios</v>
      </c>
      <c r="C872" s="1" t="str">
        <f>IFERROR(__xludf.DUMMYFUNCTION("""COMPUTED_VALUE"""),"Ellen")</f>
        <v>Ellen</v>
      </c>
      <c r="D872" s="1" t="str">
        <f>IFERROR(__xludf.DUMMYFUNCTION("""COMPUTED_VALUE"""),"Barrios")</f>
        <v>Barrios</v>
      </c>
      <c r="E872" s="1" t="str">
        <f>IFERROR(__xludf.DUMMYFUNCTION("""COMPUTED_VALUE"""),"De Quiros Liezl okay no problem.")</f>
        <v>De Quiros Liezl okay no problem.</v>
      </c>
      <c r="F872" s="1"/>
      <c r="G872" s="1" t="str">
        <f>IFERROR(__xludf.DUMMYFUNCTION("""COMPUTED_VALUE"""),"3 mos")</f>
        <v>3 mos</v>
      </c>
      <c r="H872" s="1" t="str">
        <f>IFERROR(__xludf.DUMMYFUNCTION("""COMPUTED_VALUE"""),"reply")</f>
        <v>reply</v>
      </c>
      <c r="I872" s="2" t="str">
        <f>IFERROR(__xludf.DUMMYFUNCTION("""COMPUTED_VALUE"""),"https://www.facebook.com/rapplerdotcom/photos/a.317154781638645/5596043783749692/")</f>
        <v>https://www.facebook.com/rapplerdotcom/photos/a.317154781638645/5596043783749692/</v>
      </c>
      <c r="J872" s="1" t="str">
        <f>IFERROR(__xludf.DUMMYFUNCTION("""COMPUTED_VALUE"""),"2022-07-04T15:38:38.275Z")</f>
        <v>2022-07-04T15:38:38.275Z</v>
      </c>
      <c r="K872" s="1"/>
    </row>
    <row r="873">
      <c r="A873" s="2" t="str">
        <f>IFERROR(__xludf.DUMMYFUNCTION("""COMPUTED_VALUE"""),"https://www.facebook.com/ellen.barrios")</f>
        <v>https://www.facebook.com/ellen.barrios</v>
      </c>
      <c r="B873" s="1" t="str">
        <f>IFERROR(__xludf.DUMMYFUNCTION("""COMPUTED_VALUE"""),"Ellen Barrios")</f>
        <v>Ellen Barrios</v>
      </c>
      <c r="C873" s="1" t="str">
        <f>IFERROR(__xludf.DUMMYFUNCTION("""COMPUTED_VALUE"""),"Ellen")</f>
        <v>Ellen</v>
      </c>
      <c r="D873" s="1" t="str">
        <f>IFERROR(__xludf.DUMMYFUNCTION("""COMPUTED_VALUE"""),"Barrios")</f>
        <v>Barrios</v>
      </c>
      <c r="E873" s="1" t="str">
        <f>IFERROR(__xludf.DUMMYFUNCTION("""COMPUTED_VALUE"""),"Hani Apelado d na Dyan k na lang sa concert mo mas gusto namin caravan Kasi nkkta Ang dami Ng tao d tulad sa Inyo sa Gabi lang dumadami taong hakot.kaw sa caravan sama ka Masaya.o wag pikon ha..ha..ha..")</f>
        <v>Hani Apelado d na Dyan k na lang sa concert mo mas gusto namin caravan Kasi nkkta Ang dami Ng tao d tulad sa Inyo sa Gabi lang dumadami taong hakot.kaw sa caravan sama ka Masaya.o wag pikon ha..ha..ha..</v>
      </c>
      <c r="F873" s="1"/>
      <c r="G873" s="1" t="str">
        <f>IFERROR(__xludf.DUMMYFUNCTION("""COMPUTED_VALUE"""),"3 mos")</f>
        <v>3 mos</v>
      </c>
      <c r="H873" s="1" t="str">
        <f>IFERROR(__xludf.DUMMYFUNCTION("""COMPUTED_VALUE"""),"reply")</f>
        <v>reply</v>
      </c>
      <c r="I873" s="2" t="str">
        <f>IFERROR(__xludf.DUMMYFUNCTION("""COMPUTED_VALUE"""),"https://www.facebook.com/rapplerdotcom/photos/a.317154781638645/5596043783749692/")</f>
        <v>https://www.facebook.com/rapplerdotcom/photos/a.317154781638645/5596043783749692/</v>
      </c>
      <c r="J873" s="1" t="str">
        <f>IFERROR(__xludf.DUMMYFUNCTION("""COMPUTED_VALUE"""),"2022-07-04T15:38:38.275Z")</f>
        <v>2022-07-04T15:38:38.275Z</v>
      </c>
      <c r="K873" s="1"/>
    </row>
    <row r="874">
      <c r="A874" s="2" t="str">
        <f>IFERROR(__xludf.DUMMYFUNCTION("""COMPUTED_VALUE"""),"https://www.facebook.com/profile.php?id=100023261888630")</f>
        <v>https://www.facebook.com/profile.php?id=100023261888630</v>
      </c>
      <c r="B874" s="1" t="str">
        <f>IFERROR(__xludf.DUMMYFUNCTION("""COMPUTED_VALUE"""),"De Quiros Liezl")</f>
        <v>De Quiros Liezl</v>
      </c>
      <c r="C874" s="1" t="str">
        <f>IFERROR(__xludf.DUMMYFUNCTION("""COMPUTED_VALUE"""),"De")</f>
        <v>De</v>
      </c>
      <c r="D874" s="1" t="str">
        <f>IFERROR(__xludf.DUMMYFUNCTION("""COMPUTED_VALUE"""),"Quiros Liezl")</f>
        <v>Quiros Liezl</v>
      </c>
      <c r="E874" s="1" t="str">
        <f>IFERROR(__xludf.DUMMYFUNCTION("""COMPUTED_VALUE"""),"Ellen BarriosEllen Barrios , hindi naman lahat may sasakyan para sa caravan.. Yung iba mas gusto talaga sa gabi dahil hindi masyadong mainit. Iwas heat stroke.")</f>
        <v>Ellen BarriosEllen Barrios , hindi naman lahat may sasakyan para sa caravan.. Yung iba mas gusto talaga sa gabi dahil hindi masyadong mainit. Iwas heat stroke.</v>
      </c>
      <c r="F874" s="1"/>
      <c r="G874" s="1" t="str">
        <f>IFERROR(__xludf.DUMMYFUNCTION("""COMPUTED_VALUE"""),"3 mos")</f>
        <v>3 mos</v>
      </c>
      <c r="H874" s="1" t="str">
        <f>IFERROR(__xludf.DUMMYFUNCTION("""COMPUTED_VALUE"""),"reply")</f>
        <v>reply</v>
      </c>
      <c r="I874" s="2" t="str">
        <f>IFERROR(__xludf.DUMMYFUNCTION("""COMPUTED_VALUE"""),"https://www.facebook.com/rapplerdotcom/photos/a.317154781638645/5596043783749692/")</f>
        <v>https://www.facebook.com/rapplerdotcom/photos/a.317154781638645/5596043783749692/</v>
      </c>
      <c r="J874" s="1" t="str">
        <f>IFERROR(__xludf.DUMMYFUNCTION("""COMPUTED_VALUE"""),"2022-07-04T15:38:38.275Z")</f>
        <v>2022-07-04T15:38:38.275Z</v>
      </c>
      <c r="K874" s="1"/>
    </row>
    <row r="875">
      <c r="A875" s="2" t="str">
        <f>IFERROR(__xludf.DUMMYFUNCTION("""COMPUTED_VALUE"""),"https://www.facebook.com/jsprjmr")</f>
        <v>https://www.facebook.com/jsprjmr</v>
      </c>
      <c r="B875" s="1" t="str">
        <f>IFERROR(__xludf.DUMMYFUNCTION("""COMPUTED_VALUE"""),"Jasper Marasigan")</f>
        <v>Jasper Marasigan</v>
      </c>
      <c r="C875" s="1" t="str">
        <f>IFERROR(__xludf.DUMMYFUNCTION("""COMPUTED_VALUE"""),"Jasper")</f>
        <v>Jasper</v>
      </c>
      <c r="D875" s="1" t="str">
        <f>IFERROR(__xludf.DUMMYFUNCTION("""COMPUTED_VALUE"""),"Marasigan")</f>
        <v>Marasigan</v>
      </c>
      <c r="E875" s="1" t="str">
        <f>IFERROR(__xludf.DUMMYFUNCTION("""COMPUTED_VALUE"""),"Ellen BarriosEllen BarriosEllen Barrios well, may rally po na naganap, onti nalang yung naging time kasi may earth hour pa po na ginawa")</f>
        <v>Ellen BarriosEllen BarriosEllen Barrios well, may rally po na naganap, onti nalang yung naging time kasi may earth hour pa po na ginawa</v>
      </c>
      <c r="F875" s="1"/>
      <c r="G875" s="1" t="str">
        <f>IFERROR(__xludf.DUMMYFUNCTION("""COMPUTED_VALUE"""),"3 mos")</f>
        <v>3 mos</v>
      </c>
      <c r="H875" s="1" t="str">
        <f>IFERROR(__xludf.DUMMYFUNCTION("""COMPUTED_VALUE"""),"reply")</f>
        <v>reply</v>
      </c>
      <c r="I875" s="2" t="str">
        <f>IFERROR(__xludf.DUMMYFUNCTION("""COMPUTED_VALUE"""),"https://www.facebook.com/rapplerdotcom/photos/a.317154781638645/5596043783749692/")</f>
        <v>https://www.facebook.com/rapplerdotcom/photos/a.317154781638645/5596043783749692/</v>
      </c>
      <c r="J875" s="1" t="str">
        <f>IFERROR(__xludf.DUMMYFUNCTION("""COMPUTED_VALUE"""),"2022-07-04T15:38:38.275Z")</f>
        <v>2022-07-04T15:38:38.275Z</v>
      </c>
      <c r="K875" s="1"/>
    </row>
    <row r="876">
      <c r="A876" s="2" t="str">
        <f>IFERROR(__xludf.DUMMYFUNCTION("""COMPUTED_VALUE"""),"https://www.facebook.com/ellen.barrios")</f>
        <v>https://www.facebook.com/ellen.barrios</v>
      </c>
      <c r="B876" s="1" t="str">
        <f>IFERROR(__xludf.DUMMYFUNCTION("""COMPUTED_VALUE"""),"Ellen Barrios")</f>
        <v>Ellen Barrios</v>
      </c>
      <c r="C876" s="1" t="str">
        <f>IFERROR(__xludf.DUMMYFUNCTION("""COMPUTED_VALUE"""),"Ellen")</f>
        <v>Ellen</v>
      </c>
      <c r="D876" s="1" t="str">
        <f>IFERROR(__xludf.DUMMYFUNCTION("""COMPUTED_VALUE"""),"Barrios")</f>
        <v>Barrios</v>
      </c>
      <c r="E876" s="1" t="str">
        <f>IFERROR(__xludf.DUMMYFUNCTION("""COMPUTED_VALUE"""),"De Quiros Liezl okay free hakot moves.")</f>
        <v>De Quiros Liezl okay free hakot moves.</v>
      </c>
      <c r="F876" s="1"/>
      <c r="G876" s="1" t="str">
        <f>IFERROR(__xludf.DUMMYFUNCTION("""COMPUTED_VALUE"""),"3 mos")</f>
        <v>3 mos</v>
      </c>
      <c r="H876" s="1" t="str">
        <f>IFERROR(__xludf.DUMMYFUNCTION("""COMPUTED_VALUE"""),"reply")</f>
        <v>reply</v>
      </c>
      <c r="I876" s="2" t="str">
        <f>IFERROR(__xludf.DUMMYFUNCTION("""COMPUTED_VALUE"""),"https://www.facebook.com/rapplerdotcom/photos/a.317154781638645/5596043783749692/")</f>
        <v>https://www.facebook.com/rapplerdotcom/photos/a.317154781638645/5596043783749692/</v>
      </c>
      <c r="J876" s="1" t="str">
        <f>IFERROR(__xludf.DUMMYFUNCTION("""COMPUTED_VALUE"""),"2022-07-04T15:38:38.275Z")</f>
        <v>2022-07-04T15:38:38.275Z</v>
      </c>
      <c r="K876" s="1"/>
    </row>
    <row r="877">
      <c r="A877" s="2" t="str">
        <f>IFERROR(__xludf.DUMMYFUNCTION("""COMPUTED_VALUE"""),"https://www.facebook.com/nedned.anobla")</f>
        <v>https://www.facebook.com/nedned.anobla</v>
      </c>
      <c r="B877" s="1" t="str">
        <f>IFERROR(__xludf.DUMMYFUNCTION("""COMPUTED_VALUE"""),"Lier Hakami")</f>
        <v>Lier Hakami</v>
      </c>
      <c r="C877" s="1" t="str">
        <f>IFERROR(__xludf.DUMMYFUNCTION("""COMPUTED_VALUE"""),"Lier")</f>
        <v>Lier</v>
      </c>
      <c r="D877" s="1" t="str">
        <f>IFERROR(__xludf.DUMMYFUNCTION("""COMPUTED_VALUE"""),"Hakami")</f>
        <v>Hakami</v>
      </c>
      <c r="E877" s="1" t="str">
        <f>IFERROR(__xludf.DUMMYFUNCTION("""COMPUTED_VALUE"""),"De Quiros Liezl anong okay lang!!! Concert na yan hindi rally")</f>
        <v>De Quiros Liezl anong okay lang!!! Concert na yan hindi rally</v>
      </c>
      <c r="F877" s="1"/>
      <c r="G877" s="1" t="str">
        <f>IFERROR(__xludf.DUMMYFUNCTION("""COMPUTED_VALUE"""),"3 mos")</f>
        <v>3 mos</v>
      </c>
      <c r="H877" s="1" t="str">
        <f>IFERROR(__xludf.DUMMYFUNCTION("""COMPUTED_VALUE"""),"reply")</f>
        <v>reply</v>
      </c>
      <c r="I877" s="2" t="str">
        <f>IFERROR(__xludf.DUMMYFUNCTION("""COMPUTED_VALUE"""),"https://www.facebook.com/rapplerdotcom/photos/a.317154781638645/5596043783749692/")</f>
        <v>https://www.facebook.com/rapplerdotcom/photos/a.317154781638645/5596043783749692/</v>
      </c>
      <c r="J877" s="1" t="str">
        <f>IFERROR(__xludf.DUMMYFUNCTION("""COMPUTED_VALUE"""),"2022-07-04T15:38:38.275Z")</f>
        <v>2022-07-04T15:38:38.275Z</v>
      </c>
      <c r="K877" s="1"/>
    </row>
    <row r="878">
      <c r="A878" s="2" t="str">
        <f>IFERROR(__xludf.DUMMYFUNCTION("""COMPUTED_VALUE"""),"https://www.facebook.com/tumaladjennie")</f>
        <v>https://www.facebook.com/tumaladjennie</v>
      </c>
      <c r="B878" s="1" t="str">
        <f>IFERROR(__xludf.DUMMYFUNCTION("""COMPUTED_VALUE"""),"Jeni Tumalad")</f>
        <v>Jeni Tumalad</v>
      </c>
      <c r="C878" s="1" t="str">
        <f>IFERROR(__xludf.DUMMYFUNCTION("""COMPUTED_VALUE"""),"Jeni")</f>
        <v>Jeni</v>
      </c>
      <c r="D878" s="1" t="str">
        <f>IFERROR(__xludf.DUMMYFUNCTION("""COMPUTED_VALUE"""),"Tumalad")</f>
        <v>Tumalad</v>
      </c>
      <c r="E878" s="1" t="str">
        <f>IFERROR(__xludf.DUMMYFUNCTION("""COMPUTED_VALUE"""),"Ellen Barrios roar")</f>
        <v>Ellen Barrios roar</v>
      </c>
      <c r="F878" s="1"/>
      <c r="G878" s="1" t="str">
        <f>IFERROR(__xludf.DUMMYFUNCTION("""COMPUTED_VALUE"""),"3 mos")</f>
        <v>3 mos</v>
      </c>
      <c r="H878" s="1" t="str">
        <f>IFERROR(__xludf.DUMMYFUNCTION("""COMPUTED_VALUE"""),"reply")</f>
        <v>reply</v>
      </c>
      <c r="I878" s="2" t="str">
        <f>IFERROR(__xludf.DUMMYFUNCTION("""COMPUTED_VALUE"""),"https://www.facebook.com/rapplerdotcom/photos/a.317154781638645/5596043783749692/")</f>
        <v>https://www.facebook.com/rapplerdotcom/photos/a.317154781638645/5596043783749692/</v>
      </c>
      <c r="J878" s="1" t="str">
        <f>IFERROR(__xludf.DUMMYFUNCTION("""COMPUTED_VALUE"""),"2022-07-04T15:38:38.275Z")</f>
        <v>2022-07-04T15:38:38.275Z</v>
      </c>
      <c r="K878" s="1"/>
    </row>
    <row r="879">
      <c r="A879" s="2" t="str">
        <f>IFERROR(__xludf.DUMMYFUNCTION("""COMPUTED_VALUE"""),"https://www.facebook.com/dyoeff.lmabasa")</f>
        <v>https://www.facebook.com/dyoeff.lmabasa</v>
      </c>
      <c r="B879" s="1" t="str">
        <f>IFERROR(__xludf.DUMMYFUNCTION("""COMPUTED_VALUE"""),"Dyoeff Loresca Mabasa")</f>
        <v>Dyoeff Loresca Mabasa</v>
      </c>
      <c r="C879" s="1" t="str">
        <f>IFERROR(__xludf.DUMMYFUNCTION("""COMPUTED_VALUE"""),"Dyoeff")</f>
        <v>Dyoeff</v>
      </c>
      <c r="D879" s="1" t="str">
        <f>IFERROR(__xludf.DUMMYFUNCTION("""COMPUTED_VALUE"""),"Loresca Mabasa")</f>
        <v>Loresca Mabasa</v>
      </c>
      <c r="E879" s="1" t="str">
        <f>IFERROR(__xludf.DUMMYFUNCTION("""COMPUTED_VALUE"""),"#CaMaNaVaIsPink #10RobredoPresident #7KikoPangilinanVicePresident #GobyernongTapatAngatBuhayLahat")</f>
        <v>#CaMaNaVaIsPink #10RobredoPresident #7KikoPangilinanVicePresident #GobyernongTapatAngatBuhayLahat</v>
      </c>
      <c r="F879" s="1">
        <f>IFERROR(__xludf.DUMMYFUNCTION("""COMPUTED_VALUE"""),16.0)</f>
        <v>16</v>
      </c>
      <c r="G879" s="1" t="str">
        <f>IFERROR(__xludf.DUMMYFUNCTION("""COMPUTED_VALUE"""),"3 mos")</f>
        <v>3 mos</v>
      </c>
      <c r="H879" s="1" t="str">
        <f>IFERROR(__xludf.DUMMYFUNCTION("""COMPUTED_VALUE"""),"comment")</f>
        <v>comment</v>
      </c>
      <c r="I879" s="2" t="str">
        <f>IFERROR(__xludf.DUMMYFUNCTION("""COMPUTED_VALUE"""),"https://www.facebook.com/rapplerdotcom/photos/a.317154781638645/5596043783749692/")</f>
        <v>https://www.facebook.com/rapplerdotcom/photos/a.317154781638645/5596043783749692/</v>
      </c>
      <c r="J879" s="1" t="str">
        <f>IFERROR(__xludf.DUMMYFUNCTION("""COMPUTED_VALUE"""),"2022-07-04T15:38:38.275Z")</f>
        <v>2022-07-04T15:38:38.275Z</v>
      </c>
      <c r="K879" s="1"/>
    </row>
    <row r="880">
      <c r="A880" s="2" t="str">
        <f>IFERROR(__xludf.DUMMYFUNCTION("""COMPUTED_VALUE"""),"https://www.facebook.com/yongcoonang")</f>
        <v>https://www.facebook.com/yongcoonang</v>
      </c>
      <c r="B880" s="1" t="str">
        <f>IFERROR(__xludf.DUMMYFUNCTION("""COMPUTED_VALUE"""),"Kelvin Billy")</f>
        <v>Kelvin Billy</v>
      </c>
      <c r="C880" s="1" t="str">
        <f>IFERROR(__xludf.DUMMYFUNCTION("""COMPUTED_VALUE"""),"Kelvin")</f>
        <v>Kelvin</v>
      </c>
      <c r="D880" s="1" t="str">
        <f>IFERROR(__xludf.DUMMYFUNCTION("""COMPUTED_VALUE"""),"Billy")</f>
        <v>Billy</v>
      </c>
      <c r="E880" s="1" t="str">
        <f>IFERROR(__xludf.DUMMYFUNCTION("""COMPUTED_VALUE"""),"Dyoeff Loresca Mabasa   ⚙️ EARN MONEY ONLINE WITHOUT GOING TO WORK OR STRESS YOURSELF  ⚙️if you're interested ☝️☝️☝️ just kindly click on the link to contact my Senior Cryptofx account manager for guidance 📩  Link 🔗🔗🔗  https://www.facebook.com/evlira."&amp;"cryptofxtrader")</f>
        <v>Dyoeff Loresca Mabasa   ⚙️ EARN MONEY ONLINE WITHOUT GOING TO WORK OR STRESS YOURSELF  ⚙️if you're interested ☝️☝️☝️ just kindly click on the link to contact my Senior Cryptofx account manager for guidance 📩  Link 🔗🔗🔗  https://www.facebook.com/evlira.cryptofxtrader</v>
      </c>
      <c r="F880" s="1"/>
      <c r="G880" s="1" t="str">
        <f>IFERROR(__xludf.DUMMYFUNCTION("""COMPUTED_VALUE"""),"3 mos")</f>
        <v>3 mos</v>
      </c>
      <c r="H880" s="1" t="str">
        <f>IFERROR(__xludf.DUMMYFUNCTION("""COMPUTED_VALUE"""),"reply")</f>
        <v>reply</v>
      </c>
      <c r="I880" s="2" t="str">
        <f>IFERROR(__xludf.DUMMYFUNCTION("""COMPUTED_VALUE"""),"https://www.facebook.com/rapplerdotcom/photos/a.317154781638645/5596043783749692/")</f>
        <v>https://www.facebook.com/rapplerdotcom/photos/a.317154781638645/5596043783749692/</v>
      </c>
      <c r="J880" s="1" t="str">
        <f>IFERROR(__xludf.DUMMYFUNCTION("""COMPUTED_VALUE"""),"2022-07-04T15:38:38.275Z")</f>
        <v>2022-07-04T15:38:38.275Z</v>
      </c>
      <c r="K880" s="1"/>
    </row>
    <row r="881">
      <c r="A881" s="2" t="str">
        <f>IFERROR(__xludf.DUMMYFUNCTION("""COMPUTED_VALUE"""),"https://www.facebook.com/arnie.puertollano")</f>
        <v>https://www.facebook.com/arnie.puertollano</v>
      </c>
      <c r="B881" s="1" t="str">
        <f>IFERROR(__xludf.DUMMYFUNCTION("""COMPUTED_VALUE"""),"Arnie Puertollano")</f>
        <v>Arnie Puertollano</v>
      </c>
      <c r="C881" s="1" t="str">
        <f>IFERROR(__xludf.DUMMYFUNCTION("""COMPUTED_VALUE"""),"Arnie")</f>
        <v>Arnie</v>
      </c>
      <c r="D881" s="1" t="str">
        <f>IFERROR(__xludf.DUMMYFUNCTION("""COMPUTED_VALUE"""),"Puertollano")</f>
        <v>Puertollano</v>
      </c>
      <c r="E881" s="1" t="str">
        <f>IFERROR(__xludf.DUMMYFUNCTION("""COMPUTED_VALUE"""),"Tulog tuloy lang ang People’s Campaign, banat na ng hse to hse!!!!")</f>
        <v>Tulog tuloy lang ang People’s Campaign, banat na ng hse to hse!!!!</v>
      </c>
      <c r="F881" s="1"/>
      <c r="G881" s="1" t="str">
        <f>IFERROR(__xludf.DUMMYFUNCTION("""COMPUTED_VALUE"""),"3 mos")</f>
        <v>3 mos</v>
      </c>
      <c r="H881" s="1" t="str">
        <f>IFERROR(__xludf.DUMMYFUNCTION("""COMPUTED_VALUE"""),"comment")</f>
        <v>comment</v>
      </c>
      <c r="I881" s="2" t="str">
        <f>IFERROR(__xludf.DUMMYFUNCTION("""COMPUTED_VALUE"""),"https://www.facebook.com/rapplerdotcom/photos/a.317154781638645/5596043783749692/")</f>
        <v>https://www.facebook.com/rapplerdotcom/photos/a.317154781638645/5596043783749692/</v>
      </c>
      <c r="J881" s="1" t="str">
        <f>IFERROR(__xludf.DUMMYFUNCTION("""COMPUTED_VALUE"""),"2022-07-04T15:38:38.275Z")</f>
        <v>2022-07-04T15:38:38.275Z</v>
      </c>
      <c r="K881" s="1"/>
    </row>
    <row r="882">
      <c r="A882" s="2" t="str">
        <f>IFERROR(__xludf.DUMMYFUNCTION("""COMPUTED_VALUE"""),"https://www.facebook.com/profile.php?id=100072698662337")</f>
        <v>https://www.facebook.com/profile.php?id=100072698662337</v>
      </c>
      <c r="B882" s="1" t="str">
        <f>IFERROR(__xludf.DUMMYFUNCTION("""COMPUTED_VALUE"""),"Jojo Solayao")</f>
        <v>Jojo Solayao</v>
      </c>
      <c r="C882" s="1" t="str">
        <f>IFERROR(__xludf.DUMMYFUNCTION("""COMPUTED_VALUE"""),"Jojo")</f>
        <v>Jojo</v>
      </c>
      <c r="D882" s="1" t="str">
        <f>IFERROR(__xludf.DUMMYFUNCTION("""COMPUTED_VALUE"""),"Solayao")</f>
        <v>Solayao</v>
      </c>
      <c r="E882" s="1" t="str">
        <f>IFERROR(__xludf.DUMMYFUNCTION("""COMPUTED_VALUE"""),"WOW GISING NA ANG SAMBAYANANG PILIPINO NA TUMINDIG AT NAGPAKITA NG SUPORTA SA ATING SUSUNOD NA PRESIDENTE...CALOOCAN..MALABON...NAVOTAS AT VALENZUELA ( CAMANAVA) SALUDO PO KAMI SA INYO...ANG LAKAS NG KAKAMPINK PROCLAMATION RALLY AY DAHIL SA VOLUNTEERISM N"&amp;"A WALANG PUTING SOBRE.....ILANG ARAW NA LANG....ITODO NA NA NATIN ITO....PARA SA GOBYERNONG TAPAT ...ISANG BABAE ANG NARARAPAT!!")</f>
        <v>WOW GISING NA ANG SAMBAYANANG PILIPINO NA TUMINDIG AT NAGPAKITA NG SUPORTA SA ATING SUSUNOD NA PRESIDENTE...CALOOCAN..MALABON...NAVOTAS AT VALENZUELA ( CAMANAVA) SALUDO PO KAMI SA INYO...ANG LAKAS NG KAKAMPINK PROCLAMATION RALLY AY DAHIL SA VOLUNTEERISM NA WALANG PUTING SOBRE.....ILANG ARAW NA LANG....ITODO NA NA NATIN ITO....PARA SA GOBYERNONG TAPAT ...ISANG BABAE ANG NARARAPAT!!</v>
      </c>
      <c r="F882" s="1">
        <f>IFERROR(__xludf.DUMMYFUNCTION("""COMPUTED_VALUE"""),36.0)</f>
        <v>36</v>
      </c>
      <c r="G882" s="1" t="str">
        <f>IFERROR(__xludf.DUMMYFUNCTION("""COMPUTED_VALUE"""),"3 mos")</f>
        <v>3 mos</v>
      </c>
      <c r="H882" s="1" t="str">
        <f>IFERROR(__xludf.DUMMYFUNCTION("""COMPUTED_VALUE"""),"comment")</f>
        <v>comment</v>
      </c>
      <c r="I882" s="2" t="str">
        <f>IFERROR(__xludf.DUMMYFUNCTION("""COMPUTED_VALUE"""),"https://www.facebook.com/rapplerdotcom/photos/a.317154781638645/5596043783749692/")</f>
        <v>https://www.facebook.com/rapplerdotcom/photos/a.317154781638645/5596043783749692/</v>
      </c>
      <c r="J882" s="1" t="str">
        <f>IFERROR(__xludf.DUMMYFUNCTION("""COMPUTED_VALUE"""),"2022-07-04T15:38:38.275Z")</f>
        <v>2022-07-04T15:38:38.275Z</v>
      </c>
      <c r="K882" s="1"/>
    </row>
    <row r="883">
      <c r="A883" s="2" t="str">
        <f>IFERROR(__xludf.DUMMYFUNCTION("""COMPUTED_VALUE"""),"https://www.facebook.com/profile.php?id=100047813203588")</f>
        <v>https://www.facebook.com/profile.php?id=100047813203588</v>
      </c>
      <c r="B883" s="1" t="str">
        <f>IFERROR(__xludf.DUMMYFUNCTION("""COMPUTED_VALUE"""),"Jacildo Jr George Areno")</f>
        <v>Jacildo Jr George Areno</v>
      </c>
      <c r="C883" s="1" t="str">
        <f>IFERROR(__xludf.DUMMYFUNCTION("""COMPUTED_VALUE"""),"Jacildo")</f>
        <v>Jacildo</v>
      </c>
      <c r="D883" s="1" t="str">
        <f>IFERROR(__xludf.DUMMYFUNCTION("""COMPUTED_VALUE"""),"Jr George Areno")</f>
        <v>Jr George Areno</v>
      </c>
      <c r="E883" s="1" t="str">
        <f>IFERROR(__xludf.DUMMYFUNCTION("""COMPUTED_VALUE"""),"My kind of President- compassionate, fair, people-centered policies are in place🙌🇵🇭🇵🇭🌸🇵🇭🇵🇭#gobyernong tapat🇵🇭🇵🇭🇵🇭#Lenikiko2022 #10#7 #GobyernongTapatAngatBuhayAngLahat #LetLeniKikoLead2022 #lenirobredo2022")</f>
        <v>My kind of President- compassionate, fair, people-centered policies are in place🙌🇵🇭🇵🇭🌸🇵🇭🇵🇭#gobyernong tapat🇵🇭🇵🇭🇵🇭#Lenikiko2022 #10#7 #GobyernongTapatAngatBuhayAngLahat #LetLeniKikoLead2022 #lenirobredo2022</v>
      </c>
      <c r="F883" s="1">
        <f>IFERROR(__xludf.DUMMYFUNCTION("""COMPUTED_VALUE"""),5.0)</f>
        <v>5</v>
      </c>
      <c r="G883" s="1" t="str">
        <f>IFERROR(__xludf.DUMMYFUNCTION("""COMPUTED_VALUE"""),"3 mos")</f>
        <v>3 mos</v>
      </c>
      <c r="H883" s="1" t="str">
        <f>IFERROR(__xludf.DUMMYFUNCTION("""COMPUTED_VALUE"""),"comment")</f>
        <v>comment</v>
      </c>
      <c r="I883" s="2" t="str">
        <f>IFERROR(__xludf.DUMMYFUNCTION("""COMPUTED_VALUE"""),"https://www.facebook.com/rapplerdotcom/photos/a.317154781638645/5596043783749692/")</f>
        <v>https://www.facebook.com/rapplerdotcom/photos/a.317154781638645/5596043783749692/</v>
      </c>
      <c r="J883" s="1" t="str">
        <f>IFERROR(__xludf.DUMMYFUNCTION("""COMPUTED_VALUE"""),"2022-07-04T15:38:38.276Z")</f>
        <v>2022-07-04T15:38:38.276Z</v>
      </c>
      <c r="K883" s="1"/>
    </row>
    <row r="884">
      <c r="A884" s="2" t="str">
        <f>IFERROR(__xludf.DUMMYFUNCTION("""COMPUTED_VALUE"""),"https://www.facebook.com/nigeltan.ph")</f>
        <v>https://www.facebook.com/nigeltan.ph</v>
      </c>
      <c r="B884" s="1" t="str">
        <f>IFERROR(__xludf.DUMMYFUNCTION("""COMPUTED_VALUE"""),"Rodjun Nigel Tan")</f>
        <v>Rodjun Nigel Tan</v>
      </c>
      <c r="C884" s="1" t="str">
        <f>IFERROR(__xludf.DUMMYFUNCTION("""COMPUTED_VALUE"""),"Rodjun")</f>
        <v>Rodjun</v>
      </c>
      <c r="D884" s="1" t="str">
        <f>IFERROR(__xludf.DUMMYFUNCTION("""COMPUTED_VALUE"""),"Nigel Tan")</f>
        <v>Nigel Tan</v>
      </c>
      <c r="E884" s="1" t="str">
        <f>IFERROR(__xludf.DUMMYFUNCTION("""COMPUTED_VALUE"""),"Bothered sa: -lobo  -sibuyas -flags  Pero unbothered sa FLYING MONOBLOC CHAIRS")</f>
        <v>Bothered sa: -lobo  -sibuyas -flags  Pero unbothered sa FLYING MONOBLOC CHAIRS</v>
      </c>
      <c r="F884" s="1">
        <f>IFERROR(__xludf.DUMMYFUNCTION("""COMPUTED_VALUE"""),55.0)</f>
        <v>55</v>
      </c>
      <c r="G884" s="1" t="str">
        <f>IFERROR(__xludf.DUMMYFUNCTION("""COMPUTED_VALUE"""),"3 mos")</f>
        <v>3 mos</v>
      </c>
      <c r="H884" s="1" t="str">
        <f>IFERROR(__xludf.DUMMYFUNCTION("""COMPUTED_VALUE"""),"comment")</f>
        <v>comment</v>
      </c>
      <c r="I884" s="2" t="str">
        <f>IFERROR(__xludf.DUMMYFUNCTION("""COMPUTED_VALUE"""),"https://www.facebook.com/rapplerdotcom/photos/a.317154781638645/5596043783749692/")</f>
        <v>https://www.facebook.com/rapplerdotcom/photos/a.317154781638645/5596043783749692/</v>
      </c>
      <c r="J884" s="1" t="str">
        <f>IFERROR(__xludf.DUMMYFUNCTION("""COMPUTED_VALUE"""),"2022-07-04T15:38:38.276Z")</f>
        <v>2022-07-04T15:38:38.276Z</v>
      </c>
      <c r="K884" s="1"/>
    </row>
    <row r="885">
      <c r="A885" s="2" t="str">
        <f>IFERROR(__xludf.DUMMYFUNCTION("""COMPUTED_VALUE"""),"https://www.facebook.com/yongcoonang")</f>
        <v>https://www.facebook.com/yongcoonang</v>
      </c>
      <c r="B885" s="1" t="str">
        <f>IFERROR(__xludf.DUMMYFUNCTION("""COMPUTED_VALUE"""),"Kelvin Billy")</f>
        <v>Kelvin Billy</v>
      </c>
      <c r="C885" s="1" t="str">
        <f>IFERROR(__xludf.DUMMYFUNCTION("""COMPUTED_VALUE"""),"Kelvin")</f>
        <v>Kelvin</v>
      </c>
      <c r="D885" s="1" t="str">
        <f>IFERROR(__xludf.DUMMYFUNCTION("""COMPUTED_VALUE"""),"Billy")</f>
        <v>Billy</v>
      </c>
      <c r="E885" s="1" t="str">
        <f>IFERROR(__xludf.DUMMYFUNCTION("""COMPUTED_VALUE"""),"Rodjun Nigel Tan   ⚙️ EARN MONEY ONLINE WITHOUT GOING TO WORK OR STRESS YOURSELF  ⚙️if you're interested ☝️☝️☝️ just kindly click on the link to contact my Senior Cryptofx account manager for guidance 📩  Link 🔗🔗🔗  https://www.facebook.com/evlira.crypt"&amp;"ofxtrader")</f>
        <v>Rodjun Nigel Tan   ⚙️ EARN MONEY ONLINE WITHOUT GOING TO WORK OR STRESS YOURSELF  ⚙️if you're interested ☝️☝️☝️ just kindly click on the link to contact my Senior Cryptofx account manager for guidance 📩  Link 🔗🔗🔗  https://www.facebook.com/evlira.cryptofxtrader</v>
      </c>
      <c r="F885" s="1"/>
      <c r="G885" s="1" t="str">
        <f>IFERROR(__xludf.DUMMYFUNCTION("""COMPUTED_VALUE"""),"3 mos")</f>
        <v>3 mos</v>
      </c>
      <c r="H885" s="1" t="str">
        <f>IFERROR(__xludf.DUMMYFUNCTION("""COMPUTED_VALUE"""),"reply")</f>
        <v>reply</v>
      </c>
      <c r="I885" s="2" t="str">
        <f>IFERROR(__xludf.DUMMYFUNCTION("""COMPUTED_VALUE"""),"https://www.facebook.com/rapplerdotcom/photos/a.317154781638645/5596043783749692/")</f>
        <v>https://www.facebook.com/rapplerdotcom/photos/a.317154781638645/5596043783749692/</v>
      </c>
      <c r="J885" s="1" t="str">
        <f>IFERROR(__xludf.DUMMYFUNCTION("""COMPUTED_VALUE"""),"2022-07-04T15:38:38.276Z")</f>
        <v>2022-07-04T15:38:38.276Z</v>
      </c>
      <c r="K885" s="1"/>
    </row>
    <row r="886">
      <c r="A886" s="2" t="str">
        <f>IFERROR(__xludf.DUMMYFUNCTION("""COMPUTED_VALUE"""),"https://www.facebook.com/marietta.tanglao")</f>
        <v>https://www.facebook.com/marietta.tanglao</v>
      </c>
      <c r="B886" s="1" t="str">
        <f>IFERROR(__xludf.DUMMYFUNCTION("""COMPUTED_VALUE"""),"Yette Topacio")</f>
        <v>Yette Topacio</v>
      </c>
      <c r="C886" s="1" t="str">
        <f>IFERROR(__xludf.DUMMYFUNCTION("""COMPUTED_VALUE"""),"Yette")</f>
        <v>Yette</v>
      </c>
      <c r="D886" s="1" t="str">
        <f>IFERROR(__xludf.DUMMYFUNCTION("""COMPUTED_VALUE"""),"Topacio")</f>
        <v>Topacio</v>
      </c>
      <c r="E886" s="1" t="str">
        <f>IFERROR(__xludf.DUMMYFUNCTION("""COMPUTED_VALUE"""),"Rodjun Nigel Tan wow inggit sa dmi ng tao")</f>
        <v>Rodjun Nigel Tan wow inggit sa dmi ng tao</v>
      </c>
      <c r="F886" s="1"/>
      <c r="G886" s="1" t="str">
        <f>IFERROR(__xludf.DUMMYFUNCTION("""COMPUTED_VALUE"""),"3 mos")</f>
        <v>3 mos</v>
      </c>
      <c r="H886" s="1" t="str">
        <f>IFERROR(__xludf.DUMMYFUNCTION("""COMPUTED_VALUE"""),"reply")</f>
        <v>reply</v>
      </c>
      <c r="I886" s="2" t="str">
        <f>IFERROR(__xludf.DUMMYFUNCTION("""COMPUTED_VALUE"""),"https://www.facebook.com/rapplerdotcom/photos/a.317154781638645/5596043783749692/")</f>
        <v>https://www.facebook.com/rapplerdotcom/photos/a.317154781638645/5596043783749692/</v>
      </c>
      <c r="J886" s="1" t="str">
        <f>IFERROR(__xludf.DUMMYFUNCTION("""COMPUTED_VALUE"""),"2022-07-04T15:38:38.276Z")</f>
        <v>2022-07-04T15:38:38.276Z</v>
      </c>
      <c r="K886" s="1"/>
    </row>
    <row r="887">
      <c r="A887" s="2" t="str">
        <f>IFERROR(__xludf.DUMMYFUNCTION("""COMPUTED_VALUE"""),"https://www.facebook.com/icecaramel.macchiato.908")</f>
        <v>https://www.facebook.com/icecaramel.macchiato.908</v>
      </c>
      <c r="B887" s="1" t="str">
        <f>IFERROR(__xludf.DUMMYFUNCTION("""COMPUTED_VALUE"""),"Mocha Java")</f>
        <v>Mocha Java</v>
      </c>
      <c r="C887" s="1" t="str">
        <f>IFERROR(__xludf.DUMMYFUNCTION("""COMPUTED_VALUE"""),"Mocha")</f>
        <v>Mocha</v>
      </c>
      <c r="D887" s="1" t="str">
        <f>IFERROR(__xludf.DUMMYFUNCTION("""COMPUTED_VALUE"""),"Java")</f>
        <v>Java</v>
      </c>
      <c r="E887" s="1" t="str">
        <f>IFERROR(__xludf.DUMMYFUNCTION("""COMPUTED_VALUE"""),"Rodjun Nigel Tan  Kaloka nga..my mga sungay! Katakot😅")</f>
        <v>Rodjun Nigel Tan  Kaloka nga..my mga sungay! Katakot😅</v>
      </c>
      <c r="F887" s="1"/>
      <c r="G887" s="1" t="str">
        <f>IFERROR(__xludf.DUMMYFUNCTION("""COMPUTED_VALUE"""),"3 mos")</f>
        <v>3 mos</v>
      </c>
      <c r="H887" s="1" t="str">
        <f>IFERROR(__xludf.DUMMYFUNCTION("""COMPUTED_VALUE"""),"reply")</f>
        <v>reply</v>
      </c>
      <c r="I887" s="2" t="str">
        <f>IFERROR(__xludf.DUMMYFUNCTION("""COMPUTED_VALUE"""),"https://www.facebook.com/rapplerdotcom/photos/a.317154781638645/5596043783749692/")</f>
        <v>https://www.facebook.com/rapplerdotcom/photos/a.317154781638645/5596043783749692/</v>
      </c>
      <c r="J887" s="1" t="str">
        <f>IFERROR(__xludf.DUMMYFUNCTION("""COMPUTED_VALUE"""),"2022-07-04T15:38:38.276Z")</f>
        <v>2022-07-04T15:38:38.276Z</v>
      </c>
      <c r="K887" s="1"/>
    </row>
    <row r="888">
      <c r="A888" s="2" t="str">
        <f>IFERROR(__xludf.DUMMYFUNCTION("""COMPUTED_VALUE"""),"https://www.facebook.com/profile.php?id=100009486210065")</f>
        <v>https://www.facebook.com/profile.php?id=100009486210065</v>
      </c>
      <c r="B888" s="1" t="str">
        <f>IFERROR(__xludf.DUMMYFUNCTION("""COMPUTED_VALUE"""),"Anita Lope")</f>
        <v>Anita Lope</v>
      </c>
      <c r="C888" s="1" t="str">
        <f>IFERROR(__xludf.DUMMYFUNCTION("""COMPUTED_VALUE"""),"Anita")</f>
        <v>Anita</v>
      </c>
      <c r="D888" s="1" t="str">
        <f>IFERROR(__xludf.DUMMYFUNCTION("""COMPUTED_VALUE"""),"Lope")</f>
        <v>Lope</v>
      </c>
      <c r="E888" s="1" t="str">
        <f>IFERROR(__xludf.DUMMYFUNCTION("""COMPUTED_VALUE"""),"Mocha Java kyo may sungay.wag kc pumasok sa d mo tiritoryo.god bless mam mocha")</f>
        <v>Mocha Java kyo may sungay.wag kc pumasok sa d mo tiritoryo.god bless mam mocha</v>
      </c>
      <c r="F888" s="1"/>
      <c r="G888" s="1" t="str">
        <f>IFERROR(__xludf.DUMMYFUNCTION("""COMPUTED_VALUE"""),"3 mos")</f>
        <v>3 mos</v>
      </c>
      <c r="H888" s="1" t="str">
        <f>IFERROR(__xludf.DUMMYFUNCTION("""COMPUTED_VALUE"""),"reply")</f>
        <v>reply</v>
      </c>
      <c r="I888" s="2" t="str">
        <f>IFERROR(__xludf.DUMMYFUNCTION("""COMPUTED_VALUE"""),"https://www.facebook.com/rapplerdotcom/photos/a.317154781638645/5596043783749692/")</f>
        <v>https://www.facebook.com/rapplerdotcom/photos/a.317154781638645/5596043783749692/</v>
      </c>
      <c r="J888" s="1" t="str">
        <f>IFERROR(__xludf.DUMMYFUNCTION("""COMPUTED_VALUE"""),"2022-07-04T15:38:38.276Z")</f>
        <v>2022-07-04T15:38:38.276Z</v>
      </c>
      <c r="K888" s="1"/>
    </row>
    <row r="889">
      <c r="A889" s="2" t="str">
        <f>IFERROR(__xludf.DUMMYFUNCTION("""COMPUTED_VALUE"""),"https://www.facebook.com/rainesantos123")</f>
        <v>https://www.facebook.com/rainesantos123</v>
      </c>
      <c r="B889" s="1" t="str">
        <f>IFERROR(__xludf.DUMMYFUNCTION("""COMPUTED_VALUE"""),"Sam My")</f>
        <v>Sam My</v>
      </c>
      <c r="C889" s="1" t="str">
        <f>IFERROR(__xludf.DUMMYFUNCTION("""COMPUTED_VALUE"""),"Sam")</f>
        <v>Sam</v>
      </c>
      <c r="D889" s="1" t="str">
        <f>IFERROR(__xludf.DUMMYFUNCTION("""COMPUTED_VALUE"""),"My")</f>
        <v>My</v>
      </c>
      <c r="E889" s="1" t="str">
        <f>IFERROR(__xludf.DUMMYFUNCTION("""COMPUTED_VALUE"""),"Rodjun Nigel Tan double time haha")</f>
        <v>Rodjun Nigel Tan double time haha</v>
      </c>
      <c r="F889" s="1"/>
      <c r="G889" s="1" t="str">
        <f>IFERROR(__xludf.DUMMYFUNCTION("""COMPUTED_VALUE"""),"3 mos")</f>
        <v>3 mos</v>
      </c>
      <c r="H889" s="1" t="str">
        <f>IFERROR(__xludf.DUMMYFUNCTION("""COMPUTED_VALUE"""),"reply")</f>
        <v>reply</v>
      </c>
      <c r="I889" s="2" t="str">
        <f>IFERROR(__xludf.DUMMYFUNCTION("""COMPUTED_VALUE"""),"https://www.facebook.com/rapplerdotcom/photos/a.317154781638645/5596043783749692/")</f>
        <v>https://www.facebook.com/rapplerdotcom/photos/a.317154781638645/5596043783749692/</v>
      </c>
      <c r="J889" s="1" t="str">
        <f>IFERROR(__xludf.DUMMYFUNCTION("""COMPUTED_VALUE"""),"2022-07-04T15:38:38.276Z")</f>
        <v>2022-07-04T15:38:38.276Z</v>
      </c>
      <c r="K889" s="1"/>
    </row>
    <row r="890">
      <c r="A890" s="2" t="str">
        <f>IFERROR(__xludf.DUMMYFUNCTION("""COMPUTED_VALUE"""),"https://www.facebook.com/wengnyssa.wengnyssa")</f>
        <v>https://www.facebook.com/wengnyssa.wengnyssa</v>
      </c>
      <c r="B890" s="1" t="str">
        <f>IFERROR(__xludf.DUMMYFUNCTION("""COMPUTED_VALUE"""),"Weng Nys")</f>
        <v>Weng Nys</v>
      </c>
      <c r="C890" s="1" t="str">
        <f>IFERROR(__xludf.DUMMYFUNCTION("""COMPUTED_VALUE"""),"Weng")</f>
        <v>Weng</v>
      </c>
      <c r="D890" s="1" t="str">
        <f>IFERROR(__xludf.DUMMYFUNCTION("""COMPUTED_VALUE"""),"Nys")</f>
        <v>Nys</v>
      </c>
      <c r="E890" s="1" t="str">
        <f>IFERROR(__xludf.DUMMYFUNCTION("""COMPUTED_VALUE"""),"👏🏻👏🏻👏🏻👏🏻🌸🌸🌸🌸 #KulayRosasAngBukas")</f>
        <v>👏🏻👏🏻👏🏻👏🏻🌸🌸🌸🌸 #KulayRosasAngBukas</v>
      </c>
      <c r="F890" s="1"/>
      <c r="G890" s="1" t="str">
        <f>IFERROR(__xludf.DUMMYFUNCTION("""COMPUTED_VALUE"""),"3 mos")</f>
        <v>3 mos</v>
      </c>
      <c r="H890" s="1" t="str">
        <f>IFERROR(__xludf.DUMMYFUNCTION("""COMPUTED_VALUE"""),"comment")</f>
        <v>comment</v>
      </c>
      <c r="I890" s="2" t="str">
        <f>IFERROR(__xludf.DUMMYFUNCTION("""COMPUTED_VALUE"""),"https://www.facebook.com/rapplerdotcom/photos/a.317154781638645/5596043783749692/")</f>
        <v>https://www.facebook.com/rapplerdotcom/photos/a.317154781638645/5596043783749692/</v>
      </c>
      <c r="J890" s="1" t="str">
        <f>IFERROR(__xludf.DUMMYFUNCTION("""COMPUTED_VALUE"""),"2022-07-04T15:38:38.276Z")</f>
        <v>2022-07-04T15:38:38.276Z</v>
      </c>
      <c r="K890" s="1"/>
    </row>
    <row r="891">
      <c r="A891" s="2" t="str">
        <f>IFERROR(__xludf.DUMMYFUNCTION("""COMPUTED_VALUE"""),"https://www.facebook.com/lair.gonzales")</f>
        <v>https://www.facebook.com/lair.gonzales</v>
      </c>
      <c r="B891" s="1" t="str">
        <f>IFERROR(__xludf.DUMMYFUNCTION("""COMPUTED_VALUE"""),"Israel Gonzales")</f>
        <v>Israel Gonzales</v>
      </c>
      <c r="C891" s="1" t="str">
        <f>IFERROR(__xludf.DUMMYFUNCTION("""COMPUTED_VALUE"""),"Israel")</f>
        <v>Israel</v>
      </c>
      <c r="D891" s="1" t="str">
        <f>IFERROR(__xludf.DUMMYFUNCTION("""COMPUTED_VALUE"""),"Gonzales")</f>
        <v>Gonzales</v>
      </c>
      <c r="E891" s="1" t="str">
        <f>IFERROR(__xludf.DUMMYFUNCTION("""COMPUTED_VALUE"""),"Wait n lng ng election👍")</f>
        <v>Wait n lng ng election👍</v>
      </c>
      <c r="F891" s="1"/>
      <c r="G891" s="1" t="str">
        <f>IFERROR(__xludf.DUMMYFUNCTION("""COMPUTED_VALUE"""),"3 mos")</f>
        <v>3 mos</v>
      </c>
      <c r="H891" s="1" t="str">
        <f>IFERROR(__xludf.DUMMYFUNCTION("""COMPUTED_VALUE"""),"comment")</f>
        <v>comment</v>
      </c>
      <c r="I891" s="2" t="str">
        <f>IFERROR(__xludf.DUMMYFUNCTION("""COMPUTED_VALUE"""),"https://www.facebook.com/rapplerdotcom/photos/a.317154781638645/5596043783749692/")</f>
        <v>https://www.facebook.com/rapplerdotcom/photos/a.317154781638645/5596043783749692/</v>
      </c>
      <c r="J891" s="1" t="str">
        <f>IFERROR(__xludf.DUMMYFUNCTION("""COMPUTED_VALUE"""),"2022-07-04T15:38:38.276Z")</f>
        <v>2022-07-04T15:38:38.276Z</v>
      </c>
      <c r="K891" s="1"/>
    </row>
    <row r="892">
      <c r="A892" s="2" t="str">
        <f>IFERROR(__xludf.DUMMYFUNCTION("""COMPUTED_VALUE"""),"https://www.facebook.com/arnel.sagorsor")</f>
        <v>https://www.facebook.com/arnel.sagorsor</v>
      </c>
      <c r="B892" s="1" t="str">
        <f>IFERROR(__xludf.DUMMYFUNCTION("""COMPUTED_VALUE"""),"Arnel Sagorsor")</f>
        <v>Arnel Sagorsor</v>
      </c>
      <c r="C892" s="1" t="str">
        <f>IFERROR(__xludf.DUMMYFUNCTION("""COMPUTED_VALUE"""),"Arnel")</f>
        <v>Arnel</v>
      </c>
      <c r="D892" s="1" t="str">
        <f>IFERROR(__xludf.DUMMYFUNCTION("""COMPUTED_VALUE"""),"Sagorsor")</f>
        <v>Sagorsor</v>
      </c>
      <c r="E892" s="1" t="str">
        <f>IFERROR(__xludf.DUMMYFUNCTION("""COMPUTED_VALUE"""),"Israel Gonzales sabi na eh nilagpasan pa ung sinabi ko na 35k hehe.....")</f>
        <v>Israel Gonzales sabi na eh nilagpasan pa ung sinabi ko na 35k hehe.....</v>
      </c>
      <c r="F892" s="1"/>
      <c r="G892" s="1" t="str">
        <f>IFERROR(__xludf.DUMMYFUNCTION("""COMPUTED_VALUE"""),"3 mos")</f>
        <v>3 mos</v>
      </c>
      <c r="H892" s="1" t="str">
        <f>IFERROR(__xludf.DUMMYFUNCTION("""COMPUTED_VALUE"""),"reply")</f>
        <v>reply</v>
      </c>
      <c r="I892" s="2" t="str">
        <f>IFERROR(__xludf.DUMMYFUNCTION("""COMPUTED_VALUE"""),"https://www.facebook.com/rapplerdotcom/photos/a.317154781638645/5596043783749692/")</f>
        <v>https://www.facebook.com/rapplerdotcom/photos/a.317154781638645/5596043783749692/</v>
      </c>
      <c r="J892" s="1" t="str">
        <f>IFERROR(__xludf.DUMMYFUNCTION("""COMPUTED_VALUE"""),"2022-07-04T15:38:38.276Z")</f>
        <v>2022-07-04T15:38:38.276Z</v>
      </c>
      <c r="K892" s="1"/>
    </row>
    <row r="893">
      <c r="A893" s="2" t="str">
        <f>IFERROR(__xludf.DUMMYFUNCTION("""COMPUTED_VALUE"""),"https://www.facebook.com/lair.gonzales")</f>
        <v>https://www.facebook.com/lair.gonzales</v>
      </c>
      <c r="B893" s="1" t="str">
        <f>IFERROR(__xludf.DUMMYFUNCTION("""COMPUTED_VALUE"""),"Israel Gonzales")</f>
        <v>Israel Gonzales</v>
      </c>
      <c r="C893" s="1" t="str">
        <f>IFERROR(__xludf.DUMMYFUNCTION("""COMPUTED_VALUE"""),"Israel")</f>
        <v>Israel</v>
      </c>
      <c r="D893" s="1" t="str">
        <f>IFERROR(__xludf.DUMMYFUNCTION("""COMPUTED_VALUE"""),"Gonzales")</f>
        <v>Gonzales</v>
      </c>
      <c r="E893" s="1" t="str">
        <f>IFERROR(__xludf.DUMMYFUNCTION("""COMPUTED_VALUE"""),"Arnel Sagorsor d pa gawin 35 million nahiya pa")</f>
        <v>Arnel Sagorsor d pa gawin 35 million nahiya pa</v>
      </c>
      <c r="F893" s="1"/>
      <c r="G893" s="1" t="str">
        <f>IFERROR(__xludf.DUMMYFUNCTION("""COMPUTED_VALUE"""),"3 mos")</f>
        <v>3 mos</v>
      </c>
      <c r="H893" s="1" t="str">
        <f>IFERROR(__xludf.DUMMYFUNCTION("""COMPUTED_VALUE"""),"reply")</f>
        <v>reply</v>
      </c>
      <c r="I893" s="2" t="str">
        <f>IFERROR(__xludf.DUMMYFUNCTION("""COMPUTED_VALUE"""),"https://www.facebook.com/rapplerdotcom/photos/a.317154781638645/5596043783749692/")</f>
        <v>https://www.facebook.com/rapplerdotcom/photos/a.317154781638645/5596043783749692/</v>
      </c>
      <c r="J893" s="1" t="str">
        <f>IFERROR(__xludf.DUMMYFUNCTION("""COMPUTED_VALUE"""),"2022-07-04T15:38:38.276Z")</f>
        <v>2022-07-04T15:38:38.276Z</v>
      </c>
      <c r="K893" s="1"/>
    </row>
    <row r="894">
      <c r="A894" s="2" t="str">
        <f>IFERROR(__xludf.DUMMYFUNCTION("""COMPUTED_VALUE"""),"https://www.facebook.com/profile.php?id=100075991434197")</f>
        <v>https://www.facebook.com/profile.php?id=100075991434197</v>
      </c>
      <c r="B894" s="1" t="str">
        <f>IFERROR(__xludf.DUMMYFUNCTION("""COMPUTED_VALUE"""),"Gie Aveun")</f>
        <v>Gie Aveun</v>
      </c>
      <c r="C894" s="1" t="str">
        <f>IFERROR(__xludf.DUMMYFUNCTION("""COMPUTED_VALUE"""),"Gie")</f>
        <v>Gie</v>
      </c>
      <c r="D894" s="1" t="str">
        <f>IFERROR(__xludf.DUMMYFUNCTION("""COMPUTED_VALUE"""),"Aveun")</f>
        <v>Aveun</v>
      </c>
      <c r="E894" s="1" t="str">
        <f>IFERROR(__xludf.DUMMYFUNCTION("""COMPUTED_VALUE"""),"#LetLeniKikoLead2022  #CaMaNaVaIsPink  #CaMaNaVaRockNRosas  #CaMaNavaForLeniKiko  #GobyernongTapatAngatBuhayLahat")</f>
        <v>#LetLeniKikoLead2022  #CaMaNaVaIsPink  #CaMaNaVaRockNRosas  #CaMaNavaForLeniKiko  #GobyernongTapatAngatBuhayLahat</v>
      </c>
      <c r="F894" s="1">
        <f>IFERROR(__xludf.DUMMYFUNCTION("""COMPUTED_VALUE"""),1.0)</f>
        <v>1</v>
      </c>
      <c r="G894" s="1" t="str">
        <f>IFERROR(__xludf.DUMMYFUNCTION("""COMPUTED_VALUE"""),"3 mos")</f>
        <v>3 mos</v>
      </c>
      <c r="H894" s="1" t="str">
        <f>IFERROR(__xludf.DUMMYFUNCTION("""COMPUTED_VALUE"""),"comment")</f>
        <v>comment</v>
      </c>
      <c r="I894" s="2" t="str">
        <f>IFERROR(__xludf.DUMMYFUNCTION("""COMPUTED_VALUE"""),"https://www.facebook.com/rapplerdotcom/photos/a.317154781638645/5596043783749692/")</f>
        <v>https://www.facebook.com/rapplerdotcom/photos/a.317154781638645/5596043783749692/</v>
      </c>
      <c r="J894" s="1" t="str">
        <f>IFERROR(__xludf.DUMMYFUNCTION("""COMPUTED_VALUE"""),"2022-07-04T15:38:38.276Z")</f>
        <v>2022-07-04T15:38:38.276Z</v>
      </c>
      <c r="K894" s="1"/>
    </row>
    <row r="895">
      <c r="A895" s="2" t="str">
        <f>IFERROR(__xludf.DUMMYFUNCTION("""COMPUTED_VALUE"""),"https://www.facebook.com/leideeavery.taluban")</f>
        <v>https://www.facebook.com/leideeavery.taluban</v>
      </c>
      <c r="B895" s="1" t="str">
        <f>IFERROR(__xludf.DUMMYFUNCTION("""COMPUTED_VALUE"""),"Leidee Avery Antonio Taluban")</f>
        <v>Leidee Avery Antonio Taluban</v>
      </c>
      <c r="C895" s="1" t="str">
        <f>IFERROR(__xludf.DUMMYFUNCTION("""COMPUTED_VALUE"""),"Leidee")</f>
        <v>Leidee</v>
      </c>
      <c r="D895" s="1" t="str">
        <f>IFERROR(__xludf.DUMMYFUNCTION("""COMPUTED_VALUE"""),"Avery Antonio Taluban")</f>
        <v>Avery Antonio Taluban</v>
      </c>
      <c r="E895" s="1" t="str">
        <f>IFERROR(__xludf.DUMMYFUNCTION("""COMPUTED_VALUE"""),"Join the free concert? 🤭🤫🤪🤣")</f>
        <v>Join the free concert? 🤭🤫🤪🤣</v>
      </c>
      <c r="F895" s="1">
        <f>IFERROR(__xludf.DUMMYFUNCTION("""COMPUTED_VALUE"""),1.0)</f>
        <v>1</v>
      </c>
      <c r="G895" s="1" t="str">
        <f>IFERROR(__xludf.DUMMYFUNCTION("""COMPUTED_VALUE"""),"3 mos")</f>
        <v>3 mos</v>
      </c>
      <c r="H895" s="1" t="str">
        <f>IFERROR(__xludf.DUMMYFUNCTION("""COMPUTED_VALUE"""),"comment")</f>
        <v>comment</v>
      </c>
      <c r="I895" s="2" t="str">
        <f>IFERROR(__xludf.DUMMYFUNCTION("""COMPUTED_VALUE"""),"https://www.facebook.com/rapplerdotcom/photos/a.317154781638645/5596043783749692/")</f>
        <v>https://www.facebook.com/rapplerdotcom/photos/a.317154781638645/5596043783749692/</v>
      </c>
      <c r="J895" s="1" t="str">
        <f>IFERROR(__xludf.DUMMYFUNCTION("""COMPUTED_VALUE"""),"2022-07-04T15:38:38.276Z")</f>
        <v>2022-07-04T15:38:38.276Z</v>
      </c>
      <c r="K895" s="1"/>
    </row>
    <row r="896">
      <c r="A896" s="2" t="str">
        <f>IFERROR(__xludf.DUMMYFUNCTION("""COMPUTED_VALUE"""),"https://www.facebook.com/profile.php?id=100079988850982")</f>
        <v>https://www.facebook.com/profile.php?id=100079988850982</v>
      </c>
      <c r="B896" s="1" t="str">
        <f>IFERROR(__xludf.DUMMYFUNCTION("""COMPUTED_VALUE"""),"Jo Revil")</f>
        <v>Jo Revil</v>
      </c>
      <c r="C896" s="1" t="str">
        <f>IFERROR(__xludf.DUMMYFUNCTION("""COMPUTED_VALUE"""),"Jo")</f>
        <v>Jo</v>
      </c>
      <c r="D896" s="1" t="str">
        <f>IFERROR(__xludf.DUMMYFUNCTION("""COMPUTED_VALUE"""),"Revil")</f>
        <v>Revil</v>
      </c>
      <c r="E896" s="1" t="str">
        <f>IFERROR(__xludf.DUMMYFUNCTION("""COMPUTED_VALUE"""),"Leidee Avery Antonio Taluban At least volunteer artists. As part of their contributions!")</f>
        <v>Leidee Avery Antonio Taluban At least volunteer artists. As part of their contributions!</v>
      </c>
      <c r="F896" s="1">
        <f>IFERROR(__xludf.DUMMYFUNCTION("""COMPUTED_VALUE"""),4.0)</f>
        <v>4</v>
      </c>
      <c r="G896" s="1" t="str">
        <f>IFERROR(__xludf.DUMMYFUNCTION("""COMPUTED_VALUE"""),"3 mos")</f>
        <v>3 mos</v>
      </c>
      <c r="H896" s="1" t="str">
        <f>IFERROR(__xludf.DUMMYFUNCTION("""COMPUTED_VALUE"""),"reply")</f>
        <v>reply</v>
      </c>
      <c r="I896" s="2" t="str">
        <f>IFERROR(__xludf.DUMMYFUNCTION("""COMPUTED_VALUE"""),"https://www.facebook.com/rapplerdotcom/photos/a.317154781638645/5596043783749692/")</f>
        <v>https://www.facebook.com/rapplerdotcom/photos/a.317154781638645/5596043783749692/</v>
      </c>
      <c r="J896" s="1" t="str">
        <f>IFERROR(__xludf.DUMMYFUNCTION("""COMPUTED_VALUE"""),"2022-07-04T15:38:38.276Z")</f>
        <v>2022-07-04T15:38:38.276Z</v>
      </c>
      <c r="K896" s="1"/>
    </row>
    <row r="897">
      <c r="A897" s="2" t="str">
        <f>IFERROR(__xludf.DUMMYFUNCTION("""COMPUTED_VALUE"""),"https://www.facebook.com/leideeavery.taluban")</f>
        <v>https://www.facebook.com/leideeavery.taluban</v>
      </c>
      <c r="B897" s="1" t="str">
        <f>IFERROR(__xludf.DUMMYFUNCTION("""COMPUTED_VALUE"""),"Leidee Avery Antonio Taluban")</f>
        <v>Leidee Avery Antonio Taluban</v>
      </c>
      <c r="C897" s="1" t="str">
        <f>IFERROR(__xludf.DUMMYFUNCTION("""COMPUTED_VALUE"""),"Leidee")</f>
        <v>Leidee</v>
      </c>
      <c r="D897" s="1" t="str">
        <f>IFERROR(__xludf.DUMMYFUNCTION("""COMPUTED_VALUE"""),"Avery Antonio Taluban")</f>
        <v>Avery Antonio Taluban</v>
      </c>
      <c r="E897" s="1" t="str">
        <f>IFERROR(__xludf.DUMMYFUNCTION("""COMPUTED_VALUE"""),"Jo Revil ahh Kaya pala ABS artists 😘")</f>
        <v>Jo Revil ahh Kaya pala ABS artists 😘</v>
      </c>
      <c r="F897" s="1"/>
      <c r="G897" s="1" t="str">
        <f>IFERROR(__xludf.DUMMYFUNCTION("""COMPUTED_VALUE"""),"3 mos")</f>
        <v>3 mos</v>
      </c>
      <c r="H897" s="1" t="str">
        <f>IFERROR(__xludf.DUMMYFUNCTION("""COMPUTED_VALUE"""),"reply")</f>
        <v>reply</v>
      </c>
      <c r="I897" s="2" t="str">
        <f>IFERROR(__xludf.DUMMYFUNCTION("""COMPUTED_VALUE"""),"https://www.facebook.com/rapplerdotcom/photos/a.317154781638645/5596043783749692/")</f>
        <v>https://www.facebook.com/rapplerdotcom/photos/a.317154781638645/5596043783749692/</v>
      </c>
      <c r="J897" s="1" t="str">
        <f>IFERROR(__xludf.DUMMYFUNCTION("""COMPUTED_VALUE"""),"2022-07-04T15:38:38.276Z")</f>
        <v>2022-07-04T15:38:38.276Z</v>
      </c>
      <c r="K897" s="1"/>
    </row>
    <row r="898">
      <c r="A898" s="2" t="str">
        <f>IFERROR(__xludf.DUMMYFUNCTION("""COMPUTED_VALUE"""),"https://www.facebook.com/profile.php?id=100079988850982")</f>
        <v>https://www.facebook.com/profile.php?id=100079988850982</v>
      </c>
      <c r="B898" s="1" t="str">
        <f>IFERROR(__xludf.DUMMYFUNCTION("""COMPUTED_VALUE"""),"Jo Revil")</f>
        <v>Jo Revil</v>
      </c>
      <c r="C898" s="1" t="str">
        <f>IFERROR(__xludf.DUMMYFUNCTION("""COMPUTED_VALUE"""),"Jo")</f>
        <v>Jo</v>
      </c>
      <c r="D898" s="1" t="str">
        <f>IFERROR(__xludf.DUMMYFUNCTION("""COMPUTED_VALUE"""),"Revil")</f>
        <v>Revil</v>
      </c>
      <c r="E898" s="1" t="str">
        <f>IFERROR(__xludf.DUMMYFUNCTION("""COMPUTED_VALUE"""),"Leidee Avery Antonio Taluban . Whoever.")</f>
        <v>Leidee Avery Antonio Taluban . Whoever.</v>
      </c>
      <c r="F898" s="1">
        <f>IFERROR(__xludf.DUMMYFUNCTION("""COMPUTED_VALUE"""),2.0)</f>
        <v>2</v>
      </c>
      <c r="G898" s="1" t="str">
        <f>IFERROR(__xludf.DUMMYFUNCTION("""COMPUTED_VALUE"""),"3 mos")</f>
        <v>3 mos</v>
      </c>
      <c r="H898" s="1" t="str">
        <f>IFERROR(__xludf.DUMMYFUNCTION("""COMPUTED_VALUE"""),"reply")</f>
        <v>reply</v>
      </c>
      <c r="I898" s="2" t="str">
        <f>IFERROR(__xludf.DUMMYFUNCTION("""COMPUTED_VALUE"""),"https://www.facebook.com/rapplerdotcom/photos/a.317154781638645/5596043783749692/")</f>
        <v>https://www.facebook.com/rapplerdotcom/photos/a.317154781638645/5596043783749692/</v>
      </c>
      <c r="J898" s="1" t="str">
        <f>IFERROR(__xludf.DUMMYFUNCTION("""COMPUTED_VALUE"""),"2022-07-04T15:38:38.276Z")</f>
        <v>2022-07-04T15:38:38.276Z</v>
      </c>
      <c r="K898" s="1"/>
    </row>
    <row r="899">
      <c r="A899" s="2" t="str">
        <f>IFERROR(__xludf.DUMMYFUNCTION("""COMPUTED_VALUE"""),"https://www.facebook.com/profile.php?id=100011440088284")</f>
        <v>https://www.facebook.com/profile.php?id=100011440088284</v>
      </c>
      <c r="B899" s="1" t="str">
        <f>IFERROR(__xludf.DUMMYFUNCTION("""COMPUTED_VALUE"""),"John Paul Padonia")</f>
        <v>John Paul Padonia</v>
      </c>
      <c r="C899" s="1" t="str">
        <f>IFERROR(__xludf.DUMMYFUNCTION("""COMPUTED_VALUE"""),"John")</f>
        <v>John</v>
      </c>
      <c r="D899" s="1" t="str">
        <f>IFERROR(__xludf.DUMMYFUNCTION("""COMPUTED_VALUE"""),"Paul Padonia")</f>
        <v>Paul Padonia</v>
      </c>
      <c r="E899" s="1" t="str">
        <f>IFERROR(__xludf.DUMMYFUNCTION("""COMPUTED_VALUE"""),"recycled crowd from pasig event")</f>
        <v>recycled crowd from pasig event</v>
      </c>
      <c r="F899" s="1">
        <f>IFERROR(__xludf.DUMMYFUNCTION("""COMPUTED_VALUE"""),10.0)</f>
        <v>10</v>
      </c>
      <c r="G899" s="1" t="str">
        <f>IFERROR(__xludf.DUMMYFUNCTION("""COMPUTED_VALUE"""),"3 mos")</f>
        <v>3 mos</v>
      </c>
      <c r="H899" s="1" t="str">
        <f>IFERROR(__xludf.DUMMYFUNCTION("""COMPUTED_VALUE"""),"comment")</f>
        <v>comment</v>
      </c>
      <c r="I899" s="2" t="str">
        <f>IFERROR(__xludf.DUMMYFUNCTION("""COMPUTED_VALUE"""),"https://www.facebook.com/rapplerdotcom/photos/a.317154781638645/5596043783749692/")</f>
        <v>https://www.facebook.com/rapplerdotcom/photos/a.317154781638645/5596043783749692/</v>
      </c>
      <c r="J899" s="1" t="str">
        <f>IFERROR(__xludf.DUMMYFUNCTION("""COMPUTED_VALUE"""),"2022-07-04T15:38:38.276Z")</f>
        <v>2022-07-04T15:38:38.276Z</v>
      </c>
      <c r="K899" s="1"/>
    </row>
    <row r="900">
      <c r="A900" s="2" t="str">
        <f>IFERROR(__xludf.DUMMYFUNCTION("""COMPUTED_VALUE"""),"https://www.facebook.com/ernest.llovia")</f>
        <v>https://www.facebook.com/ernest.llovia</v>
      </c>
      <c r="B900" s="1" t="str">
        <f>IFERROR(__xludf.DUMMYFUNCTION("""COMPUTED_VALUE"""),"Ernest Llovia")</f>
        <v>Ernest Llovia</v>
      </c>
      <c r="C900" s="1" t="str">
        <f>IFERROR(__xludf.DUMMYFUNCTION("""COMPUTED_VALUE"""),"Ernest")</f>
        <v>Ernest</v>
      </c>
      <c r="D900" s="1" t="str">
        <f>IFERROR(__xludf.DUMMYFUNCTION("""COMPUTED_VALUE"""),"Llovia")</f>
        <v>Llovia</v>
      </c>
      <c r="E900" s="1" t="str">
        <f>IFERROR(__xludf.DUMMYFUNCTION("""COMPUTED_VALUE"""),"Pag inggit, pink-it 👀")</f>
        <v>Pag inggit, pink-it 👀</v>
      </c>
      <c r="F900" s="1">
        <f>IFERROR(__xludf.DUMMYFUNCTION("""COMPUTED_VALUE"""),35.0)</f>
        <v>35</v>
      </c>
      <c r="G900" s="1" t="str">
        <f>IFERROR(__xludf.DUMMYFUNCTION("""COMPUTED_VALUE"""),"3 mos")</f>
        <v>3 mos</v>
      </c>
      <c r="H900" s="1" t="str">
        <f>IFERROR(__xludf.DUMMYFUNCTION("""COMPUTED_VALUE"""),"reply")</f>
        <v>reply</v>
      </c>
      <c r="I900" s="2" t="str">
        <f>IFERROR(__xludf.DUMMYFUNCTION("""COMPUTED_VALUE"""),"https://www.facebook.com/rapplerdotcom/photos/a.317154781638645/5596043783749692/")</f>
        <v>https://www.facebook.com/rapplerdotcom/photos/a.317154781638645/5596043783749692/</v>
      </c>
      <c r="J900" s="1" t="str">
        <f>IFERROR(__xludf.DUMMYFUNCTION("""COMPUTED_VALUE"""),"2022-07-04T15:38:38.276Z")</f>
        <v>2022-07-04T15:38:38.276Z</v>
      </c>
      <c r="K900" s="1"/>
    </row>
    <row r="901">
      <c r="A901" s="2" t="str">
        <f>IFERROR(__xludf.DUMMYFUNCTION("""COMPUTED_VALUE"""),"https://www.facebook.com/yongcoonang")</f>
        <v>https://www.facebook.com/yongcoonang</v>
      </c>
      <c r="B901" s="1" t="str">
        <f>IFERROR(__xludf.DUMMYFUNCTION("""COMPUTED_VALUE"""),"Kelvin Billy")</f>
        <v>Kelvin Billy</v>
      </c>
      <c r="C901" s="1" t="str">
        <f>IFERROR(__xludf.DUMMYFUNCTION("""COMPUTED_VALUE"""),"Kelvin")</f>
        <v>Kelvin</v>
      </c>
      <c r="D901" s="1" t="str">
        <f>IFERROR(__xludf.DUMMYFUNCTION("""COMPUTED_VALUE"""),"Billy")</f>
        <v>Billy</v>
      </c>
      <c r="E901" s="1" t="str">
        <f>IFERROR(__xludf.DUMMYFUNCTION("""COMPUTED_VALUE"""),"John Paul Padonia   ⚙️ EARN MONEY ONLINE WITHOUT GOING TO WORK OR STRESS YOURSELF  ⚙️if you're interested ☝️☝️☝️ just kindly click on the link to contact my Senior Cryptofx account manager for guidance 📩  Link 🔗🔗🔗  https://www.facebook.com/evlira.cryp"&amp;"tofxtrader")</f>
        <v>John Paul Padonia   ⚙️ EARN MONEY ONLINE WITHOUT GOING TO WORK OR STRESS YOURSELF  ⚙️if you're interested ☝️☝️☝️ just kindly click on the link to contact my Senior Cryptofx account manager for guidance 📩  Link 🔗🔗🔗  https://www.facebook.com/evlira.cryptofxtrader</v>
      </c>
      <c r="F901" s="1"/>
      <c r="G901" s="1" t="str">
        <f>IFERROR(__xludf.DUMMYFUNCTION("""COMPUTED_VALUE"""),"3 mos")</f>
        <v>3 mos</v>
      </c>
      <c r="H901" s="1" t="str">
        <f>IFERROR(__xludf.DUMMYFUNCTION("""COMPUTED_VALUE"""),"reply")</f>
        <v>reply</v>
      </c>
      <c r="I901" s="2" t="str">
        <f>IFERROR(__xludf.DUMMYFUNCTION("""COMPUTED_VALUE"""),"https://www.facebook.com/rapplerdotcom/photos/a.317154781638645/5596043783749692/")</f>
        <v>https://www.facebook.com/rapplerdotcom/photos/a.317154781638645/5596043783749692/</v>
      </c>
      <c r="J901" s="1" t="str">
        <f>IFERROR(__xludf.DUMMYFUNCTION("""COMPUTED_VALUE"""),"2022-07-04T15:38:38.276Z")</f>
        <v>2022-07-04T15:38:38.276Z</v>
      </c>
      <c r="K901" s="1"/>
    </row>
    <row r="902">
      <c r="A902" s="2" t="str">
        <f>IFERROR(__xludf.DUMMYFUNCTION("""COMPUTED_VALUE"""),"https://www.facebook.com/NeilMGGH")</f>
        <v>https://www.facebook.com/NeilMGGH</v>
      </c>
      <c r="B902" s="1" t="str">
        <f>IFERROR(__xludf.DUMMYFUNCTION("""COMPUTED_VALUE"""),"Neil Estrada")</f>
        <v>Neil Estrada</v>
      </c>
      <c r="C902" s="1" t="str">
        <f>IFERROR(__xludf.DUMMYFUNCTION("""COMPUTED_VALUE"""),"Neil")</f>
        <v>Neil</v>
      </c>
      <c r="D902" s="1" t="str">
        <f>IFERROR(__xludf.DUMMYFUNCTION("""COMPUTED_VALUE"""),"Estrada")</f>
        <v>Estrada</v>
      </c>
      <c r="E902" s="1" t="str">
        <f>IFERROR(__xludf.DUMMYFUNCTION("""COMPUTED_VALUE"""),"John Paul Padonia di ka sure, wala ako doon")</f>
        <v>John Paul Padonia di ka sure, wala ako doon</v>
      </c>
      <c r="F902" s="1">
        <f>IFERROR(__xludf.DUMMYFUNCTION("""COMPUTED_VALUE"""),1.0)</f>
        <v>1</v>
      </c>
      <c r="G902" s="1" t="str">
        <f>IFERROR(__xludf.DUMMYFUNCTION("""COMPUTED_VALUE"""),"3 mos")</f>
        <v>3 mos</v>
      </c>
      <c r="H902" s="1" t="str">
        <f>IFERROR(__xludf.DUMMYFUNCTION("""COMPUTED_VALUE"""),"reply")</f>
        <v>reply</v>
      </c>
      <c r="I902" s="2" t="str">
        <f>IFERROR(__xludf.DUMMYFUNCTION("""COMPUTED_VALUE"""),"https://www.facebook.com/rapplerdotcom/photos/a.317154781638645/5596043783749692/")</f>
        <v>https://www.facebook.com/rapplerdotcom/photos/a.317154781638645/5596043783749692/</v>
      </c>
      <c r="J902" s="1" t="str">
        <f>IFERROR(__xludf.DUMMYFUNCTION("""COMPUTED_VALUE"""),"2022-07-04T15:38:38.276Z")</f>
        <v>2022-07-04T15:38:38.276Z</v>
      </c>
      <c r="K902" s="1"/>
    </row>
    <row r="903">
      <c r="A903" s="2" t="str">
        <f>IFERROR(__xludf.DUMMYFUNCTION("""COMPUTED_VALUE"""),"https://www.facebook.com/Ed.the.Great.13")</f>
        <v>https://www.facebook.com/Ed.the.Great.13</v>
      </c>
      <c r="B903" s="1" t="str">
        <f>IFERROR(__xludf.DUMMYFUNCTION("""COMPUTED_VALUE"""),"Edisson Lasarte")</f>
        <v>Edisson Lasarte</v>
      </c>
      <c r="C903" s="1" t="str">
        <f>IFERROR(__xludf.DUMMYFUNCTION("""COMPUTED_VALUE"""),"Edisson")</f>
        <v>Edisson</v>
      </c>
      <c r="D903" s="1" t="str">
        <f>IFERROR(__xludf.DUMMYFUNCTION("""COMPUTED_VALUE"""),"Lasarte")</f>
        <v>Lasarte</v>
      </c>
      <c r="E903" s="1" t="str">
        <f>IFERROR(__xludf.DUMMYFUNCTION("""COMPUTED_VALUE"""),"John Paul Padonia may attendance ka? pikit para iwas inggit 😌")</f>
        <v>John Paul Padonia may attendance ka? pikit para iwas inggit 😌</v>
      </c>
      <c r="F903" s="1">
        <f>IFERROR(__xludf.DUMMYFUNCTION("""COMPUTED_VALUE"""),5.0)</f>
        <v>5</v>
      </c>
      <c r="G903" s="1" t="str">
        <f>IFERROR(__xludf.DUMMYFUNCTION("""COMPUTED_VALUE"""),"3 mos")</f>
        <v>3 mos</v>
      </c>
      <c r="H903" s="1" t="str">
        <f>IFERROR(__xludf.DUMMYFUNCTION("""COMPUTED_VALUE"""),"reply")</f>
        <v>reply</v>
      </c>
      <c r="I903" s="2" t="str">
        <f>IFERROR(__xludf.DUMMYFUNCTION("""COMPUTED_VALUE"""),"https://www.facebook.com/rapplerdotcom/photos/a.317154781638645/5596043783749692/")</f>
        <v>https://www.facebook.com/rapplerdotcom/photos/a.317154781638645/5596043783749692/</v>
      </c>
      <c r="J903" s="1" t="str">
        <f>IFERROR(__xludf.DUMMYFUNCTION("""COMPUTED_VALUE"""),"2022-07-04T15:38:38.276Z")</f>
        <v>2022-07-04T15:38:38.276Z</v>
      </c>
      <c r="K903" s="1"/>
    </row>
    <row r="904">
      <c r="A904" s="2" t="str">
        <f>IFERROR(__xludf.DUMMYFUNCTION("""COMPUTED_VALUE"""),"https://www.facebook.com/kathrenkaye")</f>
        <v>https://www.facebook.com/kathrenkaye</v>
      </c>
      <c r="B904" s="1" t="str">
        <f>IFERROR(__xludf.DUMMYFUNCTION("""COMPUTED_VALUE"""),"Kathren Kaye Dato-on")</f>
        <v>Kathren Kaye Dato-on</v>
      </c>
      <c r="C904" s="1" t="str">
        <f>IFERROR(__xludf.DUMMYFUNCTION("""COMPUTED_VALUE"""),"Kathren")</f>
        <v>Kathren</v>
      </c>
      <c r="D904" s="1" t="str">
        <f>IFERROR(__xludf.DUMMYFUNCTION("""COMPUTED_VALUE"""),"Kaye Dato-on")</f>
        <v>Kaye Dato-on</v>
      </c>
      <c r="E904" s="1" t="str">
        <f>IFERROR(__xludf.DUMMYFUNCTION("""COMPUTED_VALUE"""),"John Paul Padonia hmmm wala po kami doon hahahhaa")</f>
        <v>John Paul Padonia hmmm wala po kami doon hahahhaa</v>
      </c>
      <c r="F904" s="1"/>
      <c r="G904" s="1" t="str">
        <f>IFERROR(__xludf.DUMMYFUNCTION("""COMPUTED_VALUE"""),"3 mos")</f>
        <v>3 mos</v>
      </c>
      <c r="H904" s="1" t="str">
        <f>IFERROR(__xludf.DUMMYFUNCTION("""COMPUTED_VALUE"""),"reply")</f>
        <v>reply</v>
      </c>
      <c r="I904" s="2" t="str">
        <f>IFERROR(__xludf.DUMMYFUNCTION("""COMPUTED_VALUE"""),"https://www.facebook.com/rapplerdotcom/photos/a.317154781638645/5596043783749692/")</f>
        <v>https://www.facebook.com/rapplerdotcom/photos/a.317154781638645/5596043783749692/</v>
      </c>
      <c r="J904" s="1" t="str">
        <f>IFERROR(__xludf.DUMMYFUNCTION("""COMPUTED_VALUE"""),"2022-07-04T15:38:38.276Z")</f>
        <v>2022-07-04T15:38:38.276Z</v>
      </c>
      <c r="K904" s="1"/>
    </row>
    <row r="905">
      <c r="A905" s="2" t="str">
        <f>IFERROR(__xludf.DUMMYFUNCTION("""COMPUTED_VALUE"""),"https://www.facebook.com/profile.php?id=100027988665455")</f>
        <v>https://www.facebook.com/profile.php?id=100027988665455</v>
      </c>
      <c r="B905" s="1" t="str">
        <f>IFERROR(__xludf.DUMMYFUNCTION("""COMPUTED_VALUE"""),"Darwin Maraño Jr.")</f>
        <v>Darwin Maraño Jr.</v>
      </c>
      <c r="C905" s="1" t="str">
        <f>IFERROR(__xludf.DUMMYFUNCTION("""COMPUTED_VALUE"""),"Darwin")</f>
        <v>Darwin</v>
      </c>
      <c r="D905" s="1" t="str">
        <f>IFERROR(__xludf.DUMMYFUNCTION("""COMPUTED_VALUE"""),"Maraño Jr.")</f>
        <v>Maraño Jr.</v>
      </c>
      <c r="E905" s="1" t="str">
        <f>IFERROR(__xludf.DUMMYFUNCTION("""COMPUTED_VALUE"""),"John Paul PadoniaJohn Paul Padonia kami sibuyas ikaw ampalaya 😁😁😁")</f>
        <v>John Paul PadoniaJohn Paul Padonia kami sibuyas ikaw ampalaya 😁😁😁</v>
      </c>
      <c r="F905" s="1"/>
      <c r="G905" s="1" t="str">
        <f>IFERROR(__xludf.DUMMYFUNCTION("""COMPUTED_VALUE"""),"3 mos")</f>
        <v>3 mos</v>
      </c>
      <c r="H905" s="1" t="str">
        <f>IFERROR(__xludf.DUMMYFUNCTION("""COMPUTED_VALUE"""),"reply")</f>
        <v>reply</v>
      </c>
      <c r="I905" s="2" t="str">
        <f>IFERROR(__xludf.DUMMYFUNCTION("""COMPUTED_VALUE"""),"https://www.facebook.com/rapplerdotcom/photos/a.317154781638645/5596043783749692/")</f>
        <v>https://www.facebook.com/rapplerdotcom/photos/a.317154781638645/5596043783749692/</v>
      </c>
      <c r="J905" s="1" t="str">
        <f>IFERROR(__xludf.DUMMYFUNCTION("""COMPUTED_VALUE"""),"2022-07-04T15:38:38.276Z")</f>
        <v>2022-07-04T15:38:38.276Z</v>
      </c>
      <c r="K905" s="1"/>
    </row>
    <row r="906">
      <c r="A906" s="2" t="str">
        <f>IFERROR(__xludf.DUMMYFUNCTION("""COMPUTED_VALUE"""),"https://www.facebook.com/profile.php?id=100076154266974")</f>
        <v>https://www.facebook.com/profile.php?id=100076154266974</v>
      </c>
      <c r="B906" s="1" t="str">
        <f>IFERROR(__xludf.DUMMYFUNCTION("""COMPUTED_VALUE"""),"Edwin B. Eltanal")</f>
        <v>Edwin B. Eltanal</v>
      </c>
      <c r="C906" s="1" t="str">
        <f>IFERROR(__xludf.DUMMYFUNCTION("""COMPUTED_VALUE"""),"Edwin")</f>
        <v>Edwin</v>
      </c>
      <c r="D906" s="1" t="str">
        <f>IFERROR(__xludf.DUMMYFUNCTION("""COMPUTED_VALUE"""),"B. Eltanal")</f>
        <v>B. Eltanal</v>
      </c>
      <c r="E906" s="1" t="str">
        <f>IFERROR(__xludf.DUMMYFUNCTION("""COMPUTED_VALUE"""),"John Paul Padonia nonsense! Get lost!")</f>
        <v>John Paul Padonia nonsense! Get lost!</v>
      </c>
      <c r="F906" s="1"/>
      <c r="G906" s="1" t="str">
        <f>IFERROR(__xludf.DUMMYFUNCTION("""COMPUTED_VALUE"""),"3 mos")</f>
        <v>3 mos</v>
      </c>
      <c r="H906" s="1" t="str">
        <f>IFERROR(__xludf.DUMMYFUNCTION("""COMPUTED_VALUE"""),"reply")</f>
        <v>reply</v>
      </c>
      <c r="I906" s="2" t="str">
        <f>IFERROR(__xludf.DUMMYFUNCTION("""COMPUTED_VALUE"""),"https://www.facebook.com/rapplerdotcom/photos/a.317154781638645/5596043783749692/")</f>
        <v>https://www.facebook.com/rapplerdotcom/photos/a.317154781638645/5596043783749692/</v>
      </c>
      <c r="J906" s="1" t="str">
        <f>IFERROR(__xludf.DUMMYFUNCTION("""COMPUTED_VALUE"""),"2022-07-04T15:38:38.276Z")</f>
        <v>2022-07-04T15:38:38.276Z</v>
      </c>
      <c r="K906" s="1"/>
    </row>
    <row r="907">
      <c r="A907" s="2" t="str">
        <f>IFERROR(__xludf.DUMMYFUNCTION("""COMPUTED_VALUE"""),"https://www.facebook.com/panagsi")</f>
        <v>https://www.facebook.com/panagsi</v>
      </c>
      <c r="B907" s="1" t="str">
        <f>IFERROR(__xludf.DUMMYFUNCTION("""COMPUTED_VALUE"""),"Paolo Panagsagan")</f>
        <v>Paolo Panagsagan</v>
      </c>
      <c r="C907" s="1" t="str">
        <f>IFERROR(__xludf.DUMMYFUNCTION("""COMPUTED_VALUE"""),"Paolo")</f>
        <v>Paolo</v>
      </c>
      <c r="D907" s="1" t="str">
        <f>IFERROR(__xludf.DUMMYFUNCTION("""COMPUTED_VALUE"""),"Panagsagan")</f>
        <v>Panagsagan</v>
      </c>
      <c r="E907" s="1" t="str">
        <f>IFERROR(__xludf.DUMMYFUNCTION("""COMPUTED_VALUE"""),"John Paul Padonia wasn't in camanava either! 🙋‍♂️")</f>
        <v>John Paul Padonia wasn't in camanava either! 🙋‍♂️</v>
      </c>
      <c r="F907" s="1">
        <f>IFERROR(__xludf.DUMMYFUNCTION("""COMPUTED_VALUE"""),1.0)</f>
        <v>1</v>
      </c>
      <c r="G907" s="1" t="str">
        <f>IFERROR(__xludf.DUMMYFUNCTION("""COMPUTED_VALUE"""),"3 mos")</f>
        <v>3 mos</v>
      </c>
      <c r="H907" s="1" t="str">
        <f>IFERROR(__xludf.DUMMYFUNCTION("""COMPUTED_VALUE"""),"reply")</f>
        <v>reply</v>
      </c>
      <c r="I907" s="2" t="str">
        <f>IFERROR(__xludf.DUMMYFUNCTION("""COMPUTED_VALUE"""),"https://www.facebook.com/rapplerdotcom/photos/a.317154781638645/5596043783749692/")</f>
        <v>https://www.facebook.com/rapplerdotcom/photos/a.317154781638645/5596043783749692/</v>
      </c>
      <c r="J907" s="1" t="str">
        <f>IFERROR(__xludf.DUMMYFUNCTION("""COMPUTED_VALUE"""),"2022-07-04T15:38:38.276Z")</f>
        <v>2022-07-04T15:38:38.276Z</v>
      </c>
      <c r="K907" s="1"/>
    </row>
    <row r="908">
      <c r="A908" s="2" t="str">
        <f>IFERROR(__xludf.DUMMYFUNCTION("""COMPUTED_VALUE"""),"https://www.facebook.com/yong.estrada")</f>
        <v>https://www.facebook.com/yong.estrada</v>
      </c>
      <c r="B908" s="1" t="str">
        <f>IFERROR(__xludf.DUMMYFUNCTION("""COMPUTED_VALUE"""),"Yong T. Estrada")</f>
        <v>Yong T. Estrada</v>
      </c>
      <c r="C908" s="1" t="str">
        <f>IFERROR(__xludf.DUMMYFUNCTION("""COMPUTED_VALUE"""),"Yong")</f>
        <v>Yong</v>
      </c>
      <c r="D908" s="1" t="str">
        <f>IFERROR(__xludf.DUMMYFUNCTION("""COMPUTED_VALUE"""),"T. Estrada")</f>
        <v>T. Estrada</v>
      </c>
      <c r="E908" s="1" t="str">
        <f>IFERROR(__xludf.DUMMYFUNCTION("""COMPUTED_VALUE"""),"John Paul Padonia Pero good point din un ibig sabihin punong puno ng dedikasyon ang pag suporta sa.lider na tapat, may integridad. Sa kabilang kubon may pa 1k o sobreng puti, may nananakawan, nag aaway, agawan sa pagkain, tumatakas kasi sarado ang gate. A"&amp;"t higit sa lahat hinahakot ng lgu o brgy captain. Sa pinklawan inisyatibo ng taong bayan. Sama na po kayo. Gising na.")</f>
        <v>John Paul Padonia Pero good point din un ibig sabihin punong puno ng dedikasyon ang pag suporta sa.lider na tapat, may integridad. Sa kabilang kubon may pa 1k o sobreng puti, may nananakawan, nag aaway, agawan sa pagkain, tumatakas kasi sarado ang gate. At higit sa lahat hinahakot ng lgu o brgy captain. Sa pinklawan inisyatibo ng taong bayan. Sama na po kayo. Gising na.</v>
      </c>
      <c r="F908" s="1"/>
      <c r="G908" s="1" t="str">
        <f>IFERROR(__xludf.DUMMYFUNCTION("""COMPUTED_VALUE"""),"3 mos")</f>
        <v>3 mos</v>
      </c>
      <c r="H908" s="1" t="str">
        <f>IFERROR(__xludf.DUMMYFUNCTION("""COMPUTED_VALUE"""),"reply")</f>
        <v>reply</v>
      </c>
      <c r="I908" s="2" t="str">
        <f>IFERROR(__xludf.DUMMYFUNCTION("""COMPUTED_VALUE"""),"https://www.facebook.com/rapplerdotcom/photos/a.317154781638645/5596043783749692/")</f>
        <v>https://www.facebook.com/rapplerdotcom/photos/a.317154781638645/5596043783749692/</v>
      </c>
      <c r="J908" s="1" t="str">
        <f>IFERROR(__xludf.DUMMYFUNCTION("""COMPUTED_VALUE"""),"2022-07-04T15:38:38.276Z")</f>
        <v>2022-07-04T15:38:38.276Z</v>
      </c>
      <c r="K908" s="1"/>
    </row>
    <row r="909">
      <c r="A909" s="2" t="str">
        <f>IFERROR(__xludf.DUMMYFUNCTION("""COMPUTED_VALUE"""),"https://www.facebook.com/Ansabe-Ni-Kuya-2813308388893277/")</f>
        <v>https://www.facebook.com/Ansabe-Ni-Kuya-2813308388893277/</v>
      </c>
      <c r="B909" s="1" t="str">
        <f>IFERROR(__xludf.DUMMYFUNCTION("""COMPUTED_VALUE"""),"Ansabe Ni Kuya")</f>
        <v>Ansabe Ni Kuya</v>
      </c>
      <c r="C909" s="1" t="str">
        <f>IFERROR(__xludf.DUMMYFUNCTION("""COMPUTED_VALUE"""),"Ansabe")</f>
        <v>Ansabe</v>
      </c>
      <c r="D909" s="1" t="str">
        <f>IFERROR(__xludf.DUMMYFUNCTION("""COMPUTED_VALUE"""),"Ni Kuya")</f>
        <v>Ni Kuya</v>
      </c>
      <c r="E909" s="1" t="str">
        <f>IFERROR(__xludf.DUMMYFUNCTION("""COMPUTED_VALUE"""),"PAG INGGIT LAUGH EMOJI HAHAHAHAHA")</f>
        <v>PAG INGGIT LAUGH EMOJI HAHAHAHAHA</v>
      </c>
      <c r="F909" s="1">
        <f>IFERROR(__xludf.DUMMYFUNCTION("""COMPUTED_VALUE"""),6.0)</f>
        <v>6</v>
      </c>
      <c r="G909" s="1" t="str">
        <f>IFERROR(__xludf.DUMMYFUNCTION("""COMPUTED_VALUE"""),"3 mos")</f>
        <v>3 mos</v>
      </c>
      <c r="H909" s="1" t="str">
        <f>IFERROR(__xludf.DUMMYFUNCTION("""COMPUTED_VALUE"""),"comment")</f>
        <v>comment</v>
      </c>
      <c r="I909" s="2" t="str">
        <f>IFERROR(__xludf.DUMMYFUNCTION("""COMPUTED_VALUE"""),"https://www.facebook.com/rapplerdotcom/photos/a.317154781638645/5596043783749692/")</f>
        <v>https://www.facebook.com/rapplerdotcom/photos/a.317154781638645/5596043783749692/</v>
      </c>
      <c r="J909" s="1" t="str">
        <f>IFERROR(__xludf.DUMMYFUNCTION("""COMPUTED_VALUE"""),"2022-07-04T15:38:38.276Z")</f>
        <v>2022-07-04T15:38:38.276Z</v>
      </c>
      <c r="K909" s="1"/>
    </row>
    <row r="910">
      <c r="A910" s="2" t="str">
        <f>IFERROR(__xludf.DUMMYFUNCTION("""COMPUTED_VALUE"""),"https://www.facebook.com/maria.dizon1")</f>
        <v>https://www.facebook.com/maria.dizon1</v>
      </c>
      <c r="B910" s="1" t="str">
        <f>IFERROR(__xludf.DUMMYFUNCTION("""COMPUTED_VALUE"""),"Maria Dizon")</f>
        <v>Maria Dizon</v>
      </c>
      <c r="C910" s="1" t="str">
        <f>IFERROR(__xludf.DUMMYFUNCTION("""COMPUTED_VALUE"""),"Maria")</f>
        <v>Maria</v>
      </c>
      <c r="D910" s="1" t="str">
        <f>IFERROR(__xludf.DUMMYFUNCTION("""COMPUTED_VALUE"""),"Dizon")</f>
        <v>Dizon</v>
      </c>
      <c r="E910" s="1" t="str">
        <f>IFERROR(__xludf.DUMMYFUNCTION("""COMPUTED_VALUE"""),"#LeniKikoAllTheWay  #CaMaNaVaIsPink")</f>
        <v>#LeniKikoAllTheWay  #CaMaNaVaIsPink</v>
      </c>
      <c r="F910" s="1">
        <f>IFERROR(__xludf.DUMMYFUNCTION("""COMPUTED_VALUE"""),2.0)</f>
        <v>2</v>
      </c>
      <c r="G910" s="1" t="str">
        <f>IFERROR(__xludf.DUMMYFUNCTION("""COMPUTED_VALUE"""),"3 mos")</f>
        <v>3 mos</v>
      </c>
      <c r="H910" s="1" t="str">
        <f>IFERROR(__xludf.DUMMYFUNCTION("""COMPUTED_VALUE"""),"comment")</f>
        <v>comment</v>
      </c>
      <c r="I910" s="2" t="str">
        <f>IFERROR(__xludf.DUMMYFUNCTION("""COMPUTED_VALUE"""),"https://www.facebook.com/rapplerdotcom/photos/a.317154781638645/5596043783749692/")</f>
        <v>https://www.facebook.com/rapplerdotcom/photos/a.317154781638645/5596043783749692/</v>
      </c>
      <c r="J910" s="1" t="str">
        <f>IFERROR(__xludf.DUMMYFUNCTION("""COMPUTED_VALUE"""),"2022-07-04T15:38:38.276Z")</f>
        <v>2022-07-04T15:38:38.276Z</v>
      </c>
      <c r="K910" s="1"/>
    </row>
    <row r="911">
      <c r="A911" s="2" t="str">
        <f>IFERROR(__xludf.DUMMYFUNCTION("""COMPUTED_VALUE"""),"https://www.facebook.com/bobet.julian")</f>
        <v>https://www.facebook.com/bobet.julian</v>
      </c>
      <c r="B911" s="1" t="str">
        <f>IFERROR(__xludf.DUMMYFUNCTION("""COMPUTED_VALUE"""),"Bobet Julian")</f>
        <v>Bobet Julian</v>
      </c>
      <c r="C911" s="1" t="str">
        <f>IFERROR(__xludf.DUMMYFUNCTION("""COMPUTED_VALUE"""),"Bobet")</f>
        <v>Bobet</v>
      </c>
      <c r="D911" s="1" t="str">
        <f>IFERROR(__xludf.DUMMYFUNCTION("""COMPUTED_VALUE"""),"Julian")</f>
        <v>Julian</v>
      </c>
      <c r="E911" s="1" t="str">
        <f>IFERROR(__xludf.DUMMYFUNCTION("""COMPUTED_VALUE"""),"sibuyas lang daw at mga lobo ang nagsiattend sabi ng kabila")</f>
        <v>sibuyas lang daw at mga lobo ang nagsiattend sabi ng kabila</v>
      </c>
      <c r="F911" s="1">
        <f>IFERROR(__xludf.DUMMYFUNCTION("""COMPUTED_VALUE"""),1.0)</f>
        <v>1</v>
      </c>
      <c r="G911" s="1" t="str">
        <f>IFERROR(__xludf.DUMMYFUNCTION("""COMPUTED_VALUE"""),"3 mos")</f>
        <v>3 mos</v>
      </c>
      <c r="H911" s="1" t="str">
        <f>IFERROR(__xludf.DUMMYFUNCTION("""COMPUTED_VALUE"""),"comment")</f>
        <v>comment</v>
      </c>
      <c r="I911" s="2" t="str">
        <f>IFERROR(__xludf.DUMMYFUNCTION("""COMPUTED_VALUE"""),"https://www.facebook.com/rapplerdotcom/photos/a.317154781638645/5596043783749692/")</f>
        <v>https://www.facebook.com/rapplerdotcom/photos/a.317154781638645/5596043783749692/</v>
      </c>
      <c r="J911" s="1" t="str">
        <f>IFERROR(__xludf.DUMMYFUNCTION("""COMPUTED_VALUE"""),"2022-07-04T15:38:38.276Z")</f>
        <v>2022-07-04T15:38:38.276Z</v>
      </c>
      <c r="K911" s="1"/>
    </row>
    <row r="912">
      <c r="A912" s="2" t="str">
        <f>IFERROR(__xludf.DUMMYFUNCTION("""COMPUTED_VALUE"""),"https://www.facebook.com/defender85")</f>
        <v>https://www.facebook.com/defender85</v>
      </c>
      <c r="B912" s="1" t="str">
        <f>IFERROR(__xludf.DUMMYFUNCTION("""COMPUTED_VALUE"""),"Chad Isleta")</f>
        <v>Chad Isleta</v>
      </c>
      <c r="C912" s="1" t="str">
        <f>IFERROR(__xludf.DUMMYFUNCTION("""COMPUTED_VALUE"""),"Chad")</f>
        <v>Chad</v>
      </c>
      <c r="D912" s="1" t="str">
        <f>IFERROR(__xludf.DUMMYFUNCTION("""COMPUTED_VALUE"""),"Isleta")</f>
        <v>Isleta</v>
      </c>
      <c r="E912" s="1" t="str">
        <f>IFERROR(__xludf.DUMMYFUNCTION("""COMPUTED_VALUE"""),"#KulayRosasAngPinas")</f>
        <v>#KulayRosasAngPinas</v>
      </c>
      <c r="F912" s="1"/>
      <c r="G912" s="1" t="str">
        <f>IFERROR(__xludf.DUMMYFUNCTION("""COMPUTED_VALUE"""),"3 mos")</f>
        <v>3 mos</v>
      </c>
      <c r="H912" s="1" t="str">
        <f>IFERROR(__xludf.DUMMYFUNCTION("""COMPUTED_VALUE"""),"comment")</f>
        <v>comment</v>
      </c>
      <c r="I912" s="2" t="str">
        <f>IFERROR(__xludf.DUMMYFUNCTION("""COMPUTED_VALUE"""),"https://www.facebook.com/rapplerdotcom/photos/a.317154781638645/5596043783749692/")</f>
        <v>https://www.facebook.com/rapplerdotcom/photos/a.317154781638645/5596043783749692/</v>
      </c>
      <c r="J912" s="1" t="str">
        <f>IFERROR(__xludf.DUMMYFUNCTION("""COMPUTED_VALUE"""),"2022-07-04T15:38:38.276Z")</f>
        <v>2022-07-04T15:38:38.276Z</v>
      </c>
      <c r="K912" s="1"/>
    </row>
    <row r="913">
      <c r="A913" s="2" t="str">
        <f>IFERROR(__xludf.DUMMYFUNCTION("""COMPUTED_VALUE"""),"https://www.facebook.com/christene.delacruz.777")</f>
        <v>https://www.facebook.com/christene.delacruz.777</v>
      </c>
      <c r="B913" s="1" t="str">
        <f>IFERROR(__xludf.DUMMYFUNCTION("""COMPUTED_VALUE"""),"Christene Delacruz")</f>
        <v>Christene Delacruz</v>
      </c>
      <c r="C913" s="1" t="str">
        <f>IFERROR(__xludf.DUMMYFUNCTION("""COMPUTED_VALUE"""),"Christene")</f>
        <v>Christene</v>
      </c>
      <c r="D913" s="1" t="str">
        <f>IFERROR(__xludf.DUMMYFUNCTION("""COMPUTED_VALUE"""),"Delacruz")</f>
        <v>Delacruz</v>
      </c>
      <c r="E913" s="1" t="str">
        <f>IFERROR(__xludf.DUMMYFUNCTION("""COMPUTED_VALUE"""),"Nag rakrakan. Walang nag away. 🤗")</f>
        <v>Nag rakrakan. Walang nag away. 🤗</v>
      </c>
      <c r="F913" s="1">
        <f>IFERROR(__xludf.DUMMYFUNCTION("""COMPUTED_VALUE"""),6.0)</f>
        <v>6</v>
      </c>
      <c r="G913" s="1" t="str">
        <f>IFERROR(__xludf.DUMMYFUNCTION("""COMPUTED_VALUE"""),"3 mos")</f>
        <v>3 mos</v>
      </c>
      <c r="H913" s="1" t="str">
        <f>IFERROR(__xludf.DUMMYFUNCTION("""COMPUTED_VALUE"""),"comment")</f>
        <v>comment</v>
      </c>
      <c r="I913" s="2" t="str">
        <f>IFERROR(__xludf.DUMMYFUNCTION("""COMPUTED_VALUE"""),"https://www.facebook.com/rapplerdotcom/photos/a.317154781638645/5596043783749692/")</f>
        <v>https://www.facebook.com/rapplerdotcom/photos/a.317154781638645/5596043783749692/</v>
      </c>
      <c r="J913" s="1" t="str">
        <f>IFERROR(__xludf.DUMMYFUNCTION("""COMPUTED_VALUE"""),"2022-07-04T15:38:38.276Z")</f>
        <v>2022-07-04T15:38:38.276Z</v>
      </c>
      <c r="K913" s="1"/>
    </row>
    <row r="914">
      <c r="A914" s="2" t="str">
        <f>IFERROR(__xludf.DUMMYFUNCTION("""COMPUTED_VALUE"""),"https://www.facebook.com/Arianna11091989")</f>
        <v>https://www.facebook.com/Arianna11091989</v>
      </c>
      <c r="B914" s="1" t="str">
        <f>IFERROR(__xludf.DUMMYFUNCTION("""COMPUTED_VALUE"""),"Arianna Cassandra Yu Tablada")</f>
        <v>Arianna Cassandra Yu Tablada</v>
      </c>
      <c r="C914" s="1" t="str">
        <f>IFERROR(__xludf.DUMMYFUNCTION("""COMPUTED_VALUE"""),"Arianna")</f>
        <v>Arianna</v>
      </c>
      <c r="D914" s="1" t="str">
        <f>IFERROR(__xludf.DUMMYFUNCTION("""COMPUTED_VALUE"""),"Cassandra Yu Tablada")</f>
        <v>Cassandra Yu Tablada</v>
      </c>
      <c r="E914" s="1" t="str">
        <f>IFERROR(__xludf.DUMMYFUNCTION("""COMPUTED_VALUE"""),"OOK: The Camanava pink rally gathered around 21,000 attendees, according to the organizers, citing figures from the Caloocan City police. #VotePH #OurVoteOurFuture | via Dempsey Reyes, Philippine Daily Inquirer. San ba talaga ang tama?")</f>
        <v>OOK: The Camanava pink rally gathered around 21,000 attendees, according to the organizers, citing figures from the Caloocan City police. #VotePH #OurVoteOurFuture | via Dempsey Reyes, Philippine Daily Inquirer. San ba talaga ang tama?</v>
      </c>
      <c r="F914" s="1">
        <f>IFERROR(__xludf.DUMMYFUNCTION("""COMPUTED_VALUE"""),5.0)</f>
        <v>5</v>
      </c>
      <c r="G914" s="1" t="str">
        <f>IFERROR(__xludf.DUMMYFUNCTION("""COMPUTED_VALUE"""),"3 mos")</f>
        <v>3 mos</v>
      </c>
      <c r="H914" s="1" t="str">
        <f>IFERROR(__xludf.DUMMYFUNCTION("""COMPUTED_VALUE"""),"comment")</f>
        <v>comment</v>
      </c>
      <c r="I914" s="2" t="str">
        <f>IFERROR(__xludf.DUMMYFUNCTION("""COMPUTED_VALUE"""),"https://www.facebook.com/rapplerdotcom/photos/a.317154781638645/5596043783749692/")</f>
        <v>https://www.facebook.com/rapplerdotcom/photos/a.317154781638645/5596043783749692/</v>
      </c>
      <c r="J914" s="1" t="str">
        <f>IFERROR(__xludf.DUMMYFUNCTION("""COMPUTED_VALUE"""),"2022-07-04T15:38:38.276Z")</f>
        <v>2022-07-04T15:38:38.276Z</v>
      </c>
      <c r="K914" s="1"/>
    </row>
    <row r="915">
      <c r="A915" s="2" t="str">
        <f>IFERROR(__xludf.DUMMYFUNCTION("""COMPUTED_VALUE"""),"https://www.facebook.com/nigeltan.ph")</f>
        <v>https://www.facebook.com/nigeltan.ph</v>
      </c>
      <c r="B915" s="1" t="str">
        <f>IFERROR(__xludf.DUMMYFUNCTION("""COMPUTED_VALUE"""),"Rodjun Nigel Tan")</f>
        <v>Rodjun Nigel Tan</v>
      </c>
      <c r="C915" s="1" t="str">
        <f>IFERROR(__xludf.DUMMYFUNCTION("""COMPUTED_VALUE"""),"Rodjun")</f>
        <v>Rodjun</v>
      </c>
      <c r="D915" s="1" t="str">
        <f>IFERROR(__xludf.DUMMYFUNCTION("""COMPUTED_VALUE"""),"Nigel Tan")</f>
        <v>Nigel Tan</v>
      </c>
      <c r="E915" s="1" t="str">
        <f>IFERROR(__xludf.DUMMYFUNCTION("""COMPUTED_VALUE"""),"Arianna Cassandra Yu Tablada it’s called a developing story")</f>
        <v>Arianna Cassandra Yu Tablada it’s called a developing story</v>
      </c>
      <c r="F915" s="1">
        <f>IFERROR(__xludf.DUMMYFUNCTION("""COMPUTED_VALUE"""),10.0)</f>
        <v>10</v>
      </c>
      <c r="G915" s="1" t="str">
        <f>IFERROR(__xludf.DUMMYFUNCTION("""COMPUTED_VALUE"""),"3 mos")</f>
        <v>3 mos</v>
      </c>
      <c r="H915" s="1" t="str">
        <f>IFERROR(__xludf.DUMMYFUNCTION("""COMPUTED_VALUE"""),"reply")</f>
        <v>reply</v>
      </c>
      <c r="I915" s="2" t="str">
        <f>IFERROR(__xludf.DUMMYFUNCTION("""COMPUTED_VALUE"""),"https://www.facebook.com/rapplerdotcom/photos/a.317154781638645/5596043783749692/")</f>
        <v>https://www.facebook.com/rapplerdotcom/photos/a.317154781638645/5596043783749692/</v>
      </c>
      <c r="J915" s="1" t="str">
        <f>IFERROR(__xludf.DUMMYFUNCTION("""COMPUTED_VALUE"""),"2022-07-04T15:38:38.276Z")</f>
        <v>2022-07-04T15:38:38.276Z</v>
      </c>
      <c r="K915" s="1"/>
    </row>
    <row r="916">
      <c r="A916" s="2" t="str">
        <f>IFERROR(__xludf.DUMMYFUNCTION("""COMPUTED_VALUE"""),"https://www.facebook.com/yongcoonang")</f>
        <v>https://www.facebook.com/yongcoonang</v>
      </c>
      <c r="B916" s="1" t="str">
        <f>IFERROR(__xludf.DUMMYFUNCTION("""COMPUTED_VALUE"""),"Kelvin Billy")</f>
        <v>Kelvin Billy</v>
      </c>
      <c r="C916" s="1" t="str">
        <f>IFERROR(__xludf.DUMMYFUNCTION("""COMPUTED_VALUE"""),"Kelvin")</f>
        <v>Kelvin</v>
      </c>
      <c r="D916" s="1" t="str">
        <f>IFERROR(__xludf.DUMMYFUNCTION("""COMPUTED_VALUE"""),"Billy")</f>
        <v>Billy</v>
      </c>
      <c r="E916" s="1" t="str">
        <f>IFERROR(__xludf.DUMMYFUNCTION("""COMPUTED_VALUE"""),"Arianna Cassandra Yu Tablada    ⚙️ EARN MONEY ONLINE WITHOUT GOING TO WORK OR STRESS YOURSELF  ⚙️if you're interested ☝️☝️☝️ just kindly click on the link to contact my Senior Cryptofx account manager for guidance 📩  Link 🔗🔗🔗  https://www.facebook.com"&amp;"/evlira.cryptofxtrader")</f>
        <v>Arianna Cassandra Yu Tablada    ⚙️ EARN MONEY ONLINE WITHOUT GOING TO WORK OR STRESS YOURSELF  ⚙️if you're interested ☝️☝️☝️ just kindly click on the link to contact my Senior Cryptofx account manager for guidance 📩  Link 🔗🔗🔗  https://www.facebook.com/evlira.cryptofxtrader</v>
      </c>
      <c r="F916" s="1"/>
      <c r="G916" s="1" t="str">
        <f>IFERROR(__xludf.DUMMYFUNCTION("""COMPUTED_VALUE"""),"3 mos")</f>
        <v>3 mos</v>
      </c>
      <c r="H916" s="1" t="str">
        <f>IFERROR(__xludf.DUMMYFUNCTION("""COMPUTED_VALUE"""),"reply")</f>
        <v>reply</v>
      </c>
      <c r="I916" s="2" t="str">
        <f>IFERROR(__xludf.DUMMYFUNCTION("""COMPUTED_VALUE"""),"https://www.facebook.com/rapplerdotcom/photos/a.317154781638645/5596043783749692/")</f>
        <v>https://www.facebook.com/rapplerdotcom/photos/a.317154781638645/5596043783749692/</v>
      </c>
      <c r="J916" s="1" t="str">
        <f>IFERROR(__xludf.DUMMYFUNCTION("""COMPUTED_VALUE"""),"2022-07-04T15:38:38.276Z")</f>
        <v>2022-07-04T15:38:38.276Z</v>
      </c>
      <c r="K916" s="1"/>
    </row>
    <row r="917">
      <c r="A917" s="2" t="str">
        <f>IFERROR(__xludf.DUMMYFUNCTION("""COMPUTED_VALUE"""),"https://www.facebook.com/profile.php?id=100027988665455")</f>
        <v>https://www.facebook.com/profile.php?id=100027988665455</v>
      </c>
      <c r="B917" s="1" t="str">
        <f>IFERROR(__xludf.DUMMYFUNCTION("""COMPUTED_VALUE"""),"Darwin Maraño Jr.")</f>
        <v>Darwin Maraño Jr.</v>
      </c>
      <c r="C917" s="1" t="str">
        <f>IFERROR(__xludf.DUMMYFUNCTION("""COMPUTED_VALUE"""),"Darwin")</f>
        <v>Darwin</v>
      </c>
      <c r="D917" s="1" t="str">
        <f>IFERROR(__xludf.DUMMYFUNCTION("""COMPUTED_VALUE"""),"Maraño Jr.")</f>
        <v>Maraño Jr.</v>
      </c>
      <c r="E917" s="1" t="str">
        <f>IFERROR(__xludf.DUMMYFUNCTION("""COMPUTED_VALUE"""),"Arianna Cassandra Yu Tablada kasi in counting pa po. Continous po kasi dating ng tao. #AngatBuhayLahatKayLeni")</f>
        <v>Arianna Cassandra Yu Tablada kasi in counting pa po. Continous po kasi dating ng tao. #AngatBuhayLahatKayLeni</v>
      </c>
      <c r="F917" s="1"/>
      <c r="G917" s="1" t="str">
        <f>IFERROR(__xludf.DUMMYFUNCTION("""COMPUTED_VALUE"""),"3 mos")</f>
        <v>3 mos</v>
      </c>
      <c r="H917" s="1" t="str">
        <f>IFERROR(__xludf.DUMMYFUNCTION("""COMPUTED_VALUE"""),"reply")</f>
        <v>reply</v>
      </c>
      <c r="I917" s="2" t="str">
        <f>IFERROR(__xludf.DUMMYFUNCTION("""COMPUTED_VALUE"""),"https://www.facebook.com/rapplerdotcom/photos/a.317154781638645/5596043783749692/")</f>
        <v>https://www.facebook.com/rapplerdotcom/photos/a.317154781638645/5596043783749692/</v>
      </c>
      <c r="J917" s="1" t="str">
        <f>IFERROR(__xludf.DUMMYFUNCTION("""COMPUTED_VALUE"""),"2022-07-04T15:38:38.276Z")</f>
        <v>2022-07-04T15:38:38.276Z</v>
      </c>
      <c r="K917" s="1"/>
    </row>
    <row r="918">
      <c r="A918" s="2" t="str">
        <f>IFERROR(__xludf.DUMMYFUNCTION("""COMPUTED_VALUE"""),"https://www.facebook.com/sards.ceriola")</f>
        <v>https://www.facebook.com/sards.ceriola</v>
      </c>
      <c r="B918" s="1" t="str">
        <f>IFERROR(__xludf.DUMMYFUNCTION("""COMPUTED_VALUE"""),"ElieBoy Ceriola Conde")</f>
        <v>ElieBoy Ceriola Conde</v>
      </c>
      <c r="C918" s="1" t="str">
        <f>IFERROR(__xludf.DUMMYFUNCTION("""COMPUTED_VALUE"""),"ElieBoy")</f>
        <v>ElieBoy</v>
      </c>
      <c r="D918" s="1" t="str">
        <f>IFERROR(__xludf.DUMMYFUNCTION("""COMPUTED_VALUE"""),"Ceriola Conde")</f>
        <v>Ceriola Conde</v>
      </c>
      <c r="E918" s="1" t="str">
        <f>IFERROR(__xludf.DUMMYFUNCTION("""COMPUTED_VALUE"""),"Arianna Cassandra Yu Tablada tumatakbo ang oras may mga na dating pa...natural ng iiba ang bilang...")</f>
        <v>Arianna Cassandra Yu Tablada tumatakbo ang oras may mga na dating pa...natural ng iiba ang bilang...</v>
      </c>
      <c r="F918" s="1"/>
      <c r="G918" s="1" t="str">
        <f>IFERROR(__xludf.DUMMYFUNCTION("""COMPUTED_VALUE"""),"3 mos")</f>
        <v>3 mos</v>
      </c>
      <c r="H918" s="1" t="str">
        <f>IFERROR(__xludf.DUMMYFUNCTION("""COMPUTED_VALUE"""),"reply")</f>
        <v>reply</v>
      </c>
      <c r="I918" s="2" t="str">
        <f>IFERROR(__xludf.DUMMYFUNCTION("""COMPUTED_VALUE"""),"https://www.facebook.com/rapplerdotcom/photos/a.317154781638645/5596043783749692/")</f>
        <v>https://www.facebook.com/rapplerdotcom/photos/a.317154781638645/5596043783749692/</v>
      </c>
      <c r="J918" s="1" t="str">
        <f>IFERROR(__xludf.DUMMYFUNCTION("""COMPUTED_VALUE"""),"2022-07-04T15:38:38.276Z")</f>
        <v>2022-07-04T15:38:38.276Z</v>
      </c>
      <c r="K918" s="1"/>
    </row>
    <row r="919">
      <c r="A919" s="2" t="str">
        <f>IFERROR(__xludf.DUMMYFUNCTION("""COMPUTED_VALUE"""),"https://www.facebook.com/liza.mallorca.501")</f>
        <v>https://www.facebook.com/liza.mallorca.501</v>
      </c>
      <c r="B919" s="1" t="str">
        <f>IFERROR(__xludf.DUMMYFUNCTION("""COMPUTED_VALUE"""),"Liza Mallorca")</f>
        <v>Liza Mallorca</v>
      </c>
      <c r="C919" s="1" t="str">
        <f>IFERROR(__xludf.DUMMYFUNCTION("""COMPUTED_VALUE"""),"Liza")</f>
        <v>Liza</v>
      </c>
      <c r="D919" s="1" t="str">
        <f>IFERROR(__xludf.DUMMYFUNCTION("""COMPUTED_VALUE"""),"Mallorca")</f>
        <v>Mallorca</v>
      </c>
      <c r="E919" s="1" t="str">
        <f>IFERROR(__xludf.DUMMYFUNCTION("""COMPUTED_VALUE"""),"Arianna Cassandra Yu Tablada ara nmn caz plgpat nmn😡😡😡🤣🤣")</f>
        <v>Arianna Cassandra Yu Tablada ara nmn caz plgpat nmn😡😡😡🤣🤣</v>
      </c>
      <c r="F919" s="1">
        <f>IFERROR(__xludf.DUMMYFUNCTION("""COMPUTED_VALUE"""),1.0)</f>
        <v>1</v>
      </c>
      <c r="G919" s="1" t="str">
        <f>IFERROR(__xludf.DUMMYFUNCTION("""COMPUTED_VALUE"""),"3 mos")</f>
        <v>3 mos</v>
      </c>
      <c r="H919" s="1" t="str">
        <f>IFERROR(__xludf.DUMMYFUNCTION("""COMPUTED_VALUE"""),"reply")</f>
        <v>reply</v>
      </c>
      <c r="I919" s="2" t="str">
        <f>IFERROR(__xludf.DUMMYFUNCTION("""COMPUTED_VALUE"""),"https://www.facebook.com/rapplerdotcom/photos/a.317154781638645/5596043783749692/")</f>
        <v>https://www.facebook.com/rapplerdotcom/photos/a.317154781638645/5596043783749692/</v>
      </c>
      <c r="J919" s="1" t="str">
        <f>IFERROR(__xludf.DUMMYFUNCTION("""COMPUTED_VALUE"""),"2022-07-04T15:38:38.276Z")</f>
        <v>2022-07-04T15:38:38.276Z</v>
      </c>
      <c r="K919" s="1"/>
    </row>
    <row r="920">
      <c r="A920" s="2" t="str">
        <f>IFERROR(__xludf.DUMMYFUNCTION("""COMPUTED_VALUE"""),"https://www.facebook.com/Arianna11091989")</f>
        <v>https://www.facebook.com/Arianna11091989</v>
      </c>
      <c r="B920" s="1" t="str">
        <f>IFERROR(__xludf.DUMMYFUNCTION("""COMPUTED_VALUE"""),"Arianna Cassandra Yu Tablada")</f>
        <v>Arianna Cassandra Yu Tablada</v>
      </c>
      <c r="C920" s="1" t="str">
        <f>IFERROR(__xludf.DUMMYFUNCTION("""COMPUTED_VALUE"""),"Arianna")</f>
        <v>Arianna</v>
      </c>
      <c r="D920" s="1" t="str">
        <f>IFERROR(__xludf.DUMMYFUNCTION("""COMPUTED_VALUE"""),"Cassandra Yu Tablada")</f>
        <v>Cassandra Yu Tablada</v>
      </c>
      <c r="E920" s="1" t="str">
        <f>IFERROR(__xludf.DUMMYFUNCTION("""COMPUTED_VALUE"""),"Liza Mallorca ou gne hahaha")</f>
        <v>Liza Mallorca ou gne hahaha</v>
      </c>
      <c r="F920" s="1"/>
      <c r="G920" s="1" t="str">
        <f>IFERROR(__xludf.DUMMYFUNCTION("""COMPUTED_VALUE"""),"3 mos")</f>
        <v>3 mos</v>
      </c>
      <c r="H920" s="1" t="str">
        <f>IFERROR(__xludf.DUMMYFUNCTION("""COMPUTED_VALUE"""),"reply")</f>
        <v>reply</v>
      </c>
      <c r="I920" s="2" t="str">
        <f>IFERROR(__xludf.DUMMYFUNCTION("""COMPUTED_VALUE"""),"https://www.facebook.com/rapplerdotcom/photos/a.317154781638645/5596043783749692/")</f>
        <v>https://www.facebook.com/rapplerdotcom/photos/a.317154781638645/5596043783749692/</v>
      </c>
      <c r="J920" s="1" t="str">
        <f>IFERROR(__xludf.DUMMYFUNCTION("""COMPUTED_VALUE"""),"2022-07-04T15:38:38.276Z")</f>
        <v>2022-07-04T15:38:38.276Z</v>
      </c>
      <c r="K920" s="1"/>
    </row>
    <row r="921">
      <c r="A921" s="2" t="str">
        <f>IFERROR(__xludf.DUMMYFUNCTION("""COMPUTED_VALUE"""),"https://www.facebook.com/liza.mallorca.501")</f>
        <v>https://www.facebook.com/liza.mallorca.501</v>
      </c>
      <c r="B921" s="1" t="str">
        <f>IFERROR(__xludf.DUMMYFUNCTION("""COMPUTED_VALUE"""),"Liza Mallorca")</f>
        <v>Liza Mallorca</v>
      </c>
      <c r="C921" s="1" t="str">
        <f>IFERROR(__xludf.DUMMYFUNCTION("""COMPUTED_VALUE"""),"Liza")</f>
        <v>Liza</v>
      </c>
      <c r="D921" s="1" t="str">
        <f>IFERROR(__xludf.DUMMYFUNCTION("""COMPUTED_VALUE"""),"Mallorca")</f>
        <v>Mallorca</v>
      </c>
      <c r="E921" s="1" t="str">
        <f>IFERROR(__xludf.DUMMYFUNCTION("""COMPUTED_VALUE"""),"Arianna Cassandra Yu Tablada indi gd magpa pirde 🤣😡😡")</f>
        <v>Arianna Cassandra Yu Tablada indi gd magpa pirde 🤣😡😡</v>
      </c>
      <c r="F921" s="1"/>
      <c r="G921" s="1" t="str">
        <f>IFERROR(__xludf.DUMMYFUNCTION("""COMPUTED_VALUE"""),"3 mos")</f>
        <v>3 mos</v>
      </c>
      <c r="H921" s="1" t="str">
        <f>IFERROR(__xludf.DUMMYFUNCTION("""COMPUTED_VALUE"""),"reply")</f>
        <v>reply</v>
      </c>
      <c r="I921" s="2" t="str">
        <f>IFERROR(__xludf.DUMMYFUNCTION("""COMPUTED_VALUE"""),"https://www.facebook.com/rapplerdotcom/photos/a.317154781638645/5596043783749692/")</f>
        <v>https://www.facebook.com/rapplerdotcom/photos/a.317154781638645/5596043783749692/</v>
      </c>
      <c r="J921" s="1" t="str">
        <f>IFERROR(__xludf.DUMMYFUNCTION("""COMPUTED_VALUE"""),"2022-07-04T15:38:38.276Z")</f>
        <v>2022-07-04T15:38:38.276Z</v>
      </c>
      <c r="K921" s="1"/>
    </row>
    <row r="922">
      <c r="A922" s="2" t="str">
        <f>IFERROR(__xludf.DUMMYFUNCTION("""COMPUTED_VALUE"""),"https://www.facebook.com/liza.mallorca.501")</f>
        <v>https://www.facebook.com/liza.mallorca.501</v>
      </c>
      <c r="B922" s="1" t="str">
        <f>IFERROR(__xludf.DUMMYFUNCTION("""COMPUTED_VALUE"""),"Liza Mallorca")</f>
        <v>Liza Mallorca</v>
      </c>
      <c r="C922" s="1" t="str">
        <f>IFERROR(__xludf.DUMMYFUNCTION("""COMPUTED_VALUE"""),"Liza")</f>
        <v>Liza</v>
      </c>
      <c r="D922" s="1" t="str">
        <f>IFERROR(__xludf.DUMMYFUNCTION("""COMPUTED_VALUE"""),"Mallorca")</f>
        <v>Mallorca</v>
      </c>
      <c r="E922" s="1" t="str">
        <f>IFERROR(__xludf.DUMMYFUNCTION("""COMPUTED_VALUE"""),"Arianna Cassandra Yu Tablada cgro my libreng tsinelas caz🤣🤣🤣")</f>
        <v>Arianna Cassandra Yu Tablada cgro my libreng tsinelas caz🤣🤣🤣</v>
      </c>
      <c r="F922" s="1">
        <f>IFERROR(__xludf.DUMMYFUNCTION("""COMPUTED_VALUE"""),1.0)</f>
        <v>1</v>
      </c>
      <c r="G922" s="1" t="str">
        <f>IFERROR(__xludf.DUMMYFUNCTION("""COMPUTED_VALUE"""),"3 mos")</f>
        <v>3 mos</v>
      </c>
      <c r="H922" s="1" t="str">
        <f>IFERROR(__xludf.DUMMYFUNCTION("""COMPUTED_VALUE"""),"reply")</f>
        <v>reply</v>
      </c>
      <c r="I922" s="2" t="str">
        <f>IFERROR(__xludf.DUMMYFUNCTION("""COMPUTED_VALUE"""),"https://www.facebook.com/rapplerdotcom/photos/a.317154781638645/5596043783749692/")</f>
        <v>https://www.facebook.com/rapplerdotcom/photos/a.317154781638645/5596043783749692/</v>
      </c>
      <c r="J922" s="1" t="str">
        <f>IFERROR(__xludf.DUMMYFUNCTION("""COMPUTED_VALUE"""),"2022-07-04T15:38:38.277Z")</f>
        <v>2022-07-04T15:38:38.277Z</v>
      </c>
      <c r="K922" s="1"/>
    </row>
    <row r="923">
      <c r="A923" s="2" t="str">
        <f>IFERROR(__xludf.DUMMYFUNCTION("""COMPUTED_VALUE"""),"https://www.facebook.com/Arianna11091989")</f>
        <v>https://www.facebook.com/Arianna11091989</v>
      </c>
      <c r="B923" s="1" t="str">
        <f>IFERROR(__xludf.DUMMYFUNCTION("""COMPUTED_VALUE"""),"Arianna Cassandra Yu Tablada")</f>
        <v>Arianna Cassandra Yu Tablada</v>
      </c>
      <c r="C923" s="1" t="str">
        <f>IFERROR(__xludf.DUMMYFUNCTION("""COMPUTED_VALUE"""),"Arianna")</f>
        <v>Arianna</v>
      </c>
      <c r="D923" s="1" t="str">
        <f>IFERROR(__xludf.DUMMYFUNCTION("""COMPUTED_VALUE"""),"Cassandra Yu Tablada")</f>
        <v>Cassandra Yu Tablada</v>
      </c>
      <c r="E923" s="1" t="str">
        <f>IFERROR(__xludf.DUMMYFUNCTION("""COMPUTED_VALUE"""),"Liza Mallorca hahhaa amo gd")</f>
        <v>Liza Mallorca hahhaa amo gd</v>
      </c>
      <c r="F923" s="1"/>
      <c r="G923" s="1" t="str">
        <f>IFERROR(__xludf.DUMMYFUNCTION("""COMPUTED_VALUE"""),"3 mos")</f>
        <v>3 mos</v>
      </c>
      <c r="H923" s="1" t="str">
        <f>IFERROR(__xludf.DUMMYFUNCTION("""COMPUTED_VALUE"""),"reply")</f>
        <v>reply</v>
      </c>
      <c r="I923" s="2" t="str">
        <f>IFERROR(__xludf.DUMMYFUNCTION("""COMPUTED_VALUE"""),"https://www.facebook.com/rapplerdotcom/photos/a.317154781638645/5596043783749692/")</f>
        <v>https://www.facebook.com/rapplerdotcom/photos/a.317154781638645/5596043783749692/</v>
      </c>
      <c r="J923" s="1" t="str">
        <f>IFERROR(__xludf.DUMMYFUNCTION("""COMPUTED_VALUE"""),"2022-07-04T15:38:38.277Z")</f>
        <v>2022-07-04T15:38:38.277Z</v>
      </c>
      <c r="K923" s="1"/>
    </row>
    <row r="924">
      <c r="A924" s="2" t="str">
        <f>IFERROR(__xludf.DUMMYFUNCTION("""COMPUTED_VALUE"""),"https://www.facebook.com/EnricElesisCruz")</f>
        <v>https://www.facebook.com/EnricElesisCruz</v>
      </c>
      <c r="B924" s="1" t="str">
        <f>IFERROR(__xludf.DUMMYFUNCTION("""COMPUTED_VALUE"""),"Enric Elesis Cruz")</f>
        <v>Enric Elesis Cruz</v>
      </c>
      <c r="C924" s="1" t="str">
        <f>IFERROR(__xludf.DUMMYFUNCTION("""COMPUTED_VALUE"""),"Enric")</f>
        <v>Enric</v>
      </c>
      <c r="D924" s="1" t="str">
        <f>IFERROR(__xludf.DUMMYFUNCTION("""COMPUTED_VALUE"""),"Elesis Cruz")</f>
        <v>Elesis Cruz</v>
      </c>
      <c r="E924" s="1" t="str">
        <f>IFERROR(__xludf.DUMMYFUNCTION("""COMPUTED_VALUE"""),"Arianna Cassandra Yu Tablada Yung Inquirer.net as of 8:20pm 21k, dto as of 8pm 37k. Ano talaga numbers? Nagppractice na ata ng pagmamagic.")</f>
        <v>Arianna Cassandra Yu Tablada Yung Inquirer.net as of 8:20pm 21k, dto as of 8pm 37k. Ano talaga numbers? Nagppractice na ata ng pagmamagic.</v>
      </c>
      <c r="F924" s="1"/>
      <c r="G924" s="1" t="str">
        <f>IFERROR(__xludf.DUMMYFUNCTION("""COMPUTED_VALUE"""),"3 mos")</f>
        <v>3 mos</v>
      </c>
      <c r="H924" s="1" t="str">
        <f>IFERROR(__xludf.DUMMYFUNCTION("""COMPUTED_VALUE"""),"reply")</f>
        <v>reply</v>
      </c>
      <c r="I924" s="2" t="str">
        <f>IFERROR(__xludf.DUMMYFUNCTION("""COMPUTED_VALUE"""),"https://www.facebook.com/rapplerdotcom/photos/a.317154781638645/5596043783749692/")</f>
        <v>https://www.facebook.com/rapplerdotcom/photos/a.317154781638645/5596043783749692/</v>
      </c>
      <c r="J924" s="1" t="str">
        <f>IFERROR(__xludf.DUMMYFUNCTION("""COMPUTED_VALUE"""),"2022-07-04T15:38:38.277Z")</f>
        <v>2022-07-04T15:38:38.277Z</v>
      </c>
      <c r="K924" s="1"/>
    </row>
    <row r="925">
      <c r="A925" s="2" t="str">
        <f>IFERROR(__xludf.DUMMYFUNCTION("""COMPUTED_VALUE"""),"https://www.facebook.com/sonny.marano.3")</f>
        <v>https://www.facebook.com/sonny.marano.3</v>
      </c>
      <c r="B925" s="1" t="str">
        <f>IFERROR(__xludf.DUMMYFUNCTION("""COMPUTED_VALUE"""),"Andy Marano Lagueras")</f>
        <v>Andy Marano Lagueras</v>
      </c>
      <c r="C925" s="1" t="str">
        <f>IFERROR(__xludf.DUMMYFUNCTION("""COMPUTED_VALUE"""),"Andy")</f>
        <v>Andy</v>
      </c>
      <c r="D925" s="1" t="str">
        <f>IFERROR(__xludf.DUMMYFUNCTION("""COMPUTED_VALUE"""),"Marano Lagueras")</f>
        <v>Marano Lagueras</v>
      </c>
      <c r="E925" s="1" t="str">
        <f>IFERROR(__xludf.DUMMYFUNCTION("""COMPUTED_VALUE"""),"Enric Elesis Cruz wag ka na magtaka sir kasi yong 40X4 nga 1600 na..kaya ganun din sila magbilang laging may sobra hahahaha")</f>
        <v>Enric Elesis Cruz wag ka na magtaka sir kasi yong 40X4 nga 1600 na..kaya ganun din sila magbilang laging may sobra hahahaha</v>
      </c>
      <c r="F925" s="1"/>
      <c r="G925" s="1" t="str">
        <f>IFERROR(__xludf.DUMMYFUNCTION("""COMPUTED_VALUE"""),"3 mos")</f>
        <v>3 mos</v>
      </c>
      <c r="H925" s="1" t="str">
        <f>IFERROR(__xludf.DUMMYFUNCTION("""COMPUTED_VALUE"""),"reply")</f>
        <v>reply</v>
      </c>
      <c r="I925" s="2" t="str">
        <f>IFERROR(__xludf.DUMMYFUNCTION("""COMPUTED_VALUE"""),"https://www.facebook.com/rapplerdotcom/photos/a.317154781638645/5596043783749692/")</f>
        <v>https://www.facebook.com/rapplerdotcom/photos/a.317154781638645/5596043783749692/</v>
      </c>
      <c r="J925" s="1" t="str">
        <f>IFERROR(__xludf.DUMMYFUNCTION("""COMPUTED_VALUE"""),"2022-07-04T15:38:38.277Z")</f>
        <v>2022-07-04T15:38:38.277Z</v>
      </c>
      <c r="K925" s="1"/>
    </row>
    <row r="926">
      <c r="A926" s="2" t="str">
        <f>IFERROR(__xludf.DUMMYFUNCTION("""COMPUTED_VALUE"""),"https://www.facebook.com/sonny.marano.3")</f>
        <v>https://www.facebook.com/sonny.marano.3</v>
      </c>
      <c r="B926" s="1" t="str">
        <f>IFERROR(__xludf.DUMMYFUNCTION("""COMPUTED_VALUE"""),"Andy Marano Lagueras")</f>
        <v>Andy Marano Lagueras</v>
      </c>
      <c r="C926" s="1" t="str">
        <f>IFERROR(__xludf.DUMMYFUNCTION("""COMPUTED_VALUE"""),"Andy")</f>
        <v>Andy</v>
      </c>
      <c r="D926" s="1" t="str">
        <f>IFERROR(__xludf.DUMMYFUNCTION("""COMPUTED_VALUE"""),"Marano Lagueras")</f>
        <v>Marano Lagueras</v>
      </c>
      <c r="E926" s="1" t="str">
        <f>IFERROR(__xludf.DUMMYFUNCTION("""COMPUTED_VALUE"""),"Hindi na sila nag ka caravan kasi walang sumasalubong sa kalsada linalangaw ang  caravan nila..hehehe kaya dinadaan na lang sa rally na may pa concert na libre kaya tinatao kuno.")</f>
        <v>Hindi na sila nag ka caravan kasi walang sumasalubong sa kalsada linalangaw ang  caravan nila..hehehe kaya dinadaan na lang sa rally na may pa concert na libre kaya tinatao kuno.</v>
      </c>
      <c r="F926" s="1"/>
      <c r="G926" s="1" t="str">
        <f>IFERROR(__xludf.DUMMYFUNCTION("""COMPUTED_VALUE"""),"3 mos")</f>
        <v>3 mos</v>
      </c>
      <c r="H926" s="1" t="str">
        <f>IFERROR(__xludf.DUMMYFUNCTION("""COMPUTED_VALUE"""),"reply")</f>
        <v>reply</v>
      </c>
      <c r="I926" s="2" t="str">
        <f>IFERROR(__xludf.DUMMYFUNCTION("""COMPUTED_VALUE"""),"https://www.facebook.com/rapplerdotcom/photos/a.317154781638645/5596043783749692/")</f>
        <v>https://www.facebook.com/rapplerdotcom/photos/a.317154781638645/5596043783749692/</v>
      </c>
      <c r="J926" s="1" t="str">
        <f>IFERROR(__xludf.DUMMYFUNCTION("""COMPUTED_VALUE"""),"2022-07-04T15:38:38.277Z")</f>
        <v>2022-07-04T15:38:38.277Z</v>
      </c>
      <c r="K926" s="1"/>
    </row>
    <row r="927">
      <c r="A927" s="2" t="str">
        <f>IFERROR(__xludf.DUMMYFUNCTION("""COMPUTED_VALUE"""),"https://www.facebook.com/profile.php?id=100013881702356")</f>
        <v>https://www.facebook.com/profile.php?id=100013881702356</v>
      </c>
      <c r="B927" s="1" t="str">
        <f>IFERROR(__xludf.DUMMYFUNCTION("""COMPUTED_VALUE"""),"Apnp Lanie")</f>
        <v>Apnp Lanie</v>
      </c>
      <c r="C927" s="1" t="str">
        <f>IFERROR(__xludf.DUMMYFUNCTION("""COMPUTED_VALUE"""),"Apnp")</f>
        <v>Apnp</v>
      </c>
      <c r="D927" s="1" t="str">
        <f>IFERROR(__xludf.DUMMYFUNCTION("""COMPUTED_VALUE"""),"Lanie")</f>
        <v>Lanie</v>
      </c>
      <c r="E927" s="1" t="str">
        <f>IFERROR(__xludf.DUMMYFUNCTION("""COMPUTED_VALUE"""),"God bless us! 🙏🙏🙏")</f>
        <v>God bless us! 🙏🙏🙏</v>
      </c>
      <c r="F927" s="1">
        <f>IFERROR(__xludf.DUMMYFUNCTION("""COMPUTED_VALUE"""),2.0)</f>
        <v>2</v>
      </c>
      <c r="G927" s="1" t="str">
        <f>IFERROR(__xludf.DUMMYFUNCTION("""COMPUTED_VALUE"""),"3 mos")</f>
        <v>3 mos</v>
      </c>
      <c r="H927" s="1" t="str">
        <f>IFERROR(__xludf.DUMMYFUNCTION("""COMPUTED_VALUE"""),"comment")</f>
        <v>comment</v>
      </c>
      <c r="I927" s="2" t="str">
        <f>IFERROR(__xludf.DUMMYFUNCTION("""COMPUTED_VALUE"""),"https://www.facebook.com/rapplerdotcom/photos/a.317154781638645/5596043783749692/")</f>
        <v>https://www.facebook.com/rapplerdotcom/photos/a.317154781638645/5596043783749692/</v>
      </c>
      <c r="J927" s="1" t="str">
        <f>IFERROR(__xludf.DUMMYFUNCTION("""COMPUTED_VALUE"""),"2022-07-04T15:38:38.277Z")</f>
        <v>2022-07-04T15:38:38.277Z</v>
      </c>
      <c r="K927" s="1"/>
    </row>
    <row r="928">
      <c r="A928" s="2" t="str">
        <f>IFERROR(__xludf.DUMMYFUNCTION("""COMPUTED_VALUE"""),"https://www.facebook.com/profile.php?id=100071636301768")</f>
        <v>https://www.facebook.com/profile.php?id=100071636301768</v>
      </c>
      <c r="B928" s="1" t="str">
        <f>IFERROR(__xludf.DUMMYFUNCTION("""COMPUTED_VALUE"""),"Tat Tsuko")</f>
        <v>Tat Tsuko</v>
      </c>
      <c r="C928" s="1" t="str">
        <f>IFERROR(__xludf.DUMMYFUNCTION("""COMPUTED_VALUE"""),"Tat")</f>
        <v>Tat</v>
      </c>
      <c r="D928" s="1" t="str">
        <f>IFERROR(__xludf.DUMMYFUNCTION("""COMPUTED_VALUE"""),"Tsuko")</f>
        <v>Tsuko</v>
      </c>
      <c r="E928" s="1" t="str">
        <f>IFERROR(__xludf.DUMMYFUNCTION("""COMPUTED_VALUE"""),"Kwentado talaga para alam kong ilan ang kulang madaling ma remedyuhan 😂😂😂😂😂😂😂 sa badjao  madaling makuha ang bilang dun 😂")</f>
        <v>Kwentado talaga para alam kong ilan ang kulang madaling ma remedyuhan 😂😂😂😂😂😂😂 sa badjao  madaling makuha ang bilang dun 😂</v>
      </c>
      <c r="F928" s="1"/>
      <c r="G928" s="1" t="str">
        <f>IFERROR(__xludf.DUMMYFUNCTION("""COMPUTED_VALUE"""),"3 mos")</f>
        <v>3 mos</v>
      </c>
      <c r="H928" s="1" t="str">
        <f>IFERROR(__xludf.DUMMYFUNCTION("""COMPUTED_VALUE"""),"comment")</f>
        <v>comment</v>
      </c>
      <c r="I928" s="2" t="str">
        <f>IFERROR(__xludf.DUMMYFUNCTION("""COMPUTED_VALUE"""),"https://www.facebook.com/rapplerdotcom/photos/a.317154781638645/5596043783749692/")</f>
        <v>https://www.facebook.com/rapplerdotcom/photos/a.317154781638645/5596043783749692/</v>
      </c>
      <c r="J928" s="1" t="str">
        <f>IFERROR(__xludf.DUMMYFUNCTION("""COMPUTED_VALUE"""),"2022-07-04T15:38:38.277Z")</f>
        <v>2022-07-04T15:38:38.277Z</v>
      </c>
      <c r="K928" s="1"/>
    </row>
    <row r="929">
      <c r="A929" s="2" t="str">
        <f>IFERROR(__xludf.DUMMYFUNCTION("""COMPUTED_VALUE"""),"https://www.facebook.com/samuel.mamauag")</f>
        <v>https://www.facebook.com/samuel.mamauag</v>
      </c>
      <c r="B929" s="1" t="str">
        <f>IFERROR(__xludf.DUMMYFUNCTION("""COMPUTED_VALUE"""),"Samuel Mamauag")</f>
        <v>Samuel Mamauag</v>
      </c>
      <c r="C929" s="1" t="str">
        <f>IFERROR(__xludf.DUMMYFUNCTION("""COMPUTED_VALUE"""),"Samuel")</f>
        <v>Samuel</v>
      </c>
      <c r="D929" s="1" t="str">
        <f>IFERROR(__xludf.DUMMYFUNCTION("""COMPUTED_VALUE"""),"Mamauag")</f>
        <v>Mamauag</v>
      </c>
      <c r="E929" s="1" t="str">
        <f>IFERROR(__xludf.DUMMYFUNCTION("""COMPUTED_VALUE"""),"Good job Camanava! #CamanavaIsPink")</f>
        <v>Good job Camanava! #CamanavaIsPink</v>
      </c>
      <c r="F929" s="1"/>
      <c r="G929" s="1" t="str">
        <f>IFERROR(__xludf.DUMMYFUNCTION("""COMPUTED_VALUE"""),"3 mos")</f>
        <v>3 mos</v>
      </c>
      <c r="H929" s="1" t="str">
        <f>IFERROR(__xludf.DUMMYFUNCTION("""COMPUTED_VALUE"""),"comment")</f>
        <v>comment</v>
      </c>
      <c r="I929" s="2" t="str">
        <f>IFERROR(__xludf.DUMMYFUNCTION("""COMPUTED_VALUE"""),"https://www.facebook.com/rapplerdotcom/photos/a.317154781638645/5596043783749692/")</f>
        <v>https://www.facebook.com/rapplerdotcom/photos/a.317154781638645/5596043783749692/</v>
      </c>
      <c r="J929" s="1" t="str">
        <f>IFERROR(__xludf.DUMMYFUNCTION("""COMPUTED_VALUE"""),"2022-07-04T15:38:38.277Z")</f>
        <v>2022-07-04T15:38:38.277Z</v>
      </c>
      <c r="K929" s="1"/>
    </row>
    <row r="930">
      <c r="A930" s="2" t="str">
        <f>IFERROR(__xludf.DUMMYFUNCTION("""COMPUTED_VALUE"""),"https://www.facebook.com/champoybulletelbow")</f>
        <v>https://www.facebook.com/champoybulletelbow</v>
      </c>
      <c r="B930" s="1" t="str">
        <f>IFERROR(__xludf.DUMMYFUNCTION("""COMPUTED_VALUE"""),"March NJ")</f>
        <v>March NJ</v>
      </c>
      <c r="C930" s="1" t="str">
        <f>IFERROR(__xludf.DUMMYFUNCTION("""COMPUTED_VALUE"""),"March")</f>
        <v>March</v>
      </c>
      <c r="D930" s="1" t="str">
        <f>IFERROR(__xludf.DUMMYFUNCTION("""COMPUTED_VALUE"""),"NJ")</f>
        <v>NJ</v>
      </c>
      <c r="E930" s="1" t="str">
        <f>IFERROR(__xludf.DUMMYFUNCTION("""COMPUTED_VALUE"""),"#LeniKiko2022 #10RobredoPresident  #7PangilinanVicePresident  #TRoPa2022 #GobyernongTapatAngatBuhayLahat  🙏🌷🙏")</f>
        <v>#LeniKiko2022 #10RobredoPresident  #7PangilinanVicePresident  #TRoPa2022 #GobyernongTapatAngatBuhayLahat  🙏🌷🙏</v>
      </c>
      <c r="F930" s="1">
        <f>IFERROR(__xludf.DUMMYFUNCTION("""COMPUTED_VALUE"""),1.0)</f>
        <v>1</v>
      </c>
      <c r="G930" s="1" t="str">
        <f>IFERROR(__xludf.DUMMYFUNCTION("""COMPUTED_VALUE"""),"3 mos")</f>
        <v>3 mos</v>
      </c>
      <c r="H930" s="1" t="str">
        <f>IFERROR(__xludf.DUMMYFUNCTION("""COMPUTED_VALUE"""),"comment")</f>
        <v>comment</v>
      </c>
      <c r="I930" s="2" t="str">
        <f>IFERROR(__xludf.DUMMYFUNCTION("""COMPUTED_VALUE"""),"https://www.facebook.com/rapplerdotcom/photos/a.317154781638645/5596043783749692/")</f>
        <v>https://www.facebook.com/rapplerdotcom/photos/a.317154781638645/5596043783749692/</v>
      </c>
      <c r="J930" s="1" t="str">
        <f>IFERROR(__xludf.DUMMYFUNCTION("""COMPUTED_VALUE"""),"2022-07-04T15:38:38.277Z")</f>
        <v>2022-07-04T15:38:38.277Z</v>
      </c>
      <c r="K930" s="1"/>
    </row>
    <row r="931">
      <c r="A931" s="2" t="str">
        <f>IFERROR(__xludf.DUMMYFUNCTION("""COMPUTED_VALUE"""),"https://www.facebook.com/agodlessheathenagain")</f>
        <v>https://www.facebook.com/agodlessheathenagain</v>
      </c>
      <c r="B931" s="1" t="str">
        <f>IFERROR(__xludf.DUMMYFUNCTION("""COMPUTED_VALUE"""),"Nosretap Galupe")</f>
        <v>Nosretap Galupe</v>
      </c>
      <c r="C931" s="1" t="str">
        <f>IFERROR(__xludf.DUMMYFUNCTION("""COMPUTED_VALUE"""),"Nosretap")</f>
        <v>Nosretap</v>
      </c>
      <c r="D931" s="1" t="str">
        <f>IFERROR(__xludf.DUMMYFUNCTION("""COMPUTED_VALUE"""),"Galupe")</f>
        <v>Galupe</v>
      </c>
      <c r="E931" s="1" t="str">
        <f>IFERROR(__xludf.DUMMYFUNCTION("""COMPUTED_VALUE"""),"Uy...may mga naiinggit...")</f>
        <v>Uy...may mga naiinggit...</v>
      </c>
      <c r="F931" s="1"/>
      <c r="G931" s="1" t="str">
        <f>IFERROR(__xludf.DUMMYFUNCTION("""COMPUTED_VALUE"""),"3 mos")</f>
        <v>3 mos</v>
      </c>
      <c r="H931" s="1" t="str">
        <f>IFERROR(__xludf.DUMMYFUNCTION("""COMPUTED_VALUE"""),"comment")</f>
        <v>comment</v>
      </c>
      <c r="I931" s="2" t="str">
        <f>IFERROR(__xludf.DUMMYFUNCTION("""COMPUTED_VALUE"""),"https://www.facebook.com/rapplerdotcom/photos/a.317154781638645/5596043783749692/")</f>
        <v>https://www.facebook.com/rapplerdotcom/photos/a.317154781638645/5596043783749692/</v>
      </c>
      <c r="J931" s="1" t="str">
        <f>IFERROR(__xludf.DUMMYFUNCTION("""COMPUTED_VALUE"""),"2022-07-04T15:38:38.277Z")</f>
        <v>2022-07-04T15:38:38.277Z</v>
      </c>
      <c r="K931" s="1"/>
    </row>
    <row r="932">
      <c r="A932" s="2" t="str">
        <f>IFERROR(__xludf.DUMMYFUNCTION("""COMPUTED_VALUE"""),"https://www.facebook.com/ronaldace.inaldo")</f>
        <v>https://www.facebook.com/ronaldace.inaldo</v>
      </c>
      <c r="B932" s="1" t="str">
        <f>IFERROR(__xludf.DUMMYFUNCTION("""COMPUTED_VALUE"""),"Ronald Ace Miranda")</f>
        <v>Ronald Ace Miranda</v>
      </c>
      <c r="C932" s="1" t="str">
        <f>IFERROR(__xludf.DUMMYFUNCTION("""COMPUTED_VALUE"""),"Ronald")</f>
        <v>Ronald</v>
      </c>
      <c r="D932" s="1" t="str">
        <f>IFERROR(__xludf.DUMMYFUNCTION("""COMPUTED_VALUE"""),"Ace Miranda")</f>
        <v>Ace Miranda</v>
      </c>
      <c r="E932" s="1" t="str">
        <f>IFERROR(__xludf.DUMMYFUNCTION("""COMPUTED_VALUE"""),"CAMANAVAAAAA SALAMAT SA PAGTINDIG!!!!!")</f>
        <v>CAMANAVAAAAA SALAMAT SA PAGTINDIG!!!!!</v>
      </c>
      <c r="F932" s="1">
        <f>IFERROR(__xludf.DUMMYFUNCTION("""COMPUTED_VALUE"""),5.0)</f>
        <v>5</v>
      </c>
      <c r="G932" s="1" t="str">
        <f>IFERROR(__xludf.DUMMYFUNCTION("""COMPUTED_VALUE"""),"3 mos")</f>
        <v>3 mos</v>
      </c>
      <c r="H932" s="1" t="str">
        <f>IFERROR(__xludf.DUMMYFUNCTION("""COMPUTED_VALUE"""),"comment")</f>
        <v>comment</v>
      </c>
      <c r="I932" s="2" t="str">
        <f>IFERROR(__xludf.DUMMYFUNCTION("""COMPUTED_VALUE"""),"https://www.facebook.com/rapplerdotcom/photos/a.317154781638645/5596043783749692/")</f>
        <v>https://www.facebook.com/rapplerdotcom/photos/a.317154781638645/5596043783749692/</v>
      </c>
      <c r="J932" s="1" t="str">
        <f>IFERROR(__xludf.DUMMYFUNCTION("""COMPUTED_VALUE"""),"2022-07-04T15:38:38.277Z")</f>
        <v>2022-07-04T15:38:38.277Z</v>
      </c>
      <c r="K932" s="1"/>
    </row>
    <row r="933">
      <c r="A933" s="2" t="str">
        <f>IFERROR(__xludf.DUMMYFUNCTION("""COMPUTED_VALUE"""),"https://www.facebook.com/arlene.adamos")</f>
        <v>https://www.facebook.com/arlene.adamos</v>
      </c>
      <c r="B933" s="1" t="str">
        <f>IFERROR(__xludf.DUMMYFUNCTION("""COMPUTED_VALUE"""),"Arlene Adamos-Dela Cruz")</f>
        <v>Arlene Adamos-Dela Cruz</v>
      </c>
      <c r="C933" s="1" t="str">
        <f>IFERROR(__xludf.DUMMYFUNCTION("""COMPUTED_VALUE"""),"Arlene")</f>
        <v>Arlene</v>
      </c>
      <c r="D933" s="1" t="str">
        <f>IFERROR(__xludf.DUMMYFUNCTION("""COMPUTED_VALUE"""),"Adamos-Dela Cruz")</f>
        <v>Adamos-Dela Cruz</v>
      </c>
      <c r="E933" s="1" t="str">
        <f>IFERROR(__xludf.DUMMYFUNCTION("""COMPUTED_VALUE"""),"Thank you for a job well done CAMANAVA!!!")</f>
        <v>Thank you for a job well done CAMANAVA!!!</v>
      </c>
      <c r="F933" s="1">
        <f>IFERROR(__xludf.DUMMYFUNCTION("""COMPUTED_VALUE"""),2.0)</f>
        <v>2</v>
      </c>
      <c r="G933" s="1" t="str">
        <f>IFERROR(__xludf.DUMMYFUNCTION("""COMPUTED_VALUE"""),"3 mos")</f>
        <v>3 mos</v>
      </c>
      <c r="H933" s="1" t="str">
        <f>IFERROR(__xludf.DUMMYFUNCTION("""COMPUTED_VALUE"""),"comment")</f>
        <v>comment</v>
      </c>
      <c r="I933" s="2" t="str">
        <f>IFERROR(__xludf.DUMMYFUNCTION("""COMPUTED_VALUE"""),"https://www.facebook.com/rapplerdotcom/photos/a.317154781638645/5596043783749692/")</f>
        <v>https://www.facebook.com/rapplerdotcom/photos/a.317154781638645/5596043783749692/</v>
      </c>
      <c r="J933" s="1" t="str">
        <f>IFERROR(__xludf.DUMMYFUNCTION("""COMPUTED_VALUE"""),"2022-07-04T15:38:38.277Z")</f>
        <v>2022-07-04T15:38:38.277Z</v>
      </c>
      <c r="K933" s="1"/>
    </row>
    <row r="934">
      <c r="A934" s="2" t="str">
        <f>IFERROR(__xludf.DUMMYFUNCTION("""COMPUTED_VALUE"""),"https://www.facebook.com/rensoriframos")</f>
        <v>https://www.facebook.com/rensoriframos</v>
      </c>
      <c r="B934" s="1" t="str">
        <f>IFERROR(__xludf.DUMMYFUNCTION("""COMPUTED_VALUE"""),"Renso Rif Ramos")</f>
        <v>Renso Rif Ramos</v>
      </c>
      <c r="C934" s="1" t="str">
        <f>IFERROR(__xludf.DUMMYFUNCTION("""COMPUTED_VALUE"""),"Renso")</f>
        <v>Renso</v>
      </c>
      <c r="D934" s="1" t="str">
        <f>IFERROR(__xludf.DUMMYFUNCTION("""COMPUTED_VALUE"""),"Rif Ramos")</f>
        <v>Rif Ramos</v>
      </c>
      <c r="E934" s="1" t="str">
        <f>IFERROR(__xludf.DUMMYFUNCTION("""COMPUTED_VALUE"""),"ouy kaka meeting lng ng boss nila need more hustle pa daw")</f>
        <v>ouy kaka meeting lng ng boss nila need more hustle pa daw</v>
      </c>
      <c r="F934" s="1"/>
      <c r="G934" s="1" t="str">
        <f>IFERROR(__xludf.DUMMYFUNCTION("""COMPUTED_VALUE"""),"3 mos")</f>
        <v>3 mos</v>
      </c>
      <c r="H934" s="1" t="str">
        <f>IFERROR(__xludf.DUMMYFUNCTION("""COMPUTED_VALUE"""),"comment")</f>
        <v>comment</v>
      </c>
      <c r="I934" s="2" t="str">
        <f>IFERROR(__xludf.DUMMYFUNCTION("""COMPUTED_VALUE"""),"https://www.facebook.com/rapplerdotcom/photos/a.317154781638645/5596043783749692/")</f>
        <v>https://www.facebook.com/rapplerdotcom/photos/a.317154781638645/5596043783749692/</v>
      </c>
      <c r="J934" s="1" t="str">
        <f>IFERROR(__xludf.DUMMYFUNCTION("""COMPUTED_VALUE"""),"2022-07-04T15:38:38.277Z")</f>
        <v>2022-07-04T15:38:38.277Z</v>
      </c>
      <c r="K934" s="1"/>
    </row>
    <row r="935">
      <c r="A935" s="2" t="str">
        <f>IFERROR(__xludf.DUMMYFUNCTION("""COMPUTED_VALUE"""),"https://www.facebook.com/robert.villamin.7")</f>
        <v>https://www.facebook.com/robert.villamin.7</v>
      </c>
      <c r="B935" s="1" t="str">
        <f>IFERROR(__xludf.DUMMYFUNCTION("""COMPUTED_VALUE"""),"Villamin C. Trevor")</f>
        <v>Villamin C. Trevor</v>
      </c>
      <c r="C935" s="1" t="str">
        <f>IFERROR(__xludf.DUMMYFUNCTION("""COMPUTED_VALUE"""),"Villamin")</f>
        <v>Villamin</v>
      </c>
      <c r="D935" s="1" t="str">
        <f>IFERROR(__xludf.DUMMYFUNCTION("""COMPUTED_VALUE"""),"C. Trevor")</f>
        <v>C. Trevor</v>
      </c>
      <c r="E935" s="1" t="str">
        <f>IFERROR(__xludf.DUMMYFUNCTION("""COMPUTED_VALUE"""),"May nanalo na")</f>
        <v>May nanalo na</v>
      </c>
      <c r="F935" s="1">
        <f>IFERROR(__xludf.DUMMYFUNCTION("""COMPUTED_VALUE"""),2.0)</f>
        <v>2</v>
      </c>
      <c r="G935" s="1" t="str">
        <f>IFERROR(__xludf.DUMMYFUNCTION("""COMPUTED_VALUE"""),"3 mos")</f>
        <v>3 mos</v>
      </c>
      <c r="H935" s="1" t="str">
        <f>IFERROR(__xludf.DUMMYFUNCTION("""COMPUTED_VALUE"""),"comment")</f>
        <v>comment</v>
      </c>
      <c r="I935" s="2" t="str">
        <f>IFERROR(__xludf.DUMMYFUNCTION("""COMPUTED_VALUE"""),"https://www.facebook.com/rapplerdotcom/photos/a.317154781638645/5596043783749692/")</f>
        <v>https://www.facebook.com/rapplerdotcom/photos/a.317154781638645/5596043783749692/</v>
      </c>
      <c r="J935" s="1" t="str">
        <f>IFERROR(__xludf.DUMMYFUNCTION("""COMPUTED_VALUE"""),"2022-07-04T15:38:38.277Z")</f>
        <v>2022-07-04T15:38:38.277Z</v>
      </c>
      <c r="K935" s="1"/>
    </row>
    <row r="936">
      <c r="A936" s="2" t="str">
        <f>IFERROR(__xludf.DUMMYFUNCTION("""COMPUTED_VALUE"""),"https://www.facebook.com/yongcoonang")</f>
        <v>https://www.facebook.com/yongcoonang</v>
      </c>
      <c r="B936" s="1" t="str">
        <f>IFERROR(__xludf.DUMMYFUNCTION("""COMPUTED_VALUE"""),"Kelvin Billy")</f>
        <v>Kelvin Billy</v>
      </c>
      <c r="C936" s="1" t="str">
        <f>IFERROR(__xludf.DUMMYFUNCTION("""COMPUTED_VALUE"""),"Kelvin")</f>
        <v>Kelvin</v>
      </c>
      <c r="D936" s="1" t="str">
        <f>IFERROR(__xludf.DUMMYFUNCTION("""COMPUTED_VALUE"""),"Billy")</f>
        <v>Billy</v>
      </c>
      <c r="E936" s="1" t="str">
        <f>IFERROR(__xludf.DUMMYFUNCTION("""COMPUTED_VALUE"""),"Robert C. Nimalliv   ⚙️ EARN MONEY ONLINE WITHOUT GOING TO WORK OR STRESS YOURSELF  ⚙️if you're interested ☝️☝️☝️ just kindly click on the link to contact my Senior Cryptofx account manager for guidance 📩  Link 🔗🔗🔗  https://www.facebook.com/evlira.cry"&amp;"ptofxtrader")</f>
        <v>Robert C. Nimalliv   ⚙️ EARN MONEY ONLINE WITHOUT GOING TO WORK OR STRESS YOURSELF  ⚙️if you're interested ☝️☝️☝️ just kindly click on the link to contact my Senior Cryptofx account manager for guidance 📩  Link 🔗🔗🔗  https://www.facebook.com/evlira.cryptofxtrader</v>
      </c>
      <c r="F936" s="1"/>
      <c r="G936" s="1" t="str">
        <f>IFERROR(__xludf.DUMMYFUNCTION("""COMPUTED_VALUE"""),"3 mos")</f>
        <v>3 mos</v>
      </c>
      <c r="H936" s="1" t="str">
        <f>IFERROR(__xludf.DUMMYFUNCTION("""COMPUTED_VALUE"""),"reply")</f>
        <v>reply</v>
      </c>
      <c r="I936" s="2" t="str">
        <f>IFERROR(__xludf.DUMMYFUNCTION("""COMPUTED_VALUE"""),"https://www.facebook.com/rapplerdotcom/photos/a.317154781638645/5596043783749692/")</f>
        <v>https://www.facebook.com/rapplerdotcom/photos/a.317154781638645/5596043783749692/</v>
      </c>
      <c r="J936" s="1" t="str">
        <f>IFERROR(__xludf.DUMMYFUNCTION("""COMPUTED_VALUE"""),"2022-07-04T15:38:38.277Z")</f>
        <v>2022-07-04T15:38:38.277Z</v>
      </c>
      <c r="K936" s="1"/>
    </row>
    <row r="937">
      <c r="A937" s="2" t="str">
        <f>IFERROR(__xludf.DUMMYFUNCTION("""COMPUTED_VALUE"""),"https://www.facebook.com/profile.php?id=100077465509824")</f>
        <v>https://www.facebook.com/profile.php?id=100077465509824</v>
      </c>
      <c r="B937" s="1" t="str">
        <f>IFERROR(__xludf.DUMMYFUNCTION("""COMPUTED_VALUE"""),"Amanda Chalisa Obdam")</f>
        <v>Amanda Chalisa Obdam</v>
      </c>
      <c r="C937" s="1" t="str">
        <f>IFERROR(__xludf.DUMMYFUNCTION("""COMPUTED_VALUE"""),"Amanda")</f>
        <v>Amanda</v>
      </c>
      <c r="D937" s="1" t="str">
        <f>IFERROR(__xludf.DUMMYFUNCTION("""COMPUTED_VALUE"""),"Chalisa Obdam")</f>
        <v>Chalisa Obdam</v>
      </c>
      <c r="E937" s="1" t="str">
        <f>IFERROR(__xludf.DUMMYFUNCTION("""COMPUTED_VALUE"""),"Puro Chinese daw mga umatend")</f>
        <v>Puro Chinese daw mga umatend</v>
      </c>
      <c r="F937" s="1"/>
      <c r="G937" s="1" t="str">
        <f>IFERROR(__xludf.DUMMYFUNCTION("""COMPUTED_VALUE"""),"3 mos")</f>
        <v>3 mos</v>
      </c>
      <c r="H937" s="1" t="str">
        <f>IFERROR(__xludf.DUMMYFUNCTION("""COMPUTED_VALUE"""),"comment")</f>
        <v>comment</v>
      </c>
      <c r="I937" s="2" t="str">
        <f>IFERROR(__xludf.DUMMYFUNCTION("""COMPUTED_VALUE"""),"https://www.facebook.com/rapplerdotcom/photos/a.317154781638645/5596043783749692/")</f>
        <v>https://www.facebook.com/rapplerdotcom/photos/a.317154781638645/5596043783749692/</v>
      </c>
      <c r="J937" s="1" t="str">
        <f>IFERROR(__xludf.DUMMYFUNCTION("""COMPUTED_VALUE"""),"2022-07-04T15:38:38.277Z")</f>
        <v>2022-07-04T15:38:38.277Z</v>
      </c>
      <c r="K937" s="1"/>
    </row>
    <row r="938">
      <c r="A938" s="2" t="str">
        <f>IFERROR(__xludf.DUMMYFUNCTION("""COMPUTED_VALUE"""),"https://www.facebook.com/ruth.pananganan")</f>
        <v>https://www.facebook.com/ruth.pananganan</v>
      </c>
      <c r="B938" s="1" t="str">
        <f>IFERROR(__xludf.DUMMYFUNCTION("""COMPUTED_VALUE"""),"Baycor Repan")</f>
        <v>Baycor Repan</v>
      </c>
      <c r="C938" s="1" t="str">
        <f>IFERROR(__xludf.DUMMYFUNCTION("""COMPUTED_VALUE"""),"Baycor")</f>
        <v>Baycor</v>
      </c>
      <c r="D938" s="1" t="str">
        <f>IFERROR(__xludf.DUMMYFUNCTION("""COMPUTED_VALUE"""),"Repan")</f>
        <v>Repan</v>
      </c>
      <c r="E938" s="1" t="str">
        <f>IFERROR(__xludf.DUMMYFUNCTION("""COMPUTED_VALUE"""),"malayo pa rin...")</f>
        <v>malayo pa rin...</v>
      </c>
      <c r="F938" s="1"/>
      <c r="G938" s="1" t="str">
        <f>IFERROR(__xludf.DUMMYFUNCTION("""COMPUTED_VALUE"""),"3 mos")</f>
        <v>3 mos</v>
      </c>
      <c r="H938" s="1" t="str">
        <f>IFERROR(__xludf.DUMMYFUNCTION("""COMPUTED_VALUE"""),"comment")</f>
        <v>comment</v>
      </c>
      <c r="I938" s="2" t="str">
        <f>IFERROR(__xludf.DUMMYFUNCTION("""COMPUTED_VALUE"""),"https://www.facebook.com/rapplerdotcom/photos/a.317154781638645/5596043783749692/")</f>
        <v>https://www.facebook.com/rapplerdotcom/photos/a.317154781638645/5596043783749692/</v>
      </c>
      <c r="J938" s="1" t="str">
        <f>IFERROR(__xludf.DUMMYFUNCTION("""COMPUTED_VALUE"""),"2022-07-04T15:38:38.277Z")</f>
        <v>2022-07-04T15:38:38.277Z</v>
      </c>
      <c r="K938" s="1"/>
    </row>
    <row r="939">
      <c r="A939" s="2" t="str">
        <f>IFERROR(__xludf.DUMMYFUNCTION("""COMPUTED_VALUE"""),"https://www.facebook.com/raks.figthet")</f>
        <v>https://www.facebook.com/raks.figthet</v>
      </c>
      <c r="B939" s="1" t="str">
        <f>IFERROR(__xludf.DUMMYFUNCTION("""COMPUTED_VALUE"""),"Rock Lee")</f>
        <v>Rock Lee</v>
      </c>
      <c r="C939" s="1" t="str">
        <f>IFERROR(__xludf.DUMMYFUNCTION("""COMPUTED_VALUE"""),"Rock")</f>
        <v>Rock</v>
      </c>
      <c r="D939" s="1" t="str">
        <f>IFERROR(__xludf.DUMMYFUNCTION("""COMPUTED_VALUE"""),"Lee")</f>
        <v>Lee</v>
      </c>
      <c r="E939" s="1" t="str">
        <f>IFERROR(__xludf.DUMMYFUNCTION("""COMPUTED_VALUE"""),"Mas makatotohanan sana kung may Live Video ng Caravan hindi Yung deretso sa Rally 😂")</f>
        <v>Mas makatotohanan sana kung may Live Video ng Caravan hindi Yung deretso sa Rally 😂</v>
      </c>
      <c r="F939" s="1">
        <f>IFERROR(__xludf.DUMMYFUNCTION("""COMPUTED_VALUE"""),1.0)</f>
        <v>1</v>
      </c>
      <c r="G939" s="1" t="str">
        <f>IFERROR(__xludf.DUMMYFUNCTION("""COMPUTED_VALUE"""),"3 mos")</f>
        <v>3 mos</v>
      </c>
      <c r="H939" s="1" t="str">
        <f>IFERROR(__xludf.DUMMYFUNCTION("""COMPUTED_VALUE"""),"comment")</f>
        <v>comment</v>
      </c>
      <c r="I939" s="2" t="str">
        <f>IFERROR(__xludf.DUMMYFUNCTION("""COMPUTED_VALUE"""),"https://www.facebook.com/rapplerdotcom/photos/a.317154781638645/5596043783749692/")</f>
        <v>https://www.facebook.com/rapplerdotcom/photos/a.317154781638645/5596043783749692/</v>
      </c>
      <c r="J939" s="1" t="str">
        <f>IFERROR(__xludf.DUMMYFUNCTION("""COMPUTED_VALUE"""),"2022-07-04T15:38:38.277Z")</f>
        <v>2022-07-04T15:38:38.277Z</v>
      </c>
      <c r="K939" s="1"/>
    </row>
    <row r="940">
      <c r="A940" s="2" t="str">
        <f>IFERROR(__xludf.DUMMYFUNCTION("""COMPUTED_VALUE"""),"https://www.facebook.com/profile.php?id=100072506056935")</f>
        <v>https://www.facebook.com/profile.php?id=100072506056935</v>
      </c>
      <c r="B940" s="1" t="str">
        <f>IFERROR(__xludf.DUMMYFUNCTION("""COMPUTED_VALUE"""),"Charles Alcala Villegas")</f>
        <v>Charles Alcala Villegas</v>
      </c>
      <c r="C940" s="1" t="str">
        <f>IFERROR(__xludf.DUMMYFUNCTION("""COMPUTED_VALUE"""),"Charles")</f>
        <v>Charles</v>
      </c>
      <c r="D940" s="1" t="str">
        <f>IFERROR(__xludf.DUMMYFUNCTION("""COMPUTED_VALUE"""),"Alcala Villegas")</f>
        <v>Alcala Villegas</v>
      </c>
      <c r="E940" s="1" t="str">
        <f>IFERROR(__xludf.DUMMYFUNCTION("""COMPUTED_VALUE"""),"Ipana10 na natin to")</f>
        <v>Ipana10 na natin to</v>
      </c>
      <c r="F940" s="1"/>
      <c r="G940" s="1" t="str">
        <f>IFERROR(__xludf.DUMMYFUNCTION("""COMPUTED_VALUE"""),"3 mos")</f>
        <v>3 mos</v>
      </c>
      <c r="H940" s="1" t="str">
        <f>IFERROR(__xludf.DUMMYFUNCTION("""COMPUTED_VALUE"""),"comment")</f>
        <v>comment</v>
      </c>
      <c r="I940" s="2" t="str">
        <f>IFERROR(__xludf.DUMMYFUNCTION("""COMPUTED_VALUE"""),"https://www.facebook.com/rapplerdotcom/photos/a.317154781638645/5596043783749692/")</f>
        <v>https://www.facebook.com/rapplerdotcom/photos/a.317154781638645/5596043783749692/</v>
      </c>
      <c r="J940" s="1" t="str">
        <f>IFERROR(__xludf.DUMMYFUNCTION("""COMPUTED_VALUE"""),"2022-07-04T15:38:38.277Z")</f>
        <v>2022-07-04T15:38:38.277Z</v>
      </c>
      <c r="K940" s="1"/>
    </row>
    <row r="941">
      <c r="A941" s="2" t="str">
        <f>IFERROR(__xludf.DUMMYFUNCTION("""COMPUTED_VALUE"""),"https://www.facebook.com/teodorico.deverap")</f>
        <v>https://www.facebook.com/teodorico.deverap</v>
      </c>
      <c r="B941" s="1" t="str">
        <f>IFERROR(__xludf.DUMMYFUNCTION("""COMPUTED_VALUE"""),"Teodorico Deverap")</f>
        <v>Teodorico Deverap</v>
      </c>
      <c r="C941" s="1" t="str">
        <f>IFERROR(__xludf.DUMMYFUNCTION("""COMPUTED_VALUE"""),"Teodorico")</f>
        <v>Teodorico</v>
      </c>
      <c r="D941" s="1" t="str">
        <f>IFERROR(__xludf.DUMMYFUNCTION("""COMPUTED_VALUE"""),"Deverap")</f>
        <v>Deverap</v>
      </c>
      <c r="E941" s="1" t="str">
        <f>IFERROR(__xludf.DUMMYFUNCTION("""COMPUTED_VALUE"""),"BbmSara")</f>
        <v>BbmSara</v>
      </c>
      <c r="F941" s="1"/>
      <c r="G941" s="1" t="str">
        <f>IFERROR(__xludf.DUMMYFUNCTION("""COMPUTED_VALUE"""),"3 mos")</f>
        <v>3 mos</v>
      </c>
      <c r="H941" s="1" t="str">
        <f>IFERROR(__xludf.DUMMYFUNCTION("""COMPUTED_VALUE"""),"comment")</f>
        <v>comment</v>
      </c>
      <c r="I941" s="2" t="str">
        <f>IFERROR(__xludf.DUMMYFUNCTION("""COMPUTED_VALUE"""),"https://www.facebook.com/rapplerdotcom/photos/a.317154781638645/5596043783749692/")</f>
        <v>https://www.facebook.com/rapplerdotcom/photos/a.317154781638645/5596043783749692/</v>
      </c>
      <c r="J941" s="1" t="str">
        <f>IFERROR(__xludf.DUMMYFUNCTION("""COMPUTED_VALUE"""),"2022-07-04T15:38:38.277Z")</f>
        <v>2022-07-04T15:38:38.277Z</v>
      </c>
      <c r="K941" s="1"/>
    </row>
    <row r="942">
      <c r="A942" s="2" t="str">
        <f>IFERROR(__xludf.DUMMYFUNCTION("""COMPUTED_VALUE"""),"https://www.facebook.com/geegee.lopez")</f>
        <v>https://www.facebook.com/geegee.lopez</v>
      </c>
      <c r="B942" s="1" t="str">
        <f>IFERROR(__xludf.DUMMYFUNCTION("""COMPUTED_VALUE"""),"Grateful Geegee")</f>
        <v>Grateful Geegee</v>
      </c>
      <c r="C942" s="1" t="str">
        <f>IFERROR(__xludf.DUMMYFUNCTION("""COMPUTED_VALUE"""),"Grateful")</f>
        <v>Grateful</v>
      </c>
      <c r="D942" s="1" t="str">
        <f>IFERROR(__xludf.DUMMYFUNCTION("""COMPUTED_VALUE"""),"Geegee")</f>
        <v>Geegee</v>
      </c>
      <c r="E942" s="1" t="str">
        <f>IFERROR(__xludf.DUMMYFUNCTION("""COMPUTED_VALUE"""),"Masusing pagtingin sa sitwasyon: Lubog sa utang ang bansa. 3 TRILYON ++ 2 MILYON walang trabaho 255,714 nawalan ng trabaho  8000+ negosyo naapektuhan 1 sa bawat 10 na edad 6-24 years old HINDI nag-aaral  1 sa bawat 5 na tao hindi NAKA-enroll (2020-21) 4.5"&amp;" MILYON Walang bahay at lupa 4.2 MILYON pamilya nagugutom  15 BILYON ANOMALYA sa PhilHealth 67.5 BILYON PONDO ng DOH para sa BAKUNA HINDI nagamit nang tama  Lahat tayo ay responsable para sa ikauunlad ng bansa.   Lahat tayo may pagkakataong makapamili ng "&amp;"lider na mag-aahon sa ating lahat mula sa kahirapan.   Ngayon tingnan natin ang: 1. PAMUMUHAY  2. MGA NAGAWA 3. GAWAIN SA ELEKSIYON 4. TAGA-SUPORTA 5. REPUTASYON  Kasi paano papasok ang tulong at negosyo para sa bansa? Kailangan MAPAGKAKATIWALAAN ang goby"&amp;"erno, hindi may katiwalian.   Lahat tayo may malasakit sa bayan. Sana gabayan tayo ng Diyos sa ating pagpili. Buhay natin at ng mga mahal natin ang nakataya.")</f>
        <v>Masusing pagtingin sa sitwasyon: Lubog sa utang ang bansa. 3 TRILYON ++ 2 MILYON walang trabaho 255,714 nawalan ng trabaho  8000+ negosyo naapektuhan 1 sa bawat 10 na edad 6-24 years old HINDI nag-aaral  1 sa bawat 5 na tao hindi NAKA-enroll (2020-21) 4.5 MILYON Walang bahay at lupa 4.2 MILYON pamilya nagugutom  15 BILYON ANOMALYA sa PhilHealth 67.5 BILYON PONDO ng DOH para sa BAKUNA HINDI nagamit nang tama  Lahat tayo ay responsable para sa ikauunlad ng bansa.   Lahat tayo may pagkakataong makapamili ng lider na mag-aahon sa ating lahat mula sa kahirapan.   Ngayon tingnan natin ang: 1. PAMUMUHAY  2. MGA NAGAWA 3. GAWAIN SA ELEKSIYON 4. TAGA-SUPORTA 5. REPUTASYON  Kasi paano papasok ang tulong at negosyo para sa bansa? Kailangan MAPAGKAKATIWALAAN ang gobyerno, hindi may katiwalian.   Lahat tayo may malasakit sa bayan. Sana gabayan tayo ng Diyos sa ating pagpili. Buhay natin at ng mga mahal natin ang nakataya.</v>
      </c>
      <c r="F942" s="1">
        <f>IFERROR(__xludf.DUMMYFUNCTION("""COMPUTED_VALUE"""),1.0)</f>
        <v>1</v>
      </c>
      <c r="G942" s="1" t="str">
        <f>IFERROR(__xludf.DUMMYFUNCTION("""COMPUTED_VALUE"""),"3 mos")</f>
        <v>3 mos</v>
      </c>
      <c r="H942" s="1" t="str">
        <f>IFERROR(__xludf.DUMMYFUNCTION("""COMPUTED_VALUE"""),"comment")</f>
        <v>comment</v>
      </c>
      <c r="I942" s="2" t="str">
        <f>IFERROR(__xludf.DUMMYFUNCTION("""COMPUTED_VALUE"""),"https://www.facebook.com/rapplerdotcom/photos/a.317154781638645/5596043783749692/")</f>
        <v>https://www.facebook.com/rapplerdotcom/photos/a.317154781638645/5596043783749692/</v>
      </c>
      <c r="J942" s="1" t="str">
        <f>IFERROR(__xludf.DUMMYFUNCTION("""COMPUTED_VALUE"""),"2022-07-04T15:38:38.277Z")</f>
        <v>2022-07-04T15:38:38.277Z</v>
      </c>
      <c r="K942" s="1"/>
    </row>
    <row r="943">
      <c r="A943" s="2" t="str">
        <f>IFERROR(__xludf.DUMMYFUNCTION("""COMPUTED_VALUE"""),"https://www.facebook.com/donato.antonio.75")</f>
        <v>https://www.facebook.com/donato.antonio.75</v>
      </c>
      <c r="B943" s="1" t="str">
        <f>IFERROR(__xludf.DUMMYFUNCTION("""COMPUTED_VALUE"""),"Donato Antonio")</f>
        <v>Donato Antonio</v>
      </c>
      <c r="C943" s="1" t="str">
        <f>IFERROR(__xludf.DUMMYFUNCTION("""COMPUTED_VALUE"""),"Donato")</f>
        <v>Donato</v>
      </c>
      <c r="D943" s="1" t="str">
        <f>IFERROR(__xludf.DUMMYFUNCTION("""COMPUTED_VALUE"""),"Antonio")</f>
        <v>Antonio</v>
      </c>
      <c r="E943" s="1" t="str">
        <f>IFERROR(__xludf.DUMMYFUNCTION("""COMPUTED_VALUE"""),"Grateful Geegee patawa ka😛😝😜")</f>
        <v>Grateful Geegee patawa ka😛😝😜</v>
      </c>
      <c r="F943" s="1"/>
      <c r="G943" s="1" t="str">
        <f>IFERROR(__xludf.DUMMYFUNCTION("""COMPUTED_VALUE"""),"3 mos")</f>
        <v>3 mos</v>
      </c>
      <c r="H943" s="1" t="str">
        <f>IFERROR(__xludf.DUMMYFUNCTION("""COMPUTED_VALUE"""),"reply")</f>
        <v>reply</v>
      </c>
      <c r="I943" s="2" t="str">
        <f>IFERROR(__xludf.DUMMYFUNCTION("""COMPUTED_VALUE"""),"https://www.facebook.com/rapplerdotcom/photos/a.317154781638645/5596043783749692/")</f>
        <v>https://www.facebook.com/rapplerdotcom/photos/a.317154781638645/5596043783749692/</v>
      </c>
      <c r="J943" s="1" t="str">
        <f>IFERROR(__xludf.DUMMYFUNCTION("""COMPUTED_VALUE"""),"2022-07-04T15:38:38.277Z")</f>
        <v>2022-07-04T15:38:38.277Z</v>
      </c>
      <c r="K943" s="1"/>
    </row>
    <row r="944">
      <c r="A944" s="2" t="str">
        <f>IFERROR(__xludf.DUMMYFUNCTION("""COMPUTED_VALUE"""),"https://www.facebook.com/donato.antonio.75")</f>
        <v>https://www.facebook.com/donato.antonio.75</v>
      </c>
      <c r="B944" s="1" t="str">
        <f>IFERROR(__xludf.DUMMYFUNCTION("""COMPUTED_VALUE"""),"Donato Antonio")</f>
        <v>Donato Antonio</v>
      </c>
      <c r="C944" s="1" t="str">
        <f>IFERROR(__xludf.DUMMYFUNCTION("""COMPUTED_VALUE"""),"Donato")</f>
        <v>Donato</v>
      </c>
      <c r="D944" s="1" t="str">
        <f>IFERROR(__xludf.DUMMYFUNCTION("""COMPUTED_VALUE"""),"Antonio")</f>
        <v>Antonio</v>
      </c>
      <c r="E944" s="1" t="str">
        <f>IFERROR(__xludf.DUMMYFUNCTION("""COMPUTED_VALUE"""),"Grateful Geegee balik mga adik")</f>
        <v>Grateful Geegee balik mga adik</v>
      </c>
      <c r="F944" s="1"/>
      <c r="G944" s="1" t="str">
        <f>IFERROR(__xludf.DUMMYFUNCTION("""COMPUTED_VALUE"""),"3 mos")</f>
        <v>3 mos</v>
      </c>
      <c r="H944" s="1" t="str">
        <f>IFERROR(__xludf.DUMMYFUNCTION("""COMPUTED_VALUE"""),"reply")</f>
        <v>reply</v>
      </c>
      <c r="I944" s="2" t="str">
        <f>IFERROR(__xludf.DUMMYFUNCTION("""COMPUTED_VALUE"""),"https://www.facebook.com/rapplerdotcom/photos/a.317154781638645/5596043783749692/")</f>
        <v>https://www.facebook.com/rapplerdotcom/photos/a.317154781638645/5596043783749692/</v>
      </c>
      <c r="J944" s="1" t="str">
        <f>IFERROR(__xludf.DUMMYFUNCTION("""COMPUTED_VALUE"""),"2022-07-04T15:38:38.277Z")</f>
        <v>2022-07-04T15:38:38.277Z</v>
      </c>
      <c r="K944" s="1"/>
    </row>
    <row r="945">
      <c r="A945" s="2" t="str">
        <f>IFERROR(__xludf.DUMMYFUNCTION("""COMPUTED_VALUE"""),"https://www.facebook.com/robertoainzaolayon")</f>
        <v>https://www.facebook.com/robertoainzaolayon</v>
      </c>
      <c r="B945" s="1" t="str">
        <f>IFERROR(__xludf.DUMMYFUNCTION("""COMPUTED_VALUE"""),"Roberto Ainza Olayon")</f>
        <v>Roberto Ainza Olayon</v>
      </c>
      <c r="C945" s="1" t="str">
        <f>IFERROR(__xludf.DUMMYFUNCTION("""COMPUTED_VALUE"""),"Roberto")</f>
        <v>Roberto</v>
      </c>
      <c r="D945" s="1" t="str">
        <f>IFERROR(__xludf.DUMMYFUNCTION("""COMPUTED_VALUE"""),"Ainza Olayon")</f>
        <v>Ainza Olayon</v>
      </c>
      <c r="E945" s="1" t="str">
        <f>IFERROR(__xludf.DUMMYFUNCTION("""COMPUTED_VALUE"""),"Unithieves 5k lang at indoor d pa mapuno at ang saya saya may agawan pagkain agawang karton,agawang pila sa pagkuha pera(bayad)rambulan at batuhan silya at iba pa,dukutan ng wallet,sikwatan ng celphone marami pang iba,yan kase ang hakot d magkakakilala")</f>
        <v>Unithieves 5k lang at indoor d pa mapuno at ang saya saya may agawan pagkain agawang karton,agawang pila sa pagkuha pera(bayad)rambulan at batuhan silya at iba pa,dukutan ng wallet,sikwatan ng celphone marami pang iba,yan kase ang hakot d magkakakilala</v>
      </c>
      <c r="F945" s="1">
        <f>IFERROR(__xludf.DUMMYFUNCTION("""COMPUTED_VALUE"""),1.0)</f>
        <v>1</v>
      </c>
      <c r="G945" s="1" t="str">
        <f>IFERROR(__xludf.DUMMYFUNCTION("""COMPUTED_VALUE"""),"3 mos")</f>
        <v>3 mos</v>
      </c>
      <c r="H945" s="1" t="str">
        <f>IFERROR(__xludf.DUMMYFUNCTION("""COMPUTED_VALUE"""),"comment")</f>
        <v>comment</v>
      </c>
      <c r="I945" s="2" t="str">
        <f>IFERROR(__xludf.DUMMYFUNCTION("""COMPUTED_VALUE"""),"https://www.facebook.com/rapplerdotcom/photos/a.317154781638645/5596043783749692/")</f>
        <v>https://www.facebook.com/rapplerdotcom/photos/a.317154781638645/5596043783749692/</v>
      </c>
      <c r="J945" s="1" t="str">
        <f>IFERROR(__xludf.DUMMYFUNCTION("""COMPUTED_VALUE"""),"2022-07-04T15:38:38.277Z")</f>
        <v>2022-07-04T15:38:38.277Z</v>
      </c>
      <c r="K945" s="1"/>
    </row>
    <row r="946">
      <c r="A946" s="2" t="str">
        <f>IFERROR(__xludf.DUMMYFUNCTION("""COMPUTED_VALUE"""),"https://www.facebook.com/yspuj")</f>
        <v>https://www.facebook.com/yspuj</v>
      </c>
      <c r="B946" s="1" t="str">
        <f>IFERROR(__xludf.DUMMYFUNCTION("""COMPUTED_VALUE"""),"Jupi Ugalde Gerance")</f>
        <v>Jupi Ugalde Gerance</v>
      </c>
      <c r="C946" s="1" t="str">
        <f>IFERROR(__xludf.DUMMYFUNCTION("""COMPUTED_VALUE"""),"Jupi")</f>
        <v>Jupi</v>
      </c>
      <c r="D946" s="1" t="str">
        <f>IFERROR(__xludf.DUMMYFUNCTION("""COMPUTED_VALUE"""),"Ugalde Gerance")</f>
        <v>Ugalde Gerance</v>
      </c>
      <c r="E946" s="1" t="str">
        <f>IFERROR(__xludf.DUMMYFUNCTION("""COMPUTED_VALUE"""),"37,000 lang. dapat 97,999 bka kulelat pa rin ✌️👊")</f>
        <v>37,000 lang. dapat 97,999 bka kulelat pa rin ✌️👊</v>
      </c>
      <c r="F946" s="1"/>
      <c r="G946" s="1" t="str">
        <f>IFERROR(__xludf.DUMMYFUNCTION("""COMPUTED_VALUE"""),"3 mos")</f>
        <v>3 mos</v>
      </c>
      <c r="H946" s="1" t="str">
        <f>IFERROR(__xludf.DUMMYFUNCTION("""COMPUTED_VALUE"""),"comment")</f>
        <v>comment</v>
      </c>
      <c r="I946" s="2" t="str">
        <f>IFERROR(__xludf.DUMMYFUNCTION("""COMPUTED_VALUE"""),"https://www.facebook.com/rapplerdotcom/photos/a.317154781638645/5596043783749692/")</f>
        <v>https://www.facebook.com/rapplerdotcom/photos/a.317154781638645/5596043783749692/</v>
      </c>
      <c r="J946" s="1" t="str">
        <f>IFERROR(__xludf.DUMMYFUNCTION("""COMPUTED_VALUE"""),"2022-07-04T15:38:38.277Z")</f>
        <v>2022-07-04T15:38:38.277Z</v>
      </c>
      <c r="K946" s="1"/>
    </row>
    <row r="947">
      <c r="A947" s="2" t="str">
        <f>IFERROR(__xludf.DUMMYFUNCTION("""COMPUTED_VALUE"""),"https://www.facebook.com/tapic.pagsuguiron")</f>
        <v>https://www.facebook.com/tapic.pagsuguiron</v>
      </c>
      <c r="B947" s="1" t="str">
        <f>IFERROR(__xludf.DUMMYFUNCTION("""COMPUTED_VALUE"""),"Tapic Pagsuguiron")</f>
        <v>Tapic Pagsuguiron</v>
      </c>
      <c r="C947" s="1" t="str">
        <f>IFERROR(__xludf.DUMMYFUNCTION("""COMPUTED_VALUE"""),"Tapic")</f>
        <v>Tapic</v>
      </c>
      <c r="D947" s="1" t="str">
        <f>IFERROR(__xludf.DUMMYFUNCTION("""COMPUTED_VALUE"""),"Pagsuguiron")</f>
        <v>Pagsuguiron</v>
      </c>
      <c r="E947" s="1" t="str">
        <f>IFERROR(__xludf.DUMMYFUNCTION("""COMPUTED_VALUE"""),"Ano ngayon..... Talo parin kayo")</f>
        <v>Ano ngayon..... Talo parin kayo</v>
      </c>
      <c r="F947" s="1">
        <f>IFERROR(__xludf.DUMMYFUNCTION("""COMPUTED_VALUE"""),3.0)</f>
        <v>3</v>
      </c>
      <c r="G947" s="1" t="str">
        <f>IFERROR(__xludf.DUMMYFUNCTION("""COMPUTED_VALUE"""),"3 mos")</f>
        <v>3 mos</v>
      </c>
      <c r="H947" s="1" t="str">
        <f>IFERROR(__xludf.DUMMYFUNCTION("""COMPUTED_VALUE"""),"comment")</f>
        <v>comment</v>
      </c>
      <c r="I947" s="2" t="str">
        <f>IFERROR(__xludf.DUMMYFUNCTION("""COMPUTED_VALUE"""),"https://www.facebook.com/rapplerdotcom/photos/a.317154781638645/5596043783749692/")</f>
        <v>https://www.facebook.com/rapplerdotcom/photos/a.317154781638645/5596043783749692/</v>
      </c>
      <c r="J947" s="1" t="str">
        <f>IFERROR(__xludf.DUMMYFUNCTION("""COMPUTED_VALUE"""),"2022-07-04T15:38:38.277Z")</f>
        <v>2022-07-04T15:38:38.277Z</v>
      </c>
      <c r="K947" s="1"/>
    </row>
    <row r="948">
      <c r="A948" s="2" t="str">
        <f>IFERROR(__xludf.DUMMYFUNCTION("""COMPUTED_VALUE"""),"https://www.facebook.com/wasakgregg")</f>
        <v>https://www.facebook.com/wasakgregg</v>
      </c>
      <c r="B948" s="1" t="str">
        <f>IFERROR(__xludf.DUMMYFUNCTION("""COMPUTED_VALUE"""),"Gregg Fuentes")</f>
        <v>Gregg Fuentes</v>
      </c>
      <c r="C948" s="1" t="str">
        <f>IFERROR(__xludf.DUMMYFUNCTION("""COMPUTED_VALUE"""),"Gregg")</f>
        <v>Gregg</v>
      </c>
      <c r="D948" s="1" t="str">
        <f>IFERROR(__xludf.DUMMYFUNCTION("""COMPUTED_VALUE"""),"Fuentes")</f>
        <v>Fuentes</v>
      </c>
      <c r="E948" s="1" t="str">
        <f>IFERROR(__xludf.DUMMYFUNCTION("""COMPUTED_VALUE"""),"Tapic Pagsuguiron wala kasing banda sa inyo noh pag nah rarally. Kaya inggit ka ngayon eh")</f>
        <v>Tapic Pagsuguiron wala kasing banda sa inyo noh pag nah rarally. Kaya inggit ka ngayon eh</v>
      </c>
      <c r="F948" s="1">
        <f>IFERROR(__xludf.DUMMYFUNCTION("""COMPUTED_VALUE"""),3.0)</f>
        <v>3</v>
      </c>
      <c r="G948" s="1" t="str">
        <f>IFERROR(__xludf.DUMMYFUNCTION("""COMPUTED_VALUE"""),"3 mos")</f>
        <v>3 mos</v>
      </c>
      <c r="H948" s="1" t="str">
        <f>IFERROR(__xludf.DUMMYFUNCTION("""COMPUTED_VALUE"""),"reply")</f>
        <v>reply</v>
      </c>
      <c r="I948" s="2" t="str">
        <f>IFERROR(__xludf.DUMMYFUNCTION("""COMPUTED_VALUE"""),"https://www.facebook.com/rapplerdotcom/photos/a.317154781638645/5596043783749692/")</f>
        <v>https://www.facebook.com/rapplerdotcom/photos/a.317154781638645/5596043783749692/</v>
      </c>
      <c r="J948" s="1" t="str">
        <f>IFERROR(__xludf.DUMMYFUNCTION("""COMPUTED_VALUE"""),"2022-07-04T15:38:38.277Z")</f>
        <v>2022-07-04T15:38:38.277Z</v>
      </c>
      <c r="K948" s="1"/>
    </row>
    <row r="949">
      <c r="A949" s="2" t="str">
        <f>IFERROR(__xludf.DUMMYFUNCTION("""COMPUTED_VALUE"""),"https://www.facebook.com/fclcandari")</f>
        <v>https://www.facebook.com/fclcandari</v>
      </c>
      <c r="B949" s="1" t="str">
        <f>IFERROR(__xludf.DUMMYFUNCTION("""COMPUTED_VALUE"""),"ルカ ルカ")</f>
        <v>ルカ ルカ</v>
      </c>
      <c r="C949" s="1" t="str">
        <f>IFERROR(__xludf.DUMMYFUNCTION("""COMPUTED_VALUE"""),"ルカ")</f>
        <v>ルカ</v>
      </c>
      <c r="D949" s="1" t="str">
        <f>IFERROR(__xludf.DUMMYFUNCTION("""COMPUTED_VALUE"""),"ルカ")</f>
        <v>ルカ</v>
      </c>
      <c r="E949" s="1" t="str">
        <f>IFERROR(__xludf.DUMMYFUNCTION("""COMPUTED_VALUE"""),"Dapat palitan hashtag from vote to droneshot...")</f>
        <v>Dapat palitan hashtag from vote to droneshot...</v>
      </c>
      <c r="F949" s="1"/>
      <c r="G949" s="1" t="str">
        <f>IFERROR(__xludf.DUMMYFUNCTION("""COMPUTED_VALUE"""),"3 mos")</f>
        <v>3 mos</v>
      </c>
      <c r="H949" s="1" t="str">
        <f>IFERROR(__xludf.DUMMYFUNCTION("""COMPUTED_VALUE"""),"comment")</f>
        <v>comment</v>
      </c>
      <c r="I949" s="2" t="str">
        <f>IFERROR(__xludf.DUMMYFUNCTION("""COMPUTED_VALUE"""),"https://www.facebook.com/rapplerdotcom/photos/a.317154781638645/5596043783749692/")</f>
        <v>https://www.facebook.com/rapplerdotcom/photos/a.317154781638645/5596043783749692/</v>
      </c>
      <c r="J949" s="1" t="str">
        <f>IFERROR(__xludf.DUMMYFUNCTION("""COMPUTED_VALUE"""),"2022-07-04T15:38:38.277Z")</f>
        <v>2022-07-04T15:38:38.277Z</v>
      </c>
      <c r="K949" s="1"/>
    </row>
    <row r="950">
      <c r="A950" s="2" t="str">
        <f>IFERROR(__xludf.DUMMYFUNCTION("""COMPUTED_VALUE"""),"https://www.facebook.com/regine.tamayo1")</f>
        <v>https://www.facebook.com/regine.tamayo1</v>
      </c>
      <c r="B950" s="1" t="str">
        <f>IFERROR(__xludf.DUMMYFUNCTION("""COMPUTED_VALUE"""),"Regine Baluyut Tamayo")</f>
        <v>Regine Baluyut Tamayo</v>
      </c>
      <c r="C950" s="1" t="str">
        <f>IFERROR(__xludf.DUMMYFUNCTION("""COMPUTED_VALUE"""),"Regine")</f>
        <v>Regine</v>
      </c>
      <c r="D950" s="1" t="str">
        <f>IFERROR(__xludf.DUMMYFUNCTION("""COMPUTED_VALUE"""),"Baluyut Tamayo")</f>
        <v>Baluyut Tamayo</v>
      </c>
      <c r="E950" s="1" t="str">
        <f>IFERROR(__xludf.DUMMYFUNCTION("""COMPUTED_VALUE"""),"#LeniKikoForTheWin🌸🌸 #IpanaloNa10To 🌸🌸 #GobyernongTapat 🌸🌸 #AngatBuhayLahat🌸🌸")</f>
        <v>#LeniKikoForTheWin🌸🌸 #IpanaloNa10To 🌸🌸 #GobyernongTapat 🌸🌸 #AngatBuhayLahat🌸🌸</v>
      </c>
      <c r="F950" s="1"/>
      <c r="G950" s="1" t="str">
        <f>IFERROR(__xludf.DUMMYFUNCTION("""COMPUTED_VALUE"""),"3 mos")</f>
        <v>3 mos</v>
      </c>
      <c r="H950" s="1" t="str">
        <f>IFERROR(__xludf.DUMMYFUNCTION("""COMPUTED_VALUE"""),"comment")</f>
        <v>comment</v>
      </c>
      <c r="I950" s="2" t="str">
        <f>IFERROR(__xludf.DUMMYFUNCTION("""COMPUTED_VALUE"""),"https://www.facebook.com/rapplerdotcom/photos/a.317154781638645/5596043783749692/")</f>
        <v>https://www.facebook.com/rapplerdotcom/photos/a.317154781638645/5596043783749692/</v>
      </c>
      <c r="J950" s="1" t="str">
        <f>IFERROR(__xludf.DUMMYFUNCTION("""COMPUTED_VALUE"""),"2022-07-04T15:38:38.277Z")</f>
        <v>2022-07-04T15:38:38.277Z</v>
      </c>
      <c r="K950" s="1"/>
    </row>
    <row r="951">
      <c r="A951" s="2" t="str">
        <f>IFERROR(__xludf.DUMMYFUNCTION("""COMPUTED_VALUE"""),"https://www.facebook.com/Aprilche888")</f>
        <v>https://www.facebook.com/Aprilche888</v>
      </c>
      <c r="B951" s="1" t="str">
        <f>IFERROR(__xludf.DUMMYFUNCTION("""COMPUTED_VALUE"""),"Che Rry")</f>
        <v>Che Rry</v>
      </c>
      <c r="C951" s="1" t="str">
        <f>IFERROR(__xludf.DUMMYFUNCTION("""COMPUTED_VALUE"""),"Che")</f>
        <v>Che</v>
      </c>
      <c r="D951" s="1" t="str">
        <f>IFERROR(__xludf.DUMMYFUNCTION("""COMPUTED_VALUE"""),"Rry")</f>
        <v>Rry</v>
      </c>
      <c r="E951" s="1" t="str">
        <f>IFERROR(__xludf.DUMMYFUNCTION("""COMPUTED_VALUE"""),"Che Rry")</f>
        <v>Che Rry</v>
      </c>
      <c r="F951" s="1">
        <f>IFERROR(__xludf.DUMMYFUNCTION("""COMPUTED_VALUE"""),3.0)</f>
        <v>3</v>
      </c>
      <c r="G951" s="1" t="str">
        <f>IFERROR(__xludf.DUMMYFUNCTION("""COMPUTED_VALUE"""),"3 mos")</f>
        <v>3 mos</v>
      </c>
      <c r="H951" s="1" t="str">
        <f>IFERROR(__xludf.DUMMYFUNCTION("""COMPUTED_VALUE"""),"comment")</f>
        <v>comment</v>
      </c>
      <c r="I951" s="2" t="str">
        <f>IFERROR(__xludf.DUMMYFUNCTION("""COMPUTED_VALUE"""),"https://www.facebook.com/rapplerdotcom/photos/a.317154781638645/5596043783749692/")</f>
        <v>https://www.facebook.com/rapplerdotcom/photos/a.317154781638645/5596043783749692/</v>
      </c>
      <c r="J951" s="1" t="str">
        <f>IFERROR(__xludf.DUMMYFUNCTION("""COMPUTED_VALUE"""),"2022-07-04T15:38:38.277Z")</f>
        <v>2022-07-04T15:38:38.277Z</v>
      </c>
      <c r="K951" s="1"/>
    </row>
    <row r="952">
      <c r="A952" s="2" t="str">
        <f>IFERROR(__xludf.DUMMYFUNCTION("""COMPUTED_VALUE"""),"https://www.facebook.com/kim.sioson")</f>
        <v>https://www.facebook.com/kim.sioson</v>
      </c>
      <c r="B952" s="1" t="str">
        <f>IFERROR(__xludf.DUMMYFUNCTION("""COMPUTED_VALUE"""),"Kim Sioson")</f>
        <v>Kim Sioson</v>
      </c>
      <c r="C952" s="1" t="str">
        <f>IFERROR(__xludf.DUMMYFUNCTION("""COMPUTED_VALUE"""),"Kim")</f>
        <v>Kim</v>
      </c>
      <c r="D952" s="1" t="str">
        <f>IFERROR(__xludf.DUMMYFUNCTION("""COMPUTED_VALUE"""),"Sioson")</f>
        <v>Sioson</v>
      </c>
      <c r="E952" s="1" t="str">
        <f>IFERROR(__xludf.DUMMYFUNCTION("""COMPUTED_VALUE"""),"Kim Sioson")</f>
        <v>Kim Sioson</v>
      </c>
      <c r="F952" s="1">
        <f>IFERROR(__xludf.DUMMYFUNCTION("""COMPUTED_VALUE"""),2.0)</f>
        <v>2</v>
      </c>
      <c r="G952" s="1" t="str">
        <f>IFERROR(__xludf.DUMMYFUNCTION("""COMPUTED_VALUE"""),"3 mos")</f>
        <v>3 mos</v>
      </c>
      <c r="H952" s="1" t="str">
        <f>IFERROR(__xludf.DUMMYFUNCTION("""COMPUTED_VALUE"""),"comment")</f>
        <v>comment</v>
      </c>
      <c r="I952" s="2" t="str">
        <f>IFERROR(__xludf.DUMMYFUNCTION("""COMPUTED_VALUE"""),"https://www.facebook.com/rapplerdotcom/photos/a.317154781638645/5596043783749692/")</f>
        <v>https://www.facebook.com/rapplerdotcom/photos/a.317154781638645/5596043783749692/</v>
      </c>
      <c r="J952" s="1" t="str">
        <f>IFERROR(__xludf.DUMMYFUNCTION("""COMPUTED_VALUE"""),"2022-07-04T15:38:38.277Z")</f>
        <v>2022-07-04T15:38:38.277Z</v>
      </c>
      <c r="K952" s="1"/>
    </row>
    <row r="953">
      <c r="A953" s="2" t="str">
        <f>IFERROR(__xludf.DUMMYFUNCTION("""COMPUTED_VALUE"""),"https://www.facebook.com/erl.lim")</f>
        <v>https://www.facebook.com/erl.lim</v>
      </c>
      <c r="B953" s="1" t="str">
        <f>IFERROR(__xludf.DUMMYFUNCTION("""COMPUTED_VALUE"""),"Erl Lim")</f>
        <v>Erl Lim</v>
      </c>
      <c r="C953" s="1" t="str">
        <f>IFERROR(__xludf.DUMMYFUNCTION("""COMPUTED_VALUE"""),"Erl")</f>
        <v>Erl</v>
      </c>
      <c r="D953" s="1" t="str">
        <f>IFERROR(__xludf.DUMMYFUNCTION("""COMPUTED_VALUE"""),"Lim")</f>
        <v>Lim</v>
      </c>
      <c r="E953" s="1" t="str">
        <f>IFERROR(__xludf.DUMMYFUNCTION("""COMPUTED_VALUE"""),"Erl Lim")</f>
        <v>Erl Lim</v>
      </c>
      <c r="F953" s="1">
        <f>IFERROR(__xludf.DUMMYFUNCTION("""COMPUTED_VALUE"""),1.0)</f>
        <v>1</v>
      </c>
      <c r="G953" s="1" t="str">
        <f>IFERROR(__xludf.DUMMYFUNCTION("""COMPUTED_VALUE"""),"3 mos")</f>
        <v>3 mos</v>
      </c>
      <c r="H953" s="1" t="str">
        <f>IFERROR(__xludf.DUMMYFUNCTION("""COMPUTED_VALUE"""),"comment")</f>
        <v>comment</v>
      </c>
      <c r="I953" s="2" t="str">
        <f>IFERROR(__xludf.DUMMYFUNCTION("""COMPUTED_VALUE"""),"https://www.facebook.com/rapplerdotcom/photos/a.317154781638645/5596043783749692/")</f>
        <v>https://www.facebook.com/rapplerdotcom/photos/a.317154781638645/5596043783749692/</v>
      </c>
      <c r="J953" s="1" t="str">
        <f>IFERROR(__xludf.DUMMYFUNCTION("""COMPUTED_VALUE"""),"2022-07-04T15:38:38.277Z")</f>
        <v>2022-07-04T15:38:38.277Z</v>
      </c>
      <c r="K953" s="1"/>
    </row>
    <row r="954">
      <c r="A954" s="2" t="str">
        <f>IFERROR(__xludf.DUMMYFUNCTION("""COMPUTED_VALUE"""),"https://www.facebook.com/kim.sioson")</f>
        <v>https://www.facebook.com/kim.sioson</v>
      </c>
      <c r="B954" s="1" t="str">
        <f>IFERROR(__xludf.DUMMYFUNCTION("""COMPUTED_VALUE"""),"Kim Sioson")</f>
        <v>Kim Sioson</v>
      </c>
      <c r="C954" s="1" t="str">
        <f>IFERROR(__xludf.DUMMYFUNCTION("""COMPUTED_VALUE"""),"Kim")</f>
        <v>Kim</v>
      </c>
      <c r="D954" s="1" t="str">
        <f>IFERROR(__xludf.DUMMYFUNCTION("""COMPUTED_VALUE"""),"Sioson")</f>
        <v>Sioson</v>
      </c>
      <c r="E954" s="1" t="str">
        <f>IFERROR(__xludf.DUMMYFUNCTION("""COMPUTED_VALUE"""),"Kim Sioson")</f>
        <v>Kim Sioson</v>
      </c>
      <c r="F954" s="1"/>
      <c r="G954" s="1" t="str">
        <f>IFERROR(__xludf.DUMMYFUNCTION("""COMPUTED_VALUE"""),"3 mos")</f>
        <v>3 mos</v>
      </c>
      <c r="H954" s="1" t="str">
        <f>IFERROR(__xludf.DUMMYFUNCTION("""COMPUTED_VALUE"""),"comment")</f>
        <v>comment</v>
      </c>
      <c r="I954" s="2" t="str">
        <f>IFERROR(__xludf.DUMMYFUNCTION("""COMPUTED_VALUE"""),"https://www.facebook.com/rapplerdotcom/photos/a.317154781638645/5596043783749692/")</f>
        <v>https://www.facebook.com/rapplerdotcom/photos/a.317154781638645/5596043783749692/</v>
      </c>
      <c r="J954" s="1" t="str">
        <f>IFERROR(__xludf.DUMMYFUNCTION("""COMPUTED_VALUE"""),"2022-07-04T15:38:38.277Z")</f>
        <v>2022-07-04T15:38:38.277Z</v>
      </c>
      <c r="K954" s="1"/>
    </row>
    <row r="955">
      <c r="A955" s="2" t="str">
        <f>IFERROR(__xludf.DUMMYFUNCTION("""COMPUTED_VALUE"""),"https://www.facebook.com/bernardo.nicolas.3382")</f>
        <v>https://www.facebook.com/bernardo.nicolas.3382</v>
      </c>
      <c r="B955" s="1" t="str">
        <f>IFERROR(__xludf.DUMMYFUNCTION("""COMPUTED_VALUE"""),"Bernardo Nicolas")</f>
        <v>Bernardo Nicolas</v>
      </c>
      <c r="C955" s="1" t="str">
        <f>IFERROR(__xludf.DUMMYFUNCTION("""COMPUTED_VALUE"""),"Bernardo")</f>
        <v>Bernardo</v>
      </c>
      <c r="D955" s="1" t="str">
        <f>IFERROR(__xludf.DUMMYFUNCTION("""COMPUTED_VALUE"""),"Nicolas")</f>
        <v>Nicolas</v>
      </c>
      <c r="E955" s="1" t="str">
        <f>IFERROR(__xludf.DUMMYFUNCTION("""COMPUTED_VALUE"""),"Bernardo Nicolas")</f>
        <v>Bernardo Nicolas</v>
      </c>
      <c r="F955" s="1">
        <f>IFERROR(__xludf.DUMMYFUNCTION("""COMPUTED_VALUE"""),2.0)</f>
        <v>2</v>
      </c>
      <c r="G955" s="1" t="str">
        <f>IFERROR(__xludf.DUMMYFUNCTION("""COMPUTED_VALUE"""),"3 mos")</f>
        <v>3 mos</v>
      </c>
      <c r="H955" s="1" t="str">
        <f>IFERROR(__xludf.DUMMYFUNCTION("""COMPUTED_VALUE"""),"comment")</f>
        <v>comment</v>
      </c>
      <c r="I955" s="2" t="str">
        <f>IFERROR(__xludf.DUMMYFUNCTION("""COMPUTED_VALUE"""),"https://www.facebook.com/rapplerdotcom/photos/a.317154781638645/5596043783749692/")</f>
        <v>https://www.facebook.com/rapplerdotcom/photos/a.317154781638645/5596043783749692/</v>
      </c>
      <c r="J955" s="1" t="str">
        <f>IFERROR(__xludf.DUMMYFUNCTION("""COMPUTED_VALUE"""),"2022-07-04T15:38:38.277Z")</f>
        <v>2022-07-04T15:38:38.277Z</v>
      </c>
      <c r="K955" s="1"/>
    </row>
    <row r="956">
      <c r="A956" s="2" t="str">
        <f>IFERROR(__xludf.DUMMYFUNCTION("""COMPUTED_VALUE"""),"https://www.facebook.com/kt.gd.425")</f>
        <v>https://www.facebook.com/kt.gd.425</v>
      </c>
      <c r="B956" s="1" t="str">
        <f>IFERROR(__xludf.DUMMYFUNCTION("""COMPUTED_VALUE"""),"Kassandra Daitol")</f>
        <v>Kassandra Daitol</v>
      </c>
      <c r="C956" s="1" t="str">
        <f>IFERROR(__xludf.DUMMYFUNCTION("""COMPUTED_VALUE"""),"Kassandra")</f>
        <v>Kassandra</v>
      </c>
      <c r="D956" s="1" t="str">
        <f>IFERROR(__xludf.DUMMYFUNCTION("""COMPUTED_VALUE"""),"Daitol")</f>
        <v>Daitol</v>
      </c>
      <c r="E956" s="1" t="str">
        <f>IFERROR(__xludf.DUMMYFUNCTION("""COMPUTED_VALUE"""),"Kassandra Daitol")</f>
        <v>Kassandra Daitol</v>
      </c>
      <c r="F956" s="1">
        <f>IFERROR(__xludf.DUMMYFUNCTION("""COMPUTED_VALUE"""),4.0)</f>
        <v>4</v>
      </c>
      <c r="G956" s="1" t="str">
        <f>IFERROR(__xludf.DUMMYFUNCTION("""COMPUTED_VALUE"""),"3 mos")</f>
        <v>3 mos</v>
      </c>
      <c r="H956" s="1" t="str">
        <f>IFERROR(__xludf.DUMMYFUNCTION("""COMPUTED_VALUE"""),"comment")</f>
        <v>comment</v>
      </c>
      <c r="I956" s="2" t="str">
        <f>IFERROR(__xludf.DUMMYFUNCTION("""COMPUTED_VALUE"""),"https://www.facebook.com/rapplerdotcom/photos/a.317154781638645/5596043783749692/")</f>
        <v>https://www.facebook.com/rapplerdotcom/photos/a.317154781638645/5596043783749692/</v>
      </c>
      <c r="J956" s="1" t="str">
        <f>IFERROR(__xludf.DUMMYFUNCTION("""COMPUTED_VALUE"""),"2022-07-04T15:38:38.277Z")</f>
        <v>2022-07-04T15:38:38.277Z</v>
      </c>
      <c r="K956" s="1"/>
    </row>
    <row r="957">
      <c r="A957" s="2" t="str">
        <f>IFERROR(__xludf.DUMMYFUNCTION("""COMPUTED_VALUE"""),"https://www.facebook.com/yongcoonang")</f>
        <v>https://www.facebook.com/yongcoonang</v>
      </c>
      <c r="B957" s="1" t="str">
        <f>IFERROR(__xludf.DUMMYFUNCTION("""COMPUTED_VALUE"""),"Kelvin Billy")</f>
        <v>Kelvin Billy</v>
      </c>
      <c r="C957" s="1" t="str">
        <f>IFERROR(__xludf.DUMMYFUNCTION("""COMPUTED_VALUE"""),"Kelvin")</f>
        <v>Kelvin</v>
      </c>
      <c r="D957" s="1" t="str">
        <f>IFERROR(__xludf.DUMMYFUNCTION("""COMPUTED_VALUE"""),"Billy")</f>
        <v>Billy</v>
      </c>
      <c r="E957" s="1" t="str">
        <f>IFERROR(__xludf.DUMMYFUNCTION("""COMPUTED_VALUE"""),"Kassandra Daitol   ⚙️ EARN MONEY ONLINE WITHOUT GOING TO WORK OR STRESS YOURSELF  ⚙️if you're interested ☝️☝️☝️ just kindly click on the link to contact my Senior Cryptofx account manager for guidance 📩  Link 🔗🔗🔗  https://www.facebook.com/evlira.crypt"&amp;"ofxtrader")</f>
        <v>Kassandra Daitol   ⚙️ EARN MONEY ONLINE WITHOUT GOING TO WORK OR STRESS YOURSELF  ⚙️if you're interested ☝️☝️☝️ just kindly click on the link to contact my Senior Cryptofx account manager for guidance 📩  Link 🔗🔗🔗  https://www.facebook.com/evlira.cryptofxtrader</v>
      </c>
      <c r="F957" s="1"/>
      <c r="G957" s="1" t="str">
        <f>IFERROR(__xludf.DUMMYFUNCTION("""COMPUTED_VALUE"""),"3 mos")</f>
        <v>3 mos</v>
      </c>
      <c r="H957" s="1" t="str">
        <f>IFERROR(__xludf.DUMMYFUNCTION("""COMPUTED_VALUE"""),"reply")</f>
        <v>reply</v>
      </c>
      <c r="I957" s="2" t="str">
        <f>IFERROR(__xludf.DUMMYFUNCTION("""COMPUTED_VALUE"""),"https://www.facebook.com/rapplerdotcom/photos/a.317154781638645/5596043783749692/")</f>
        <v>https://www.facebook.com/rapplerdotcom/photos/a.317154781638645/5596043783749692/</v>
      </c>
      <c r="J957" s="1" t="str">
        <f>IFERROR(__xludf.DUMMYFUNCTION("""COMPUTED_VALUE"""),"2022-07-04T15:38:38.277Z")</f>
        <v>2022-07-04T15:38:38.277Z</v>
      </c>
      <c r="K957" s="1"/>
    </row>
    <row r="958">
      <c r="A958" s="2" t="str">
        <f>IFERROR(__xludf.DUMMYFUNCTION("""COMPUTED_VALUE"""),"https://www.facebook.com/maripaz.mira")</f>
        <v>https://www.facebook.com/maripaz.mira</v>
      </c>
      <c r="B958" s="1" t="str">
        <f>IFERROR(__xludf.DUMMYFUNCTION("""COMPUTED_VALUE"""),"Maripaz Remoquillo Mira")</f>
        <v>Maripaz Remoquillo Mira</v>
      </c>
      <c r="C958" s="1" t="str">
        <f>IFERROR(__xludf.DUMMYFUNCTION("""COMPUTED_VALUE"""),"Maripaz")</f>
        <v>Maripaz</v>
      </c>
      <c r="D958" s="1" t="str">
        <f>IFERROR(__xludf.DUMMYFUNCTION("""COMPUTED_VALUE"""),"Remoquillo Mira")</f>
        <v>Remoquillo Mira</v>
      </c>
      <c r="E958" s="1" t="str">
        <f>IFERROR(__xludf.DUMMYFUNCTION("""COMPUTED_VALUE"""),"Kassandra Daito Me too.")</f>
        <v>Kassandra Daito Me too.</v>
      </c>
      <c r="F958" s="1"/>
      <c r="G958" s="1" t="str">
        <f>IFERROR(__xludf.DUMMYFUNCTION("""COMPUTED_VALUE"""),"3 mos")</f>
        <v>3 mos</v>
      </c>
      <c r="H958" s="1" t="str">
        <f>IFERROR(__xludf.DUMMYFUNCTION("""COMPUTED_VALUE"""),"reply")</f>
        <v>reply</v>
      </c>
      <c r="I958" s="2" t="str">
        <f>IFERROR(__xludf.DUMMYFUNCTION("""COMPUTED_VALUE"""),"https://www.facebook.com/rapplerdotcom/photos/a.317154781638645/5596043783749692/")</f>
        <v>https://www.facebook.com/rapplerdotcom/photos/a.317154781638645/5596043783749692/</v>
      </c>
      <c r="J958" s="1" t="str">
        <f>IFERROR(__xludf.DUMMYFUNCTION("""COMPUTED_VALUE"""),"2022-07-04T15:38:38.277Z")</f>
        <v>2022-07-04T15:38:38.277Z</v>
      </c>
      <c r="K958" s="1"/>
    </row>
    <row r="959">
      <c r="A959" s="2" t="str">
        <f>IFERROR(__xludf.DUMMYFUNCTION("""COMPUTED_VALUE"""),"https://www.facebook.com/kim.sioson")</f>
        <v>https://www.facebook.com/kim.sioson</v>
      </c>
      <c r="B959" s="1" t="str">
        <f>IFERROR(__xludf.DUMMYFUNCTION("""COMPUTED_VALUE"""),"Kim Sioson")</f>
        <v>Kim Sioson</v>
      </c>
      <c r="C959" s="1" t="str">
        <f>IFERROR(__xludf.DUMMYFUNCTION("""COMPUTED_VALUE"""),"Kim")</f>
        <v>Kim</v>
      </c>
      <c r="D959" s="1" t="str">
        <f>IFERROR(__xludf.DUMMYFUNCTION("""COMPUTED_VALUE"""),"Sioson")</f>
        <v>Sioson</v>
      </c>
      <c r="E959" s="1" t="str">
        <f>IFERROR(__xludf.DUMMYFUNCTION("""COMPUTED_VALUE"""),"Kim Sioson")</f>
        <v>Kim Sioson</v>
      </c>
      <c r="F959" s="1"/>
      <c r="G959" s="1" t="str">
        <f>IFERROR(__xludf.DUMMYFUNCTION("""COMPUTED_VALUE"""),"3 mos")</f>
        <v>3 mos</v>
      </c>
      <c r="H959" s="1" t="str">
        <f>IFERROR(__xludf.DUMMYFUNCTION("""COMPUTED_VALUE"""),"comment")</f>
        <v>comment</v>
      </c>
      <c r="I959" s="2" t="str">
        <f>IFERROR(__xludf.DUMMYFUNCTION("""COMPUTED_VALUE"""),"https://www.facebook.com/rapplerdotcom/photos/a.317154781638645/5596043783749692/")</f>
        <v>https://www.facebook.com/rapplerdotcom/photos/a.317154781638645/5596043783749692/</v>
      </c>
      <c r="J959" s="1" t="str">
        <f>IFERROR(__xludf.DUMMYFUNCTION("""COMPUTED_VALUE"""),"2022-07-04T15:38:38.277Z")</f>
        <v>2022-07-04T15:38:38.277Z</v>
      </c>
      <c r="K959" s="1"/>
    </row>
    <row r="960">
      <c r="A960" s="2" t="str">
        <f>IFERROR(__xludf.DUMMYFUNCTION("""COMPUTED_VALUE"""),"https://www.facebook.com/nelia.villanueva.39")</f>
        <v>https://www.facebook.com/nelia.villanueva.39</v>
      </c>
      <c r="B960" s="1" t="str">
        <f>IFERROR(__xludf.DUMMYFUNCTION("""COMPUTED_VALUE"""),"Nelia Villanueva")</f>
        <v>Nelia Villanueva</v>
      </c>
      <c r="C960" s="1" t="str">
        <f>IFERROR(__xludf.DUMMYFUNCTION("""COMPUTED_VALUE"""),"Nelia")</f>
        <v>Nelia</v>
      </c>
      <c r="D960" s="1" t="str">
        <f>IFERROR(__xludf.DUMMYFUNCTION("""COMPUTED_VALUE"""),"Villanueva")</f>
        <v>Villanueva</v>
      </c>
      <c r="E960" s="1" t="str">
        <f>IFERROR(__xludf.DUMMYFUNCTION("""COMPUTED_VALUE"""),"Nelia Villanueva")</f>
        <v>Nelia Villanueva</v>
      </c>
      <c r="F960" s="1"/>
      <c r="G960" s="1" t="str">
        <f>IFERROR(__xludf.DUMMYFUNCTION("""COMPUTED_VALUE"""),"3 mos")</f>
        <v>3 mos</v>
      </c>
      <c r="H960" s="1" t="str">
        <f>IFERROR(__xludf.DUMMYFUNCTION("""COMPUTED_VALUE"""),"comment")</f>
        <v>comment</v>
      </c>
      <c r="I960" s="2" t="str">
        <f>IFERROR(__xludf.DUMMYFUNCTION("""COMPUTED_VALUE"""),"https://www.facebook.com/rapplerdotcom/photos/a.317154781638645/5596043783749692/")</f>
        <v>https://www.facebook.com/rapplerdotcom/photos/a.317154781638645/5596043783749692/</v>
      </c>
      <c r="J960" s="1" t="str">
        <f>IFERROR(__xludf.DUMMYFUNCTION("""COMPUTED_VALUE"""),"2022-07-04T15:38:38.277Z")</f>
        <v>2022-07-04T15:38:38.277Z</v>
      </c>
      <c r="K960" s="1"/>
    </row>
    <row r="961">
      <c r="A961" s="2" t="str">
        <f>IFERROR(__xludf.DUMMYFUNCTION("""COMPUTED_VALUE"""),"https://www.facebook.com/kim.sioson")</f>
        <v>https://www.facebook.com/kim.sioson</v>
      </c>
      <c r="B961" s="1" t="str">
        <f>IFERROR(__xludf.DUMMYFUNCTION("""COMPUTED_VALUE"""),"Kim Sioson")</f>
        <v>Kim Sioson</v>
      </c>
      <c r="C961" s="1" t="str">
        <f>IFERROR(__xludf.DUMMYFUNCTION("""COMPUTED_VALUE"""),"Kim")</f>
        <v>Kim</v>
      </c>
      <c r="D961" s="1" t="str">
        <f>IFERROR(__xludf.DUMMYFUNCTION("""COMPUTED_VALUE"""),"Sioson")</f>
        <v>Sioson</v>
      </c>
      <c r="E961" s="1" t="str">
        <f>IFERROR(__xludf.DUMMYFUNCTION("""COMPUTED_VALUE"""),"Kim Sioson")</f>
        <v>Kim Sioson</v>
      </c>
      <c r="F961" s="1"/>
      <c r="G961" s="1" t="str">
        <f>IFERROR(__xludf.DUMMYFUNCTION("""COMPUTED_VALUE"""),"3 mos")</f>
        <v>3 mos</v>
      </c>
      <c r="H961" s="1" t="str">
        <f>IFERROR(__xludf.DUMMYFUNCTION("""COMPUTED_VALUE"""),"comment")</f>
        <v>comment</v>
      </c>
      <c r="I961" s="2" t="str">
        <f>IFERROR(__xludf.DUMMYFUNCTION("""COMPUTED_VALUE"""),"https://www.facebook.com/rapplerdotcom/photos/a.317154781638645/5596043783749692/")</f>
        <v>https://www.facebook.com/rapplerdotcom/photos/a.317154781638645/5596043783749692/</v>
      </c>
      <c r="J961" s="1" t="str">
        <f>IFERROR(__xludf.DUMMYFUNCTION("""COMPUTED_VALUE"""),"2022-07-04T15:38:38.277Z")</f>
        <v>2022-07-04T15:38:38.277Z</v>
      </c>
      <c r="K961" s="1"/>
    </row>
    <row r="962">
      <c r="A962" s="2" t="str">
        <f>IFERROR(__xludf.DUMMYFUNCTION("""COMPUTED_VALUE"""),"https://www.facebook.com/kim.sioson")</f>
        <v>https://www.facebook.com/kim.sioson</v>
      </c>
      <c r="B962" s="1" t="str">
        <f>IFERROR(__xludf.DUMMYFUNCTION("""COMPUTED_VALUE"""),"Kim Sioson")</f>
        <v>Kim Sioson</v>
      </c>
      <c r="C962" s="1" t="str">
        <f>IFERROR(__xludf.DUMMYFUNCTION("""COMPUTED_VALUE"""),"Kim")</f>
        <v>Kim</v>
      </c>
      <c r="D962" s="1" t="str">
        <f>IFERROR(__xludf.DUMMYFUNCTION("""COMPUTED_VALUE"""),"Sioson")</f>
        <v>Sioson</v>
      </c>
      <c r="E962" s="1" t="str">
        <f>IFERROR(__xludf.DUMMYFUNCTION("""COMPUTED_VALUE"""),"Kim Sioson")</f>
        <v>Kim Sioson</v>
      </c>
      <c r="F962" s="1"/>
      <c r="G962" s="1" t="str">
        <f>IFERROR(__xludf.DUMMYFUNCTION("""COMPUTED_VALUE"""),"3 mos")</f>
        <v>3 mos</v>
      </c>
      <c r="H962" s="1" t="str">
        <f>IFERROR(__xludf.DUMMYFUNCTION("""COMPUTED_VALUE"""),"comment")</f>
        <v>comment</v>
      </c>
      <c r="I962" s="2" t="str">
        <f>IFERROR(__xludf.DUMMYFUNCTION("""COMPUTED_VALUE"""),"https://www.facebook.com/rapplerdotcom/photos/a.317154781638645/5596043783749692/")</f>
        <v>https://www.facebook.com/rapplerdotcom/photos/a.317154781638645/5596043783749692/</v>
      </c>
      <c r="J962" s="1" t="str">
        <f>IFERROR(__xludf.DUMMYFUNCTION("""COMPUTED_VALUE"""),"2022-07-04T15:38:38.277Z")</f>
        <v>2022-07-04T15:38:38.277Z</v>
      </c>
      <c r="K962" s="1"/>
    </row>
    <row r="963">
      <c r="A963" s="2" t="str">
        <f>IFERROR(__xludf.DUMMYFUNCTION("""COMPUTED_VALUE"""),"https://www.facebook.com/kim.sioson")</f>
        <v>https://www.facebook.com/kim.sioson</v>
      </c>
      <c r="B963" s="1" t="str">
        <f>IFERROR(__xludf.DUMMYFUNCTION("""COMPUTED_VALUE"""),"Kim Sioson")</f>
        <v>Kim Sioson</v>
      </c>
      <c r="C963" s="1" t="str">
        <f>IFERROR(__xludf.DUMMYFUNCTION("""COMPUTED_VALUE"""),"Kim")</f>
        <v>Kim</v>
      </c>
      <c r="D963" s="1" t="str">
        <f>IFERROR(__xludf.DUMMYFUNCTION("""COMPUTED_VALUE"""),"Sioson")</f>
        <v>Sioson</v>
      </c>
      <c r="E963" s="1" t="str">
        <f>IFERROR(__xludf.DUMMYFUNCTION("""COMPUTED_VALUE"""),"Kim Sioson")</f>
        <v>Kim Sioson</v>
      </c>
      <c r="F963" s="1"/>
      <c r="G963" s="1" t="str">
        <f>IFERROR(__xludf.DUMMYFUNCTION("""COMPUTED_VALUE"""),"3 mos")</f>
        <v>3 mos</v>
      </c>
      <c r="H963" s="1" t="str">
        <f>IFERROR(__xludf.DUMMYFUNCTION("""COMPUTED_VALUE"""),"comment")</f>
        <v>comment</v>
      </c>
      <c r="I963" s="2" t="str">
        <f>IFERROR(__xludf.DUMMYFUNCTION("""COMPUTED_VALUE"""),"https://www.facebook.com/rapplerdotcom/photos/a.317154781638645/5596043783749692/")</f>
        <v>https://www.facebook.com/rapplerdotcom/photos/a.317154781638645/5596043783749692/</v>
      </c>
      <c r="J963" s="1" t="str">
        <f>IFERROR(__xludf.DUMMYFUNCTION("""COMPUTED_VALUE"""),"2022-07-04T15:38:38.277Z")</f>
        <v>2022-07-04T15:38:38.277Z</v>
      </c>
      <c r="K963" s="1"/>
    </row>
    <row r="964">
      <c r="A964" s="2" t="str">
        <f>IFERROR(__xludf.DUMMYFUNCTION("""COMPUTED_VALUE"""),"https://www.facebook.com/grace.r.israel")</f>
        <v>https://www.facebook.com/grace.r.israel</v>
      </c>
      <c r="B964" s="1" t="str">
        <f>IFERROR(__xludf.DUMMYFUNCTION("""COMPUTED_VALUE"""),"Grace Roncesvalles Israel")</f>
        <v>Grace Roncesvalles Israel</v>
      </c>
      <c r="C964" s="1" t="str">
        <f>IFERROR(__xludf.DUMMYFUNCTION("""COMPUTED_VALUE"""),"Grace")</f>
        <v>Grace</v>
      </c>
      <c r="D964" s="1" t="str">
        <f>IFERROR(__xludf.DUMMYFUNCTION("""COMPUTED_VALUE"""),"Roncesvalles Israel")</f>
        <v>Roncesvalles Israel</v>
      </c>
      <c r="E964" s="1" t="str">
        <f>IFERROR(__xludf.DUMMYFUNCTION("""COMPUTED_VALUE"""),"Grace Roncesvalles Israel")</f>
        <v>Grace Roncesvalles Israel</v>
      </c>
      <c r="F964" s="1">
        <f>IFERROR(__xludf.DUMMYFUNCTION("""COMPUTED_VALUE"""),2.0)</f>
        <v>2</v>
      </c>
      <c r="G964" s="1" t="str">
        <f>IFERROR(__xludf.DUMMYFUNCTION("""COMPUTED_VALUE"""),"3 mos")</f>
        <v>3 mos</v>
      </c>
      <c r="H964" s="1" t="str">
        <f>IFERROR(__xludf.DUMMYFUNCTION("""COMPUTED_VALUE"""),"comment")</f>
        <v>comment</v>
      </c>
      <c r="I964" s="2" t="str">
        <f>IFERROR(__xludf.DUMMYFUNCTION("""COMPUTED_VALUE"""),"https://www.facebook.com/rapplerdotcom/photos/a.317154781638645/5596043783749692/")</f>
        <v>https://www.facebook.com/rapplerdotcom/photos/a.317154781638645/5596043783749692/</v>
      </c>
      <c r="J964" s="1" t="str">
        <f>IFERROR(__xludf.DUMMYFUNCTION("""COMPUTED_VALUE"""),"2022-07-04T15:38:38.277Z")</f>
        <v>2022-07-04T15:38:38.277Z</v>
      </c>
      <c r="K964" s="1"/>
    </row>
    <row r="965">
      <c r="A965" s="2" t="str">
        <f>IFERROR(__xludf.DUMMYFUNCTION("""COMPUTED_VALUE"""),"https://www.facebook.com/bernardo.nicolas.3382")</f>
        <v>https://www.facebook.com/bernardo.nicolas.3382</v>
      </c>
      <c r="B965" s="1" t="str">
        <f>IFERROR(__xludf.DUMMYFUNCTION("""COMPUTED_VALUE"""),"Bernardo Nicolas")</f>
        <v>Bernardo Nicolas</v>
      </c>
      <c r="C965" s="1" t="str">
        <f>IFERROR(__xludf.DUMMYFUNCTION("""COMPUTED_VALUE"""),"Bernardo")</f>
        <v>Bernardo</v>
      </c>
      <c r="D965" s="1" t="str">
        <f>IFERROR(__xludf.DUMMYFUNCTION("""COMPUTED_VALUE"""),"Nicolas")</f>
        <v>Nicolas</v>
      </c>
      <c r="E965" s="1" t="str">
        <f>IFERROR(__xludf.DUMMYFUNCTION("""COMPUTED_VALUE"""),"Bernardo Nicolas")</f>
        <v>Bernardo Nicolas</v>
      </c>
      <c r="F965" s="1">
        <f>IFERROR(__xludf.DUMMYFUNCTION("""COMPUTED_VALUE"""),3.0)</f>
        <v>3</v>
      </c>
      <c r="G965" s="1" t="str">
        <f>IFERROR(__xludf.DUMMYFUNCTION("""COMPUTED_VALUE"""),"3 mos")</f>
        <v>3 mos</v>
      </c>
      <c r="H965" s="1" t="str">
        <f>IFERROR(__xludf.DUMMYFUNCTION("""COMPUTED_VALUE"""),"comment")</f>
        <v>comment</v>
      </c>
      <c r="I965" s="2" t="str">
        <f>IFERROR(__xludf.DUMMYFUNCTION("""COMPUTED_VALUE"""),"https://www.facebook.com/rapplerdotcom/photos/a.317154781638645/5596043783749692/")</f>
        <v>https://www.facebook.com/rapplerdotcom/photos/a.317154781638645/5596043783749692/</v>
      </c>
      <c r="J965" s="1" t="str">
        <f>IFERROR(__xludf.DUMMYFUNCTION("""COMPUTED_VALUE"""),"2022-07-04T15:38:38.277Z")</f>
        <v>2022-07-04T15:38:38.277Z</v>
      </c>
      <c r="K965" s="1"/>
    </row>
    <row r="966">
      <c r="A966" s="2" t="str">
        <f>IFERROR(__xludf.DUMMYFUNCTION("""COMPUTED_VALUE"""),"https://www.facebook.com/DemieGanda")</f>
        <v>https://www.facebook.com/DemieGanda</v>
      </c>
      <c r="B966" s="1" t="str">
        <f>IFERROR(__xludf.DUMMYFUNCTION("""COMPUTED_VALUE"""),"Demie Ali")</f>
        <v>Demie Ali</v>
      </c>
      <c r="C966" s="1" t="str">
        <f>IFERROR(__xludf.DUMMYFUNCTION("""COMPUTED_VALUE"""),"Demie")</f>
        <v>Demie</v>
      </c>
      <c r="D966" s="1" t="str">
        <f>IFERROR(__xludf.DUMMYFUNCTION("""COMPUTED_VALUE"""),"Ali")</f>
        <v>Ali</v>
      </c>
      <c r="E966" s="1" t="str">
        <f>IFERROR(__xludf.DUMMYFUNCTION("""COMPUTED_VALUE"""),"Demie Ali")</f>
        <v>Demie Ali</v>
      </c>
      <c r="F966" s="1"/>
      <c r="G966" s="1" t="str">
        <f>IFERROR(__xludf.DUMMYFUNCTION("""COMPUTED_VALUE"""),"3 mos")</f>
        <v>3 mos</v>
      </c>
      <c r="H966" s="1" t="str">
        <f>IFERROR(__xludf.DUMMYFUNCTION("""COMPUTED_VALUE"""),"comment")</f>
        <v>comment</v>
      </c>
      <c r="I966" s="2" t="str">
        <f>IFERROR(__xludf.DUMMYFUNCTION("""COMPUTED_VALUE"""),"https://www.facebook.com/rapplerdotcom/photos/a.317154781638645/5596043783749692/")</f>
        <v>https://www.facebook.com/rapplerdotcom/photos/a.317154781638645/5596043783749692/</v>
      </c>
      <c r="J966" s="1" t="str">
        <f>IFERROR(__xludf.DUMMYFUNCTION("""COMPUTED_VALUE"""),"2022-07-04T15:38:38.277Z")</f>
        <v>2022-07-04T15:38:38.277Z</v>
      </c>
      <c r="K966" s="1"/>
    </row>
    <row r="967">
      <c r="A967" s="2" t="str">
        <f>IFERROR(__xludf.DUMMYFUNCTION("""COMPUTED_VALUE"""),"https://www.facebook.com/sharmaine.ramos.3950")</f>
        <v>https://www.facebook.com/sharmaine.ramos.3950</v>
      </c>
      <c r="B967" s="1" t="str">
        <f>IFERROR(__xludf.DUMMYFUNCTION("""COMPUTED_VALUE"""),"Mherz Ramos Tanayan")</f>
        <v>Mherz Ramos Tanayan</v>
      </c>
      <c r="C967" s="1" t="str">
        <f>IFERROR(__xludf.DUMMYFUNCTION("""COMPUTED_VALUE"""),"Mherz")</f>
        <v>Mherz</v>
      </c>
      <c r="D967" s="1" t="str">
        <f>IFERROR(__xludf.DUMMYFUNCTION("""COMPUTED_VALUE"""),"Ramos Tanayan")</f>
        <v>Ramos Tanayan</v>
      </c>
      <c r="E967" s="1" t="str">
        <f>IFERROR(__xludf.DUMMYFUNCTION("""COMPUTED_VALUE"""),"Mherz Ramos Tanayan")</f>
        <v>Mherz Ramos Tanayan</v>
      </c>
      <c r="F967" s="1">
        <f>IFERROR(__xludf.DUMMYFUNCTION("""COMPUTED_VALUE"""),1.0)</f>
        <v>1</v>
      </c>
      <c r="G967" s="1" t="str">
        <f>IFERROR(__xludf.DUMMYFUNCTION("""COMPUTED_VALUE"""),"3 mos")</f>
        <v>3 mos</v>
      </c>
      <c r="H967" s="1" t="str">
        <f>IFERROR(__xludf.DUMMYFUNCTION("""COMPUTED_VALUE"""),"comment")</f>
        <v>comment</v>
      </c>
      <c r="I967" s="2" t="str">
        <f>IFERROR(__xludf.DUMMYFUNCTION("""COMPUTED_VALUE"""),"https://www.facebook.com/rapplerdotcom/photos/a.317154781638645/5596043783749692/")</f>
        <v>https://www.facebook.com/rapplerdotcom/photos/a.317154781638645/5596043783749692/</v>
      </c>
      <c r="J967" s="1" t="str">
        <f>IFERROR(__xludf.DUMMYFUNCTION("""COMPUTED_VALUE"""),"2022-07-04T15:38:38.277Z")</f>
        <v>2022-07-04T15:38:38.277Z</v>
      </c>
      <c r="K967" s="1"/>
    </row>
    <row r="968">
      <c r="A968" s="2" t="str">
        <f>IFERROR(__xludf.DUMMYFUNCTION("""COMPUTED_VALUE"""),"https://www.facebook.com/yongcoonang")</f>
        <v>https://www.facebook.com/yongcoonang</v>
      </c>
      <c r="B968" s="1" t="str">
        <f>IFERROR(__xludf.DUMMYFUNCTION("""COMPUTED_VALUE"""),"Kelvin Billy")</f>
        <v>Kelvin Billy</v>
      </c>
      <c r="C968" s="1" t="str">
        <f>IFERROR(__xludf.DUMMYFUNCTION("""COMPUTED_VALUE"""),"Kelvin")</f>
        <v>Kelvin</v>
      </c>
      <c r="D968" s="1" t="str">
        <f>IFERROR(__xludf.DUMMYFUNCTION("""COMPUTED_VALUE"""),"Billy")</f>
        <v>Billy</v>
      </c>
      <c r="E968" s="1" t="str">
        <f>IFERROR(__xludf.DUMMYFUNCTION("""COMPUTED_VALUE"""),"Mherz Ramos Tanayan   ⚙️ EARN MONEY ONLINE WITHOUT GOING TO WORK OR STRESS YOURSELF  ⚙️if you're interested ☝️☝️☝️ just kindly click on the link to contact my Senior Cryptofx account manager for guidance 📩  Link 🔗🔗🔗  https://www.facebook.com/evlira.cr"&amp;"yptofxtrader")</f>
        <v>Mherz Ramos Tanayan   ⚙️ EARN MONEY ONLINE WITHOUT GOING TO WORK OR STRESS YOURSELF  ⚙️if you're interested ☝️☝️☝️ just kindly click on the link to contact my Senior Cryptofx account manager for guidance 📩  Link 🔗🔗🔗  https://www.facebook.com/evlira.cryptofxtrader</v>
      </c>
      <c r="F968" s="1"/>
      <c r="G968" s="1" t="str">
        <f>IFERROR(__xludf.DUMMYFUNCTION("""COMPUTED_VALUE"""),"3 mos")</f>
        <v>3 mos</v>
      </c>
      <c r="H968" s="1" t="str">
        <f>IFERROR(__xludf.DUMMYFUNCTION("""COMPUTED_VALUE"""),"reply")</f>
        <v>reply</v>
      </c>
      <c r="I968" s="2" t="str">
        <f>IFERROR(__xludf.DUMMYFUNCTION("""COMPUTED_VALUE"""),"https://www.facebook.com/rapplerdotcom/photos/a.317154781638645/5596043783749692/")</f>
        <v>https://www.facebook.com/rapplerdotcom/photos/a.317154781638645/5596043783749692/</v>
      </c>
      <c r="J968" s="1" t="str">
        <f>IFERROR(__xludf.DUMMYFUNCTION("""COMPUTED_VALUE"""),"2022-07-04T15:38:38.277Z")</f>
        <v>2022-07-04T15:38:38.277Z</v>
      </c>
      <c r="K968" s="1"/>
    </row>
    <row r="969">
      <c r="A969" s="2" t="str">
        <f>IFERROR(__xludf.DUMMYFUNCTION("""COMPUTED_VALUE"""),"https://www.facebook.com/kim.sioson")</f>
        <v>https://www.facebook.com/kim.sioson</v>
      </c>
      <c r="B969" s="1" t="str">
        <f>IFERROR(__xludf.DUMMYFUNCTION("""COMPUTED_VALUE"""),"Kim Sioson")</f>
        <v>Kim Sioson</v>
      </c>
      <c r="C969" s="1" t="str">
        <f>IFERROR(__xludf.DUMMYFUNCTION("""COMPUTED_VALUE"""),"Kim")</f>
        <v>Kim</v>
      </c>
      <c r="D969" s="1" t="str">
        <f>IFERROR(__xludf.DUMMYFUNCTION("""COMPUTED_VALUE"""),"Sioson")</f>
        <v>Sioson</v>
      </c>
      <c r="E969" s="1" t="str">
        <f>IFERROR(__xludf.DUMMYFUNCTION("""COMPUTED_VALUE"""),"Kim Sioson")</f>
        <v>Kim Sioson</v>
      </c>
      <c r="F969" s="1"/>
      <c r="G969" s="1" t="str">
        <f>IFERROR(__xludf.DUMMYFUNCTION("""COMPUTED_VALUE"""),"3 mos")</f>
        <v>3 mos</v>
      </c>
      <c r="H969" s="1" t="str">
        <f>IFERROR(__xludf.DUMMYFUNCTION("""COMPUTED_VALUE"""),"comment")</f>
        <v>comment</v>
      </c>
      <c r="I969" s="2" t="str">
        <f>IFERROR(__xludf.DUMMYFUNCTION("""COMPUTED_VALUE"""),"https://www.facebook.com/rapplerdotcom/photos/a.317154781638645/5596043783749692/")</f>
        <v>https://www.facebook.com/rapplerdotcom/photos/a.317154781638645/5596043783749692/</v>
      </c>
      <c r="J969" s="1" t="str">
        <f>IFERROR(__xludf.DUMMYFUNCTION("""COMPUTED_VALUE"""),"2022-07-04T15:38:38.277Z")</f>
        <v>2022-07-04T15:38:38.277Z</v>
      </c>
      <c r="K969" s="1"/>
    </row>
    <row r="970">
      <c r="A970" s="2" t="str">
        <f>IFERROR(__xludf.DUMMYFUNCTION("""COMPUTED_VALUE"""),"https://www.facebook.com/lorenza.ito.33")</f>
        <v>https://www.facebook.com/lorenza.ito.33</v>
      </c>
      <c r="B970" s="1" t="str">
        <f>IFERROR(__xludf.DUMMYFUNCTION("""COMPUTED_VALUE"""),"Lorenza Ito")</f>
        <v>Lorenza Ito</v>
      </c>
      <c r="C970" s="1" t="str">
        <f>IFERROR(__xludf.DUMMYFUNCTION("""COMPUTED_VALUE"""),"Lorenza")</f>
        <v>Lorenza</v>
      </c>
      <c r="D970" s="1" t="str">
        <f>IFERROR(__xludf.DUMMYFUNCTION("""COMPUTED_VALUE"""),"Ito")</f>
        <v>Ito</v>
      </c>
      <c r="E970" s="1" t="str">
        <f>IFERROR(__xludf.DUMMYFUNCTION("""COMPUTED_VALUE"""),"Lorenza Ito")</f>
        <v>Lorenza Ito</v>
      </c>
      <c r="F970" s="1"/>
      <c r="G970" s="1" t="str">
        <f>IFERROR(__xludf.DUMMYFUNCTION("""COMPUTED_VALUE"""),"3 mos")</f>
        <v>3 mos</v>
      </c>
      <c r="H970" s="1" t="str">
        <f>IFERROR(__xludf.DUMMYFUNCTION("""COMPUTED_VALUE"""),"comment")</f>
        <v>comment</v>
      </c>
      <c r="I970" s="2" t="str">
        <f>IFERROR(__xludf.DUMMYFUNCTION("""COMPUTED_VALUE"""),"https://www.facebook.com/rapplerdotcom/photos/a.317154781638645/5596043783749692/")</f>
        <v>https://www.facebook.com/rapplerdotcom/photos/a.317154781638645/5596043783749692/</v>
      </c>
      <c r="J970" s="1" t="str">
        <f>IFERROR(__xludf.DUMMYFUNCTION("""COMPUTED_VALUE"""),"2022-07-04T15:38:38.277Z")</f>
        <v>2022-07-04T15:38:38.277Z</v>
      </c>
      <c r="K970" s="1"/>
    </row>
    <row r="971">
      <c r="A971" s="2" t="str">
        <f>IFERROR(__xludf.DUMMYFUNCTION("""COMPUTED_VALUE"""),"https://www.facebook.com/kim.sioson")</f>
        <v>https://www.facebook.com/kim.sioson</v>
      </c>
      <c r="B971" s="1" t="str">
        <f>IFERROR(__xludf.DUMMYFUNCTION("""COMPUTED_VALUE"""),"Kim Sioson")</f>
        <v>Kim Sioson</v>
      </c>
      <c r="C971" s="1" t="str">
        <f>IFERROR(__xludf.DUMMYFUNCTION("""COMPUTED_VALUE"""),"Kim")</f>
        <v>Kim</v>
      </c>
      <c r="D971" s="1" t="str">
        <f>IFERROR(__xludf.DUMMYFUNCTION("""COMPUTED_VALUE"""),"Sioson")</f>
        <v>Sioson</v>
      </c>
      <c r="E971" s="1" t="str">
        <f>IFERROR(__xludf.DUMMYFUNCTION("""COMPUTED_VALUE"""),"Kim Sioson")</f>
        <v>Kim Sioson</v>
      </c>
      <c r="F971" s="1">
        <f>IFERROR(__xludf.DUMMYFUNCTION("""COMPUTED_VALUE"""),2.0)</f>
        <v>2</v>
      </c>
      <c r="G971" s="1" t="str">
        <f>IFERROR(__xludf.DUMMYFUNCTION("""COMPUTED_VALUE"""),"3 mos")</f>
        <v>3 mos</v>
      </c>
      <c r="H971" s="1" t="str">
        <f>IFERROR(__xludf.DUMMYFUNCTION("""COMPUTED_VALUE"""),"comment")</f>
        <v>comment</v>
      </c>
      <c r="I971" s="2" t="str">
        <f>IFERROR(__xludf.DUMMYFUNCTION("""COMPUTED_VALUE"""),"https://www.facebook.com/rapplerdotcom/photos/a.317154781638645/5596043783749692/")</f>
        <v>https://www.facebook.com/rapplerdotcom/photos/a.317154781638645/5596043783749692/</v>
      </c>
      <c r="J971" s="1" t="str">
        <f>IFERROR(__xludf.DUMMYFUNCTION("""COMPUTED_VALUE"""),"2022-07-04T15:38:38.277Z")</f>
        <v>2022-07-04T15:38:38.277Z</v>
      </c>
      <c r="K971" s="1"/>
    </row>
    <row r="972">
      <c r="A972" s="2" t="str">
        <f>IFERROR(__xludf.DUMMYFUNCTION("""COMPUTED_VALUE"""),"https://www.facebook.com/kim.sioson")</f>
        <v>https://www.facebook.com/kim.sioson</v>
      </c>
      <c r="B972" s="1" t="str">
        <f>IFERROR(__xludf.DUMMYFUNCTION("""COMPUTED_VALUE"""),"Kim Sioson")</f>
        <v>Kim Sioson</v>
      </c>
      <c r="C972" s="1" t="str">
        <f>IFERROR(__xludf.DUMMYFUNCTION("""COMPUTED_VALUE"""),"Kim")</f>
        <v>Kim</v>
      </c>
      <c r="D972" s="1" t="str">
        <f>IFERROR(__xludf.DUMMYFUNCTION("""COMPUTED_VALUE"""),"Sioson")</f>
        <v>Sioson</v>
      </c>
      <c r="E972" s="1" t="str">
        <f>IFERROR(__xludf.DUMMYFUNCTION("""COMPUTED_VALUE"""),"Kim Sioson")</f>
        <v>Kim Sioson</v>
      </c>
      <c r="F972" s="1">
        <f>IFERROR(__xludf.DUMMYFUNCTION("""COMPUTED_VALUE"""),2.0)</f>
        <v>2</v>
      </c>
      <c r="G972" s="1" t="str">
        <f>IFERROR(__xludf.DUMMYFUNCTION("""COMPUTED_VALUE"""),"3 mos")</f>
        <v>3 mos</v>
      </c>
      <c r="H972" s="1" t="str">
        <f>IFERROR(__xludf.DUMMYFUNCTION("""COMPUTED_VALUE"""),"comment")</f>
        <v>comment</v>
      </c>
      <c r="I972" s="2" t="str">
        <f>IFERROR(__xludf.DUMMYFUNCTION("""COMPUTED_VALUE"""),"https://www.facebook.com/rapplerdotcom/photos/a.317154781638645/5596043783749692/")</f>
        <v>https://www.facebook.com/rapplerdotcom/photos/a.317154781638645/5596043783749692/</v>
      </c>
      <c r="J972" s="1" t="str">
        <f>IFERROR(__xludf.DUMMYFUNCTION("""COMPUTED_VALUE"""),"2022-07-04T15:38:38.277Z")</f>
        <v>2022-07-04T15:38:38.277Z</v>
      </c>
      <c r="K972" s="1"/>
    </row>
    <row r="973">
      <c r="A973" s="2" t="str">
        <f>IFERROR(__xludf.DUMMYFUNCTION("""COMPUTED_VALUE"""),"https://www.facebook.com/icecaramel.macchiato.908")</f>
        <v>https://www.facebook.com/icecaramel.macchiato.908</v>
      </c>
      <c r="B973" s="1" t="str">
        <f>IFERROR(__xludf.DUMMYFUNCTION("""COMPUTED_VALUE"""),"Mocha Java")</f>
        <v>Mocha Java</v>
      </c>
      <c r="C973" s="1" t="str">
        <f>IFERROR(__xludf.DUMMYFUNCTION("""COMPUTED_VALUE"""),"Mocha")</f>
        <v>Mocha</v>
      </c>
      <c r="D973" s="1" t="str">
        <f>IFERROR(__xludf.DUMMYFUNCTION("""COMPUTED_VALUE"""),"Java")</f>
        <v>Java</v>
      </c>
      <c r="E973" s="1" t="str">
        <f>IFERROR(__xludf.DUMMYFUNCTION("""COMPUTED_VALUE"""),"Mocha Java")</f>
        <v>Mocha Java</v>
      </c>
      <c r="F973" s="1"/>
      <c r="G973" s="1" t="str">
        <f>IFERROR(__xludf.DUMMYFUNCTION("""COMPUTED_VALUE"""),"3 mos")</f>
        <v>3 mos</v>
      </c>
      <c r="H973" s="1" t="str">
        <f>IFERROR(__xludf.DUMMYFUNCTION("""COMPUTED_VALUE"""),"comment")</f>
        <v>comment</v>
      </c>
      <c r="I973" s="2" t="str">
        <f>IFERROR(__xludf.DUMMYFUNCTION("""COMPUTED_VALUE"""),"https://www.facebook.com/rapplerdotcom/photos/a.317154781638645/5596043783749692/")</f>
        <v>https://www.facebook.com/rapplerdotcom/photos/a.317154781638645/5596043783749692/</v>
      </c>
      <c r="J973" s="1" t="str">
        <f>IFERROR(__xludf.DUMMYFUNCTION("""COMPUTED_VALUE"""),"2022-07-04T15:38:38.277Z")</f>
        <v>2022-07-04T15:38:38.277Z</v>
      </c>
      <c r="K973" s="1"/>
    </row>
    <row r="974">
      <c r="A974" s="2" t="str">
        <f>IFERROR(__xludf.DUMMYFUNCTION("""COMPUTED_VALUE"""),"https://www.facebook.com/cherrylynyapchapco.diaz")</f>
        <v>https://www.facebook.com/cherrylynyapchapco.diaz</v>
      </c>
      <c r="B974" s="1" t="str">
        <f>IFERROR(__xludf.DUMMYFUNCTION("""COMPUTED_VALUE"""),"Che Diaz")</f>
        <v>Che Diaz</v>
      </c>
      <c r="C974" s="1" t="str">
        <f>IFERROR(__xludf.DUMMYFUNCTION("""COMPUTED_VALUE"""),"Che")</f>
        <v>Che</v>
      </c>
      <c r="D974" s="1" t="str">
        <f>IFERROR(__xludf.DUMMYFUNCTION("""COMPUTED_VALUE"""),"Diaz")</f>
        <v>Diaz</v>
      </c>
      <c r="E974" s="1" t="str">
        <f>IFERROR(__xludf.DUMMYFUNCTION("""COMPUTED_VALUE"""),"💗💗💗")</f>
        <v>💗💗💗</v>
      </c>
      <c r="F974" s="1"/>
      <c r="G974" s="1" t="str">
        <f>IFERROR(__xludf.DUMMYFUNCTION("""COMPUTED_VALUE"""),"3 mos")</f>
        <v>3 mos</v>
      </c>
      <c r="H974" s="1" t="str">
        <f>IFERROR(__xludf.DUMMYFUNCTION("""COMPUTED_VALUE"""),"comment")</f>
        <v>comment</v>
      </c>
      <c r="I974" s="2" t="str">
        <f>IFERROR(__xludf.DUMMYFUNCTION("""COMPUTED_VALUE"""),"https://www.facebook.com/rapplerdotcom/photos/a.317154781638645/5596043783749692/")</f>
        <v>https://www.facebook.com/rapplerdotcom/photos/a.317154781638645/5596043783749692/</v>
      </c>
      <c r="J974" s="1" t="str">
        <f>IFERROR(__xludf.DUMMYFUNCTION("""COMPUTED_VALUE"""),"2022-07-04T15:38:38.277Z")</f>
        <v>2022-07-04T15:38:38.277Z</v>
      </c>
      <c r="K974" s="1"/>
    </row>
    <row r="975">
      <c r="A975" s="2" t="str">
        <f>IFERROR(__xludf.DUMMYFUNCTION("""COMPUTED_VALUE"""),"https://www.facebook.com/yongcoonang")</f>
        <v>https://www.facebook.com/yongcoonang</v>
      </c>
      <c r="B975" s="1" t="str">
        <f>IFERROR(__xludf.DUMMYFUNCTION("""COMPUTED_VALUE"""),"Kelvin Billy")</f>
        <v>Kelvin Billy</v>
      </c>
      <c r="C975" s="1" t="str">
        <f>IFERROR(__xludf.DUMMYFUNCTION("""COMPUTED_VALUE"""),"Kelvin")</f>
        <v>Kelvin</v>
      </c>
      <c r="D975" s="1" t="str">
        <f>IFERROR(__xludf.DUMMYFUNCTION("""COMPUTED_VALUE"""),"Billy")</f>
        <v>Billy</v>
      </c>
      <c r="E975" s="1" t="str">
        <f>IFERROR(__xludf.DUMMYFUNCTION("""COMPUTED_VALUE"""),"Che Diaz   ⚙️ EARN MONEY ONLINE WITHOUT GOING TO WORK OR STRESS YOURSELF  ⚙️if you're interested ☝️☝️☝️ just kindly click on the link to contact my Senior Cryptofx account manager for guidance 📩  Link 🔗🔗🔗  https://www.facebook.com/evlira.cryptofxtrade"&amp;"r")</f>
        <v>Che Diaz   ⚙️ EARN MONEY ONLINE WITHOUT GOING TO WORK OR STRESS YOURSELF  ⚙️if you're interested ☝️☝️☝️ just kindly click on the link to contact my Senior Cryptofx account manager for guidance 📩  Link 🔗🔗🔗  https://www.facebook.com/evlira.cryptofxtrader</v>
      </c>
      <c r="F975" s="1"/>
      <c r="G975" s="1" t="str">
        <f>IFERROR(__xludf.DUMMYFUNCTION("""COMPUTED_VALUE"""),"3 mos")</f>
        <v>3 mos</v>
      </c>
      <c r="H975" s="1" t="str">
        <f>IFERROR(__xludf.DUMMYFUNCTION("""COMPUTED_VALUE"""),"reply")</f>
        <v>reply</v>
      </c>
      <c r="I975" s="2" t="str">
        <f>IFERROR(__xludf.DUMMYFUNCTION("""COMPUTED_VALUE"""),"https://www.facebook.com/rapplerdotcom/photos/a.317154781638645/5596043783749692/")</f>
        <v>https://www.facebook.com/rapplerdotcom/photos/a.317154781638645/5596043783749692/</v>
      </c>
      <c r="J975" s="1" t="str">
        <f>IFERROR(__xludf.DUMMYFUNCTION("""COMPUTED_VALUE"""),"2022-07-04T15:38:38.278Z")</f>
        <v>2022-07-04T15:38:38.278Z</v>
      </c>
      <c r="K975" s="1"/>
    </row>
    <row r="976">
      <c r="A976" s="2" t="str">
        <f>IFERROR(__xludf.DUMMYFUNCTION("""COMPUTED_VALUE"""),"https://www.facebook.com/rapkarl04")</f>
        <v>https://www.facebook.com/rapkarl04</v>
      </c>
      <c r="B976" s="1" t="str">
        <f>IFERROR(__xludf.DUMMYFUNCTION("""COMPUTED_VALUE"""),"Ralphs Carlo Centeno")</f>
        <v>Ralphs Carlo Centeno</v>
      </c>
      <c r="C976" s="1" t="str">
        <f>IFERROR(__xludf.DUMMYFUNCTION("""COMPUTED_VALUE"""),"Ralphs")</f>
        <v>Ralphs</v>
      </c>
      <c r="D976" s="1" t="str">
        <f>IFERROR(__xludf.DUMMYFUNCTION("""COMPUTED_VALUE"""),"Carlo Centeno")</f>
        <v>Carlo Centeno</v>
      </c>
      <c r="E976" s="1" t="str">
        <f>IFERROR(__xludf.DUMMYFUNCTION("""COMPUTED_VALUE"""),"🆙️🌷♥️📣")</f>
        <v>🆙️🌷♥️📣</v>
      </c>
      <c r="F976" s="1"/>
      <c r="G976" s="1" t="str">
        <f>IFERROR(__xludf.DUMMYFUNCTION("""COMPUTED_VALUE"""),"3 mos")</f>
        <v>3 mos</v>
      </c>
      <c r="H976" s="1" t="str">
        <f>IFERROR(__xludf.DUMMYFUNCTION("""COMPUTED_VALUE"""),"comment")</f>
        <v>comment</v>
      </c>
      <c r="I976" s="2" t="str">
        <f>IFERROR(__xludf.DUMMYFUNCTION("""COMPUTED_VALUE"""),"https://www.facebook.com/rapplerdotcom/photos/a.317154781638645/5596043783749692/")</f>
        <v>https://www.facebook.com/rapplerdotcom/photos/a.317154781638645/5596043783749692/</v>
      </c>
      <c r="J976" s="1" t="str">
        <f>IFERROR(__xludf.DUMMYFUNCTION("""COMPUTED_VALUE"""),"2022-07-04T15:38:38.278Z")</f>
        <v>2022-07-04T15:38:38.278Z</v>
      </c>
      <c r="K976" s="1"/>
    </row>
    <row r="977">
      <c r="A977" s="2" t="str">
        <f>IFERROR(__xludf.DUMMYFUNCTION("""COMPUTED_VALUE"""),"https://www.facebook.com/henrybalderama")</f>
        <v>https://www.facebook.com/henrybalderama</v>
      </c>
      <c r="B977" s="1" t="str">
        <f>IFERROR(__xludf.DUMMYFUNCTION("""COMPUTED_VALUE"""),"Henry Balderama")</f>
        <v>Henry Balderama</v>
      </c>
      <c r="C977" s="1" t="str">
        <f>IFERROR(__xludf.DUMMYFUNCTION("""COMPUTED_VALUE"""),"Henry")</f>
        <v>Henry</v>
      </c>
      <c r="D977" s="1" t="str">
        <f>IFERROR(__xludf.DUMMYFUNCTION("""COMPUTED_VALUE"""),"Balderama")</f>
        <v>Balderama</v>
      </c>
      <c r="E977" s="1" t="str">
        <f>IFERROR(__xludf.DUMMYFUNCTION("""COMPUTED_VALUE"""),"❤️💚")</f>
        <v>❤️💚</v>
      </c>
      <c r="F977" s="1"/>
      <c r="G977" s="1" t="str">
        <f>IFERROR(__xludf.DUMMYFUNCTION("""COMPUTED_VALUE"""),"3 mos")</f>
        <v>3 mos</v>
      </c>
      <c r="H977" s="1" t="str">
        <f>IFERROR(__xludf.DUMMYFUNCTION("""COMPUTED_VALUE"""),"comment")</f>
        <v>comment</v>
      </c>
      <c r="I977" s="2" t="str">
        <f>IFERROR(__xludf.DUMMYFUNCTION("""COMPUTED_VALUE"""),"https://www.facebook.com/rapplerdotcom/photos/a.317154781638645/5596043783749692/")</f>
        <v>https://www.facebook.com/rapplerdotcom/photos/a.317154781638645/5596043783749692/</v>
      </c>
      <c r="J977" s="1" t="str">
        <f>IFERROR(__xludf.DUMMYFUNCTION("""COMPUTED_VALUE"""),"2022-07-04T15:38:38.278Z")</f>
        <v>2022-07-04T15:38:38.278Z</v>
      </c>
      <c r="K977" s="1"/>
    </row>
    <row r="978">
      <c r="A978" s="2" t="str">
        <f>IFERROR(__xludf.DUMMYFUNCTION("""COMPUTED_VALUE"""),"https://www.facebook.com/deepblue69")</f>
        <v>https://www.facebook.com/deepblue69</v>
      </c>
      <c r="B978" s="1" t="str">
        <f>IFERROR(__xludf.DUMMYFUNCTION("""COMPUTED_VALUE"""),"Ulysses Loresto")</f>
        <v>Ulysses Loresto</v>
      </c>
      <c r="C978" s="1" t="str">
        <f>IFERROR(__xludf.DUMMYFUNCTION("""COMPUTED_VALUE"""),"Ulysses")</f>
        <v>Ulysses</v>
      </c>
      <c r="D978" s="1" t="str">
        <f>IFERROR(__xludf.DUMMYFUNCTION("""COMPUTED_VALUE"""),"Loresto")</f>
        <v>Loresto</v>
      </c>
      <c r="E978" s="1" t="str">
        <f>IFERROR(__xludf.DUMMYFUNCTION("""COMPUTED_VALUE"""),"👍🏽👍🏼👍🏻")</f>
        <v>👍🏽👍🏼👍🏻</v>
      </c>
      <c r="F978" s="1"/>
      <c r="G978" s="1" t="str">
        <f>IFERROR(__xludf.DUMMYFUNCTION("""COMPUTED_VALUE"""),"3 mos")</f>
        <v>3 mos</v>
      </c>
      <c r="H978" s="1" t="str">
        <f>IFERROR(__xludf.DUMMYFUNCTION("""COMPUTED_VALUE"""),"comment")</f>
        <v>comment</v>
      </c>
      <c r="I978" s="2" t="str">
        <f>IFERROR(__xludf.DUMMYFUNCTION("""COMPUTED_VALUE"""),"https://www.facebook.com/rapplerdotcom/photos/a.317154781638645/5596043783749692/")</f>
        <v>https://www.facebook.com/rapplerdotcom/photos/a.317154781638645/5596043783749692/</v>
      </c>
      <c r="J978" s="1" t="str">
        <f>IFERROR(__xludf.DUMMYFUNCTION("""COMPUTED_VALUE"""),"2022-07-04T15:38:38.278Z")</f>
        <v>2022-07-04T15:38:38.278Z</v>
      </c>
      <c r="K978" s="1"/>
    </row>
    <row r="979">
      <c r="A979" s="2" t="str">
        <f>IFERROR(__xludf.DUMMYFUNCTION("""COMPUTED_VALUE"""),"https://www.facebook.com/profile.php?id=100006396255966")</f>
        <v>https://www.facebook.com/profile.php?id=100006396255966</v>
      </c>
      <c r="B979" s="1" t="str">
        <f>IFERROR(__xludf.DUMMYFUNCTION("""COMPUTED_VALUE"""),"Gilbert Dominic Edralin Sison")</f>
        <v>Gilbert Dominic Edralin Sison</v>
      </c>
      <c r="C979" s="1" t="str">
        <f>IFERROR(__xludf.DUMMYFUNCTION("""COMPUTED_VALUE"""),"Gilbert")</f>
        <v>Gilbert</v>
      </c>
      <c r="D979" s="1" t="str">
        <f>IFERROR(__xludf.DUMMYFUNCTION("""COMPUTED_VALUE"""),"Dominic Edralin Sison")</f>
        <v>Dominic Edralin Sison</v>
      </c>
      <c r="E979" s="1" t="str">
        <f>IFERROR(__xludf.DUMMYFUNCTION("""COMPUTED_VALUE"""),"#LetLeniLead 🌷")</f>
        <v>#LetLeniLead 🌷</v>
      </c>
      <c r="F979" s="1">
        <f>IFERROR(__xludf.DUMMYFUNCTION("""COMPUTED_VALUE"""),3.0)</f>
        <v>3</v>
      </c>
      <c r="G979" s="1" t="str">
        <f>IFERROR(__xludf.DUMMYFUNCTION("""COMPUTED_VALUE"""),"3 mos")</f>
        <v>3 mos</v>
      </c>
      <c r="H979" s="1" t="str">
        <f>IFERROR(__xludf.DUMMYFUNCTION("""COMPUTED_VALUE"""),"comment")</f>
        <v>comment</v>
      </c>
      <c r="I979" s="2" t="str">
        <f>IFERROR(__xludf.DUMMYFUNCTION("""COMPUTED_VALUE"""),"https://www.facebook.com/rapplerdotcom/photos/a.317154781638645/5596043783749692/")</f>
        <v>https://www.facebook.com/rapplerdotcom/photos/a.317154781638645/5596043783749692/</v>
      </c>
      <c r="J979" s="1" t="str">
        <f>IFERROR(__xludf.DUMMYFUNCTION("""COMPUTED_VALUE"""),"2022-07-04T15:38:38.278Z")</f>
        <v>2022-07-04T15:38:38.278Z</v>
      </c>
      <c r="K979" s="1"/>
    </row>
    <row r="980">
      <c r="A980" s="2" t="str">
        <f>IFERROR(__xludf.DUMMYFUNCTION("""COMPUTED_VALUE"""),"https://www.facebook.com/luisxmaaliw")</f>
        <v>https://www.facebook.com/luisxmaaliw</v>
      </c>
      <c r="B980" s="1" t="str">
        <f>IFERROR(__xludf.DUMMYFUNCTION("""COMPUTED_VALUE"""),"Migo Maaliv")</f>
        <v>Migo Maaliv</v>
      </c>
      <c r="C980" s="1" t="str">
        <f>IFERROR(__xludf.DUMMYFUNCTION("""COMPUTED_VALUE"""),"Migo")</f>
        <v>Migo</v>
      </c>
      <c r="D980" s="1" t="str">
        <f>IFERROR(__xludf.DUMMYFUNCTION("""COMPUTED_VALUE"""),"Maaliv")</f>
        <v>Maaliv</v>
      </c>
      <c r="E980" s="1" t="str">
        <f>IFERROR(__xludf.DUMMYFUNCTION("""COMPUTED_VALUE"""),"50K")</f>
        <v>50K</v>
      </c>
      <c r="F980" s="1"/>
      <c r="G980" s="1" t="str">
        <f>IFERROR(__xludf.DUMMYFUNCTION("""COMPUTED_VALUE"""),"3 mos")</f>
        <v>3 mos</v>
      </c>
      <c r="H980" s="1" t="str">
        <f>IFERROR(__xludf.DUMMYFUNCTION("""COMPUTED_VALUE"""),"comment")</f>
        <v>comment</v>
      </c>
      <c r="I980" s="2" t="str">
        <f>IFERROR(__xludf.DUMMYFUNCTION("""COMPUTED_VALUE"""),"https://www.facebook.com/rapplerdotcom/photos/a.317154781638645/5596043783749692/")</f>
        <v>https://www.facebook.com/rapplerdotcom/photos/a.317154781638645/5596043783749692/</v>
      </c>
      <c r="J980" s="1" t="str">
        <f>IFERROR(__xludf.DUMMYFUNCTION("""COMPUTED_VALUE"""),"2022-07-04T15:38:38.278Z")</f>
        <v>2022-07-04T15:38:38.278Z</v>
      </c>
      <c r="K980" s="1"/>
    </row>
    <row r="981">
      <c r="A981" s="2" t="str">
        <f>IFERROR(__xludf.DUMMYFUNCTION("""COMPUTED_VALUE"""),"https://www.facebook.com/profile.php?id=100069003242362")</f>
        <v>https://www.facebook.com/profile.php?id=100069003242362</v>
      </c>
      <c r="B981" s="1" t="str">
        <f>IFERROR(__xludf.DUMMYFUNCTION("""COMPUTED_VALUE"""),"Jhessica Pearl Amari Sorrañoz")</f>
        <v>Jhessica Pearl Amari Sorrañoz</v>
      </c>
      <c r="C981" s="1" t="str">
        <f>IFERROR(__xludf.DUMMYFUNCTION("""COMPUTED_VALUE"""),"Jhessica")</f>
        <v>Jhessica</v>
      </c>
      <c r="D981" s="1" t="str">
        <f>IFERROR(__xludf.DUMMYFUNCTION("""COMPUTED_VALUE"""),"Pearl Amari Sorrañoz")</f>
        <v>Pearl Amari Sorrañoz</v>
      </c>
      <c r="E981" s="1" t="str">
        <f>IFERROR(__xludf.DUMMYFUNCTION("""COMPUTED_VALUE"""),"Ung isa nasa self proclaim channel kala ko ba ayaw sa debate haha")</f>
        <v>Ung isa nasa self proclaim channel kala ko ba ayaw sa debate haha</v>
      </c>
      <c r="F981" s="1"/>
      <c r="G981" s="1" t="str">
        <f>IFERROR(__xludf.DUMMYFUNCTION("""COMPUTED_VALUE"""),"3 mos")</f>
        <v>3 mos</v>
      </c>
      <c r="H981" s="1" t="str">
        <f>IFERROR(__xludf.DUMMYFUNCTION("""COMPUTED_VALUE"""),"comment")</f>
        <v>comment</v>
      </c>
      <c r="I981" s="2" t="str">
        <f>IFERROR(__xludf.DUMMYFUNCTION("""COMPUTED_VALUE"""),"https://www.facebook.com/rapplerdotcom/photos/a.317154781638645/5596043783749692/")</f>
        <v>https://www.facebook.com/rapplerdotcom/photos/a.317154781638645/5596043783749692/</v>
      </c>
      <c r="J981" s="1" t="str">
        <f>IFERROR(__xludf.DUMMYFUNCTION("""COMPUTED_VALUE"""),"2022-07-04T15:38:38.278Z")</f>
        <v>2022-07-04T15:38:38.278Z</v>
      </c>
      <c r="K981" s="1"/>
    </row>
    <row r="982">
      <c r="A982" s="2" t="str">
        <f>IFERROR(__xludf.DUMMYFUNCTION("""COMPUTED_VALUE"""),"https://www.facebook.com/joni.aguilar.146")</f>
        <v>https://www.facebook.com/joni.aguilar.146</v>
      </c>
      <c r="B982" s="1" t="str">
        <f>IFERROR(__xludf.DUMMYFUNCTION("""COMPUTED_VALUE"""),"Joni Aguilar")</f>
        <v>Joni Aguilar</v>
      </c>
      <c r="C982" s="1" t="str">
        <f>IFERROR(__xludf.DUMMYFUNCTION("""COMPUTED_VALUE"""),"Joni")</f>
        <v>Joni</v>
      </c>
      <c r="D982" s="1" t="str">
        <f>IFERROR(__xludf.DUMMYFUNCTION("""COMPUTED_VALUE"""),"Aguilar")</f>
        <v>Aguilar</v>
      </c>
      <c r="E982" s="1" t="str">
        <f>IFERROR(__xludf.DUMMYFUNCTION("""COMPUTED_VALUE"""),"☝🏻☝🏻☝🏻☝🏻🇵🇭🇵🇭🇵🇭🇵🇭")</f>
        <v>☝🏻☝🏻☝🏻☝🏻🇵🇭🇵🇭🇵🇭🇵🇭</v>
      </c>
      <c r="F982" s="1"/>
      <c r="G982" s="1" t="str">
        <f>IFERROR(__xludf.DUMMYFUNCTION("""COMPUTED_VALUE"""),"3 mos")</f>
        <v>3 mos</v>
      </c>
      <c r="H982" s="1" t="str">
        <f>IFERROR(__xludf.DUMMYFUNCTION("""COMPUTED_VALUE"""),"comment")</f>
        <v>comment</v>
      </c>
      <c r="I982" s="2" t="str">
        <f>IFERROR(__xludf.DUMMYFUNCTION("""COMPUTED_VALUE"""),"https://www.facebook.com/rapplerdotcom/photos/a.317154781638645/5596043783749692/")</f>
        <v>https://www.facebook.com/rapplerdotcom/photos/a.317154781638645/5596043783749692/</v>
      </c>
      <c r="J982" s="1" t="str">
        <f>IFERROR(__xludf.DUMMYFUNCTION("""COMPUTED_VALUE"""),"2022-07-04T15:38:38.278Z")</f>
        <v>2022-07-04T15:38:38.278Z</v>
      </c>
      <c r="K982" s="1"/>
    </row>
    <row r="983">
      <c r="A983" s="2" t="str">
        <f>IFERROR(__xludf.DUMMYFUNCTION("""COMPUTED_VALUE"""),"https://www.facebook.com/profile.php?id=100049380352017")</f>
        <v>https://www.facebook.com/profile.php?id=100049380352017</v>
      </c>
      <c r="B983" s="1" t="str">
        <f>IFERROR(__xludf.DUMMYFUNCTION("""COMPUTED_VALUE"""),"Jose Parada Sarmiento")</f>
        <v>Jose Parada Sarmiento</v>
      </c>
      <c r="C983" s="1" t="str">
        <f>IFERROR(__xludf.DUMMYFUNCTION("""COMPUTED_VALUE"""),"Jose")</f>
        <v>Jose</v>
      </c>
      <c r="D983" s="1" t="str">
        <f>IFERROR(__xludf.DUMMYFUNCTION("""COMPUTED_VALUE"""),"Parada Sarmiento")</f>
        <v>Parada Sarmiento</v>
      </c>
      <c r="E983" s="1" t="str">
        <f>IFERROR(__xludf.DUMMYFUNCTION("""COMPUTED_VALUE"""),"KAKAMPINKS LET'S BRING #LENIKIKO2022 TO MALACANANG.")</f>
        <v>KAKAMPINKS LET'S BRING #LENIKIKO2022 TO MALACANANG.</v>
      </c>
      <c r="F983" s="1"/>
      <c r="G983" s="1" t="str">
        <f>IFERROR(__xludf.DUMMYFUNCTION("""COMPUTED_VALUE"""),"3 mos")</f>
        <v>3 mos</v>
      </c>
      <c r="H983" s="1" t="str">
        <f>IFERROR(__xludf.DUMMYFUNCTION("""COMPUTED_VALUE"""),"comment")</f>
        <v>comment</v>
      </c>
      <c r="I983" s="2" t="str">
        <f>IFERROR(__xludf.DUMMYFUNCTION("""COMPUTED_VALUE"""),"https://www.facebook.com/rapplerdotcom/photos/a.317154781638645/5596043783749692/")</f>
        <v>https://www.facebook.com/rapplerdotcom/photos/a.317154781638645/5596043783749692/</v>
      </c>
      <c r="J983" s="1" t="str">
        <f>IFERROR(__xludf.DUMMYFUNCTION("""COMPUTED_VALUE"""),"2022-07-04T15:38:38.278Z")</f>
        <v>2022-07-04T15:38:38.278Z</v>
      </c>
      <c r="K983" s="1"/>
    </row>
    <row r="984">
      <c r="A984" s="2" t="str">
        <f>IFERROR(__xludf.DUMMYFUNCTION("""COMPUTED_VALUE"""),"https://www.facebook.com/madammaharlika")</f>
        <v>https://www.facebook.com/madammaharlika</v>
      </c>
      <c r="B984" s="1" t="str">
        <f>IFERROR(__xludf.DUMMYFUNCTION("""COMPUTED_VALUE"""),"Doña Doña")</f>
        <v>Doña Doña</v>
      </c>
      <c r="C984" s="1" t="str">
        <f>IFERROR(__xludf.DUMMYFUNCTION("""COMPUTED_VALUE"""),"Doña")</f>
        <v>Doña</v>
      </c>
      <c r="D984" s="1" t="str">
        <f>IFERROR(__xludf.DUMMYFUNCTION("""COMPUTED_VALUE"""),"Doña")</f>
        <v>Doña</v>
      </c>
      <c r="E984" s="1" t="str">
        <f>IFERROR(__xludf.DUMMYFUNCTION("""COMPUTED_VALUE"""),"Doña Doña")</f>
        <v>Doña Doña</v>
      </c>
      <c r="F984" s="1"/>
      <c r="G984" s="1" t="str">
        <f>IFERROR(__xludf.DUMMYFUNCTION("""COMPUTED_VALUE"""),"3 mos")</f>
        <v>3 mos</v>
      </c>
      <c r="H984" s="1" t="str">
        <f>IFERROR(__xludf.DUMMYFUNCTION("""COMPUTED_VALUE"""),"comment")</f>
        <v>comment</v>
      </c>
      <c r="I984" s="2" t="str">
        <f>IFERROR(__xludf.DUMMYFUNCTION("""COMPUTED_VALUE"""),"https://www.facebook.com/rapplerdotcom/photos/a.317154781638645/5596043783749692/")</f>
        <v>https://www.facebook.com/rapplerdotcom/photos/a.317154781638645/5596043783749692/</v>
      </c>
      <c r="J984" s="1" t="str">
        <f>IFERROR(__xludf.DUMMYFUNCTION("""COMPUTED_VALUE"""),"2022-07-04T15:38:38.278Z")</f>
        <v>2022-07-04T15:38:38.278Z</v>
      </c>
      <c r="K984" s="1"/>
    </row>
    <row r="985">
      <c r="A985" s="2" t="str">
        <f>IFERROR(__xludf.DUMMYFUNCTION("""COMPUTED_VALUE"""),"https://www.facebook.com/madammaharlika")</f>
        <v>https://www.facebook.com/madammaharlika</v>
      </c>
      <c r="B985" s="1" t="str">
        <f>IFERROR(__xludf.DUMMYFUNCTION("""COMPUTED_VALUE"""),"Doña Doña")</f>
        <v>Doña Doña</v>
      </c>
      <c r="C985" s="1" t="str">
        <f>IFERROR(__xludf.DUMMYFUNCTION("""COMPUTED_VALUE"""),"Doña")</f>
        <v>Doña</v>
      </c>
      <c r="D985" s="1" t="str">
        <f>IFERROR(__xludf.DUMMYFUNCTION("""COMPUTED_VALUE"""),"Doña")</f>
        <v>Doña</v>
      </c>
      <c r="E985" s="1" t="str">
        <f>IFERROR(__xludf.DUMMYFUNCTION("""COMPUTED_VALUE"""),"Doña Doña")</f>
        <v>Doña Doña</v>
      </c>
      <c r="F985" s="1"/>
      <c r="G985" s="1" t="str">
        <f>IFERROR(__xludf.DUMMYFUNCTION("""COMPUTED_VALUE"""),"3 mos")</f>
        <v>3 mos</v>
      </c>
      <c r="H985" s="1" t="str">
        <f>IFERROR(__xludf.DUMMYFUNCTION("""COMPUTED_VALUE"""),"comment")</f>
        <v>comment</v>
      </c>
      <c r="I985" s="2" t="str">
        <f>IFERROR(__xludf.DUMMYFUNCTION("""COMPUTED_VALUE"""),"https://www.facebook.com/rapplerdotcom/photos/a.317154781638645/5596043783749692/")</f>
        <v>https://www.facebook.com/rapplerdotcom/photos/a.317154781638645/5596043783749692/</v>
      </c>
      <c r="J985" s="1" t="str">
        <f>IFERROR(__xludf.DUMMYFUNCTION("""COMPUTED_VALUE"""),"2022-07-04T15:38:38.278Z")</f>
        <v>2022-07-04T15:38:38.278Z</v>
      </c>
      <c r="K985" s="1"/>
    </row>
    <row r="986">
      <c r="A986" s="2" t="str">
        <f>IFERROR(__xludf.DUMMYFUNCTION("""COMPUTED_VALUE"""),"https://www.facebook.com/madammaharlika")</f>
        <v>https://www.facebook.com/madammaharlika</v>
      </c>
      <c r="B986" s="1" t="str">
        <f>IFERROR(__xludf.DUMMYFUNCTION("""COMPUTED_VALUE"""),"Doña Doña")</f>
        <v>Doña Doña</v>
      </c>
      <c r="C986" s="1" t="str">
        <f>IFERROR(__xludf.DUMMYFUNCTION("""COMPUTED_VALUE"""),"Doña")</f>
        <v>Doña</v>
      </c>
      <c r="D986" s="1" t="str">
        <f>IFERROR(__xludf.DUMMYFUNCTION("""COMPUTED_VALUE"""),"Doña")</f>
        <v>Doña</v>
      </c>
      <c r="E986" s="1" t="str">
        <f>IFERROR(__xludf.DUMMYFUNCTION("""COMPUTED_VALUE"""),"Doña Doña")</f>
        <v>Doña Doña</v>
      </c>
      <c r="F986" s="1"/>
      <c r="G986" s="1" t="str">
        <f>IFERROR(__xludf.DUMMYFUNCTION("""COMPUTED_VALUE"""),"3 mos")</f>
        <v>3 mos</v>
      </c>
      <c r="H986" s="1" t="str">
        <f>IFERROR(__xludf.DUMMYFUNCTION("""COMPUTED_VALUE"""),"comment")</f>
        <v>comment</v>
      </c>
      <c r="I986" s="2" t="str">
        <f>IFERROR(__xludf.DUMMYFUNCTION("""COMPUTED_VALUE"""),"https://www.facebook.com/rapplerdotcom/photos/a.317154781638645/5596043783749692/")</f>
        <v>https://www.facebook.com/rapplerdotcom/photos/a.317154781638645/5596043783749692/</v>
      </c>
      <c r="J986" s="1" t="str">
        <f>IFERROR(__xludf.DUMMYFUNCTION("""COMPUTED_VALUE"""),"2022-07-04T15:38:38.278Z")</f>
        <v>2022-07-04T15:38:38.278Z</v>
      </c>
      <c r="K986" s="1"/>
    </row>
    <row r="987">
      <c r="A987" s="2" t="str">
        <f>IFERROR(__xludf.DUMMYFUNCTION("""COMPUTED_VALUE"""),"https://www.facebook.com/madammaharlika")</f>
        <v>https://www.facebook.com/madammaharlika</v>
      </c>
      <c r="B987" s="1" t="str">
        <f>IFERROR(__xludf.DUMMYFUNCTION("""COMPUTED_VALUE"""),"Doña Doña")</f>
        <v>Doña Doña</v>
      </c>
      <c r="C987" s="1" t="str">
        <f>IFERROR(__xludf.DUMMYFUNCTION("""COMPUTED_VALUE"""),"Doña")</f>
        <v>Doña</v>
      </c>
      <c r="D987" s="1" t="str">
        <f>IFERROR(__xludf.DUMMYFUNCTION("""COMPUTED_VALUE"""),"Doña")</f>
        <v>Doña</v>
      </c>
      <c r="E987" s="1" t="str">
        <f>IFERROR(__xludf.DUMMYFUNCTION("""COMPUTED_VALUE"""),"Doña Doña")</f>
        <v>Doña Doña</v>
      </c>
      <c r="F987" s="1"/>
      <c r="G987" s="1" t="str">
        <f>IFERROR(__xludf.DUMMYFUNCTION("""COMPUTED_VALUE"""),"3 mos")</f>
        <v>3 mos</v>
      </c>
      <c r="H987" s="1" t="str">
        <f>IFERROR(__xludf.DUMMYFUNCTION("""COMPUTED_VALUE"""),"comment")</f>
        <v>comment</v>
      </c>
      <c r="I987" s="2" t="str">
        <f>IFERROR(__xludf.DUMMYFUNCTION("""COMPUTED_VALUE"""),"https://www.facebook.com/rapplerdotcom/photos/a.317154781638645/5596043783749692/")</f>
        <v>https://www.facebook.com/rapplerdotcom/photos/a.317154781638645/5596043783749692/</v>
      </c>
      <c r="J987" s="1" t="str">
        <f>IFERROR(__xludf.DUMMYFUNCTION("""COMPUTED_VALUE"""),"2022-07-04T15:38:38.278Z")</f>
        <v>2022-07-04T15:38:38.278Z</v>
      </c>
      <c r="K987" s="1"/>
    </row>
    <row r="988">
      <c r="A988" s="2" t="str">
        <f>IFERROR(__xludf.DUMMYFUNCTION("""COMPUTED_VALUE"""),"https://www.facebook.com/madammaharlika")</f>
        <v>https://www.facebook.com/madammaharlika</v>
      </c>
      <c r="B988" s="1" t="str">
        <f>IFERROR(__xludf.DUMMYFUNCTION("""COMPUTED_VALUE"""),"Doña Doña")</f>
        <v>Doña Doña</v>
      </c>
      <c r="C988" s="1" t="str">
        <f>IFERROR(__xludf.DUMMYFUNCTION("""COMPUTED_VALUE"""),"Doña")</f>
        <v>Doña</v>
      </c>
      <c r="D988" s="1" t="str">
        <f>IFERROR(__xludf.DUMMYFUNCTION("""COMPUTED_VALUE"""),"Doña")</f>
        <v>Doña</v>
      </c>
      <c r="E988" s="1" t="str">
        <f>IFERROR(__xludf.DUMMYFUNCTION("""COMPUTED_VALUE"""),"Doña Doña")</f>
        <v>Doña Doña</v>
      </c>
      <c r="F988" s="1"/>
      <c r="G988" s="1" t="str">
        <f>IFERROR(__xludf.DUMMYFUNCTION("""COMPUTED_VALUE"""),"3 mos")</f>
        <v>3 mos</v>
      </c>
      <c r="H988" s="1" t="str">
        <f>IFERROR(__xludf.DUMMYFUNCTION("""COMPUTED_VALUE"""),"comment")</f>
        <v>comment</v>
      </c>
      <c r="I988" s="2" t="str">
        <f>IFERROR(__xludf.DUMMYFUNCTION("""COMPUTED_VALUE"""),"https://www.facebook.com/rapplerdotcom/photos/a.317154781638645/5596043783749692/")</f>
        <v>https://www.facebook.com/rapplerdotcom/photos/a.317154781638645/5596043783749692/</v>
      </c>
      <c r="J988" s="1" t="str">
        <f>IFERROR(__xludf.DUMMYFUNCTION("""COMPUTED_VALUE"""),"2022-07-04T15:38:38.278Z")</f>
        <v>2022-07-04T15:38:38.278Z</v>
      </c>
      <c r="K988" s="1"/>
    </row>
    <row r="989">
      <c r="A989" s="2" t="str">
        <f>IFERROR(__xludf.DUMMYFUNCTION("""COMPUTED_VALUE"""),"https://www.facebook.com/ninotchka.rosca")</f>
        <v>https://www.facebook.com/ninotchka.rosca</v>
      </c>
      <c r="B989" s="1" t="str">
        <f>IFERROR(__xludf.DUMMYFUNCTION("""COMPUTED_VALUE"""),"Ninotchka Rosca")</f>
        <v>Ninotchka Rosca</v>
      </c>
      <c r="C989" s="1" t="str">
        <f>IFERROR(__xludf.DUMMYFUNCTION("""COMPUTED_VALUE"""),"Ninotchka")</f>
        <v>Ninotchka</v>
      </c>
      <c r="D989" s="1" t="str">
        <f>IFERROR(__xludf.DUMMYFUNCTION("""COMPUTED_VALUE"""),"Rosca")</f>
        <v>Rosca</v>
      </c>
      <c r="E989" s="1" t="str">
        <f>IFERROR(__xludf.DUMMYFUNCTION("""COMPUTED_VALUE"""),"Great photo.  Fabulous.")</f>
        <v>Great photo.  Fabulous.</v>
      </c>
      <c r="F989" s="1">
        <f>IFERROR(__xludf.DUMMYFUNCTION("""COMPUTED_VALUE"""),118.0)</f>
        <v>118</v>
      </c>
      <c r="G989" s="1" t="str">
        <f>IFERROR(__xludf.DUMMYFUNCTION("""COMPUTED_VALUE"""),"3 mos")</f>
        <v>3 mos</v>
      </c>
      <c r="H989" s="1" t="str">
        <f>IFERROR(__xludf.DUMMYFUNCTION("""COMPUTED_VALUE"""),"comment")</f>
        <v>comment</v>
      </c>
      <c r="I989" s="2" t="str">
        <f>IFERROR(__xludf.DUMMYFUNCTION("""COMPUTED_VALUE"""),"https://www.facebook.com/rapplerdotcom/photos/a.317154781638645/5596022273751843/")</f>
        <v>https://www.facebook.com/rapplerdotcom/photos/a.317154781638645/5596022273751843/</v>
      </c>
      <c r="J989" s="1" t="str">
        <f>IFERROR(__xludf.DUMMYFUNCTION("""COMPUTED_VALUE"""),"2022-07-04T15:39:36.622Z")</f>
        <v>2022-07-04T15:39:36.622Z</v>
      </c>
      <c r="K989" s="1"/>
    </row>
    <row r="990">
      <c r="A990" s="2" t="str">
        <f>IFERROR(__xludf.DUMMYFUNCTION("""COMPUTED_VALUE"""),"https://www.facebook.com/yongcoonang")</f>
        <v>https://www.facebook.com/yongcoonang</v>
      </c>
      <c r="B990" s="1" t="str">
        <f>IFERROR(__xludf.DUMMYFUNCTION("""COMPUTED_VALUE"""),"Kelvin Billy")</f>
        <v>Kelvin Billy</v>
      </c>
      <c r="C990" s="1" t="str">
        <f>IFERROR(__xludf.DUMMYFUNCTION("""COMPUTED_VALUE"""),"Kelvin")</f>
        <v>Kelvin</v>
      </c>
      <c r="D990" s="1" t="str">
        <f>IFERROR(__xludf.DUMMYFUNCTION("""COMPUTED_VALUE"""),"Billy")</f>
        <v>Billy</v>
      </c>
      <c r="E990" s="1" t="str">
        <f>IFERROR(__xludf.DUMMYFUNCTION("""COMPUTED_VALUE"""),"Ninotchka Rosca   ⚙️ EARN MONEY ONLINE WITHOUT GOING TO WORK OR STRESS YOURSELF  ⚙️if you're interested ☝️☝️☝️ just kindly click on the link to contact my Senior Cryptofx account manager for guidance 📩  Link 🔗🔗🔗  https://www.facebook.com/evlira.crypto"&amp;"fxtrader")</f>
        <v>Ninotchka Rosca   ⚙️ EARN MONEY ONLINE WITHOUT GOING TO WORK OR STRESS YOURSELF  ⚙️if you're interested ☝️☝️☝️ just kindly click on the link to contact my Senior Cryptofx account manager for guidance 📩  Link 🔗🔗🔗  https://www.facebook.com/evlira.cryptofxtrader</v>
      </c>
      <c r="F990" s="1"/>
      <c r="G990" s="1" t="str">
        <f>IFERROR(__xludf.DUMMYFUNCTION("""COMPUTED_VALUE"""),"3 mos")</f>
        <v>3 mos</v>
      </c>
      <c r="H990" s="1" t="str">
        <f>IFERROR(__xludf.DUMMYFUNCTION("""COMPUTED_VALUE"""),"reply")</f>
        <v>reply</v>
      </c>
      <c r="I990" s="2" t="str">
        <f>IFERROR(__xludf.DUMMYFUNCTION("""COMPUTED_VALUE"""),"https://www.facebook.com/rapplerdotcom/photos/a.317154781638645/5596022273751843/")</f>
        <v>https://www.facebook.com/rapplerdotcom/photos/a.317154781638645/5596022273751843/</v>
      </c>
      <c r="J990" s="1" t="str">
        <f>IFERROR(__xludf.DUMMYFUNCTION("""COMPUTED_VALUE"""),"2022-07-04T15:39:36.622Z")</f>
        <v>2022-07-04T15:39:36.622Z</v>
      </c>
      <c r="K990" s="1"/>
    </row>
    <row r="991">
      <c r="A991" s="2" t="str">
        <f>IFERROR(__xludf.DUMMYFUNCTION("""COMPUTED_VALUE"""),"https://www.facebook.com/lorna.felipe.1694")</f>
        <v>https://www.facebook.com/lorna.felipe.1694</v>
      </c>
      <c r="B991" s="1" t="str">
        <f>IFERROR(__xludf.DUMMYFUNCTION("""COMPUTED_VALUE"""),"Lorna Felipe")</f>
        <v>Lorna Felipe</v>
      </c>
      <c r="C991" s="1" t="str">
        <f>IFERROR(__xludf.DUMMYFUNCTION("""COMPUTED_VALUE"""),"Lorna")</f>
        <v>Lorna</v>
      </c>
      <c r="D991" s="1" t="str">
        <f>IFERROR(__xludf.DUMMYFUNCTION("""COMPUTED_VALUE"""),"Felipe")</f>
        <v>Felipe</v>
      </c>
      <c r="E991" s="1" t="str">
        <f>IFERROR(__xludf.DUMMYFUNCTION("""COMPUTED_VALUE"""),"Ninotchka Rosca ..")</f>
        <v>Ninotchka Rosca ..</v>
      </c>
      <c r="F991" s="1"/>
      <c r="G991" s="1" t="str">
        <f>IFERROR(__xludf.DUMMYFUNCTION("""COMPUTED_VALUE"""),"3 mos")</f>
        <v>3 mos</v>
      </c>
      <c r="H991" s="1" t="str">
        <f>IFERROR(__xludf.DUMMYFUNCTION("""COMPUTED_VALUE"""),"reply")</f>
        <v>reply</v>
      </c>
      <c r="I991" s="2" t="str">
        <f>IFERROR(__xludf.DUMMYFUNCTION("""COMPUTED_VALUE"""),"https://www.facebook.com/rapplerdotcom/photos/a.317154781638645/5596022273751843/")</f>
        <v>https://www.facebook.com/rapplerdotcom/photos/a.317154781638645/5596022273751843/</v>
      </c>
      <c r="J991" s="1" t="str">
        <f>IFERROR(__xludf.DUMMYFUNCTION("""COMPUTED_VALUE"""),"2022-07-04T15:39:36.622Z")</f>
        <v>2022-07-04T15:39:36.622Z</v>
      </c>
      <c r="K991" s="1"/>
    </row>
    <row r="992">
      <c r="A992" s="2" t="str">
        <f>IFERROR(__xludf.DUMMYFUNCTION("""COMPUTED_VALUE"""),"https://www.facebook.com/beverlyfrias")</f>
        <v>https://www.facebook.com/beverlyfrias</v>
      </c>
      <c r="B992" s="1" t="str">
        <f>IFERROR(__xludf.DUMMYFUNCTION("""COMPUTED_VALUE"""),"Rebecca Frias")</f>
        <v>Rebecca Frias</v>
      </c>
      <c r="C992" s="1" t="str">
        <f>IFERROR(__xludf.DUMMYFUNCTION("""COMPUTED_VALUE"""),"Rebecca")</f>
        <v>Rebecca</v>
      </c>
      <c r="D992" s="1" t="str">
        <f>IFERROR(__xludf.DUMMYFUNCTION("""COMPUTED_VALUE"""),"Frias")</f>
        <v>Frias</v>
      </c>
      <c r="E992" s="1" t="str">
        <f>IFERROR(__xludf.DUMMYFUNCTION("""COMPUTED_VALUE"""),"Unbelievable grabeeeeee!!!!!!!")</f>
        <v>Unbelievable grabeeeeee!!!!!!!</v>
      </c>
      <c r="F992" s="1"/>
      <c r="G992" s="1" t="str">
        <f>IFERROR(__xludf.DUMMYFUNCTION("""COMPUTED_VALUE"""),"3 mos")</f>
        <v>3 mos</v>
      </c>
      <c r="H992" s="1" t="str">
        <f>IFERROR(__xludf.DUMMYFUNCTION("""COMPUTED_VALUE"""),"reply")</f>
        <v>reply</v>
      </c>
      <c r="I992" s="2" t="str">
        <f>IFERROR(__xludf.DUMMYFUNCTION("""COMPUTED_VALUE"""),"https://www.facebook.com/rapplerdotcom/photos/a.317154781638645/5596022273751843/")</f>
        <v>https://www.facebook.com/rapplerdotcom/photos/a.317154781638645/5596022273751843/</v>
      </c>
      <c r="J992" s="1" t="str">
        <f>IFERROR(__xludf.DUMMYFUNCTION("""COMPUTED_VALUE"""),"2022-07-04T15:39:36.622Z")</f>
        <v>2022-07-04T15:39:36.622Z</v>
      </c>
      <c r="K992" s="1"/>
    </row>
    <row r="993">
      <c r="A993" s="2" t="str">
        <f>IFERROR(__xludf.DUMMYFUNCTION("""COMPUTED_VALUE"""),"https://www.facebook.com/profile.php?id=100078772872933")</f>
        <v>https://www.facebook.com/profile.php?id=100078772872933</v>
      </c>
      <c r="B993" s="1" t="str">
        <f>IFERROR(__xludf.DUMMYFUNCTION("""COMPUTED_VALUE"""),"Yvonne Yuzon")</f>
        <v>Yvonne Yuzon</v>
      </c>
      <c r="C993" s="1" t="str">
        <f>IFERROR(__xludf.DUMMYFUNCTION("""COMPUTED_VALUE"""),"Yvonne")</f>
        <v>Yvonne</v>
      </c>
      <c r="D993" s="1" t="str">
        <f>IFERROR(__xludf.DUMMYFUNCTION("""COMPUTED_VALUE"""),"Yuzon")</f>
        <v>Yuzon</v>
      </c>
      <c r="E993" s="1" t="str">
        <f>IFERROR(__xludf.DUMMYFUNCTION("""COMPUTED_VALUE"""),"Ninotchka Rosca Kulay Rosas ang Bukas!")</f>
        <v>Ninotchka Rosca Kulay Rosas ang Bukas!</v>
      </c>
      <c r="F993" s="1"/>
      <c r="G993" s="1" t="str">
        <f>IFERROR(__xludf.DUMMYFUNCTION("""COMPUTED_VALUE"""),"3 mos")</f>
        <v>3 mos</v>
      </c>
      <c r="H993" s="1" t="str">
        <f>IFERROR(__xludf.DUMMYFUNCTION("""COMPUTED_VALUE"""),"reply")</f>
        <v>reply</v>
      </c>
      <c r="I993" s="2" t="str">
        <f>IFERROR(__xludf.DUMMYFUNCTION("""COMPUTED_VALUE"""),"https://www.facebook.com/rapplerdotcom/photos/a.317154781638645/5596022273751843/")</f>
        <v>https://www.facebook.com/rapplerdotcom/photos/a.317154781638645/5596022273751843/</v>
      </c>
      <c r="J993" s="1" t="str">
        <f>IFERROR(__xludf.DUMMYFUNCTION("""COMPUTED_VALUE"""),"2022-07-04T15:39:36.622Z")</f>
        <v>2022-07-04T15:39:36.622Z</v>
      </c>
      <c r="K993" s="1"/>
    </row>
    <row r="994">
      <c r="A994" s="2" t="str">
        <f>IFERROR(__xludf.DUMMYFUNCTION("""COMPUTED_VALUE"""),"https://www.facebook.com/profile.php?id=100078433647836")</f>
        <v>https://www.facebook.com/profile.php?id=100078433647836</v>
      </c>
      <c r="B994" s="1" t="str">
        <f>IFERROR(__xludf.DUMMYFUNCTION("""COMPUTED_VALUE"""),"Melinda Rosario")</f>
        <v>Melinda Rosario</v>
      </c>
      <c r="C994" s="1" t="str">
        <f>IFERROR(__xludf.DUMMYFUNCTION("""COMPUTED_VALUE"""),"Melinda")</f>
        <v>Melinda</v>
      </c>
      <c r="D994" s="1" t="str">
        <f>IFERROR(__xludf.DUMMYFUNCTION("""COMPUTED_VALUE"""),"Rosario")</f>
        <v>Rosario</v>
      </c>
      <c r="E994" s="1" t="str">
        <f>IFERROR(__xludf.DUMMYFUNCTION("""COMPUTED_VALUE"""),"Cutie! 🌷")</f>
        <v>Cutie! 🌷</v>
      </c>
      <c r="F994" s="1"/>
      <c r="G994" s="1" t="str">
        <f>IFERROR(__xludf.DUMMYFUNCTION("""COMPUTED_VALUE"""),"3 mos")</f>
        <v>3 mos</v>
      </c>
      <c r="H994" s="1" t="str">
        <f>IFERROR(__xludf.DUMMYFUNCTION("""COMPUTED_VALUE"""),"reply")</f>
        <v>reply</v>
      </c>
      <c r="I994" s="2" t="str">
        <f>IFERROR(__xludf.DUMMYFUNCTION("""COMPUTED_VALUE"""),"https://www.facebook.com/rapplerdotcom/photos/a.317154781638645/5596022273751843/")</f>
        <v>https://www.facebook.com/rapplerdotcom/photos/a.317154781638645/5596022273751843/</v>
      </c>
      <c r="J994" s="1" t="str">
        <f>IFERROR(__xludf.DUMMYFUNCTION("""COMPUTED_VALUE"""),"2022-07-04T15:39:36.622Z")</f>
        <v>2022-07-04T15:39:36.622Z</v>
      </c>
      <c r="K994" s="1"/>
    </row>
    <row r="995">
      <c r="A995" s="2" t="str">
        <f>IFERROR(__xludf.DUMMYFUNCTION("""COMPUTED_VALUE"""),"https://www.facebook.com/profile.php?id=100078504654734")</f>
        <v>https://www.facebook.com/profile.php?id=100078504654734</v>
      </c>
      <c r="B995" s="1" t="str">
        <f>IFERROR(__xludf.DUMMYFUNCTION("""COMPUTED_VALUE"""),"Rebreb Yumul")</f>
        <v>Rebreb Yumul</v>
      </c>
      <c r="C995" s="1" t="str">
        <f>IFERROR(__xludf.DUMMYFUNCTION("""COMPUTED_VALUE"""),"Rebreb")</f>
        <v>Rebreb</v>
      </c>
      <c r="D995" s="1" t="str">
        <f>IFERROR(__xludf.DUMMYFUNCTION("""COMPUTED_VALUE"""),"Yumul")</f>
        <v>Yumul</v>
      </c>
      <c r="E995" s="1" t="str">
        <f>IFERROR(__xludf.DUMMYFUNCTION("""COMPUTED_VALUE"""),"Ninotchka Rosca amazing kakampinks!")</f>
        <v>Ninotchka Rosca amazing kakampinks!</v>
      </c>
      <c r="F995" s="1"/>
      <c r="G995" s="1" t="str">
        <f>IFERROR(__xludf.DUMMYFUNCTION("""COMPUTED_VALUE"""),"3 mos")</f>
        <v>3 mos</v>
      </c>
      <c r="H995" s="1" t="str">
        <f>IFERROR(__xludf.DUMMYFUNCTION("""COMPUTED_VALUE"""),"reply")</f>
        <v>reply</v>
      </c>
      <c r="I995" s="2" t="str">
        <f>IFERROR(__xludf.DUMMYFUNCTION("""COMPUTED_VALUE"""),"https://www.facebook.com/rapplerdotcom/photos/a.317154781638645/5596022273751843/")</f>
        <v>https://www.facebook.com/rapplerdotcom/photos/a.317154781638645/5596022273751843/</v>
      </c>
      <c r="J995" s="1" t="str">
        <f>IFERROR(__xludf.DUMMYFUNCTION("""COMPUTED_VALUE"""),"2022-07-04T15:39:36.622Z")</f>
        <v>2022-07-04T15:39:36.622Z</v>
      </c>
      <c r="K995" s="1"/>
    </row>
    <row r="996">
      <c r="A996" s="2" t="str">
        <f>IFERROR(__xludf.DUMMYFUNCTION("""COMPUTED_VALUE"""),"https://www.facebook.com/terrence.co")</f>
        <v>https://www.facebook.com/terrence.co</v>
      </c>
      <c r="B996" s="1" t="str">
        <f>IFERROR(__xludf.DUMMYFUNCTION("""COMPUTED_VALUE"""),"Terence Co")</f>
        <v>Terence Co</v>
      </c>
      <c r="C996" s="1" t="str">
        <f>IFERROR(__xludf.DUMMYFUNCTION("""COMPUTED_VALUE"""),"Terence")</f>
        <v>Terence</v>
      </c>
      <c r="D996" s="1" t="str">
        <f>IFERROR(__xludf.DUMMYFUNCTION("""COMPUTED_VALUE"""),"Co")</f>
        <v>Co</v>
      </c>
      <c r="E996" s="1" t="str">
        <f>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996" s="1">
        <f>IFERROR(__xludf.DUMMYFUNCTION("""COMPUTED_VALUE"""),34.0)</f>
        <v>34</v>
      </c>
      <c r="G996" s="1" t="str">
        <f>IFERROR(__xludf.DUMMYFUNCTION("""COMPUTED_VALUE"""),"3 mos")</f>
        <v>3 mos</v>
      </c>
      <c r="H996" s="1" t="str">
        <f>IFERROR(__xludf.DUMMYFUNCTION("""COMPUTED_VALUE"""),"comment")</f>
        <v>comment</v>
      </c>
      <c r="I996" s="2" t="str">
        <f>IFERROR(__xludf.DUMMYFUNCTION("""COMPUTED_VALUE"""),"https://www.facebook.com/rapplerdotcom/photos/a.317154781638645/5596022273751843/")</f>
        <v>https://www.facebook.com/rapplerdotcom/photos/a.317154781638645/5596022273751843/</v>
      </c>
      <c r="J996" s="1" t="str">
        <f>IFERROR(__xludf.DUMMYFUNCTION("""COMPUTED_VALUE"""),"2022-07-04T15:39:36.622Z")</f>
        <v>2022-07-04T15:39:36.622Z</v>
      </c>
      <c r="K996" s="1"/>
    </row>
    <row r="997">
      <c r="A997" s="2" t="str">
        <f>IFERROR(__xludf.DUMMYFUNCTION("""COMPUTED_VALUE"""),"https://www.facebook.com/augustusfabonii")</f>
        <v>https://www.facebook.com/augustusfabonii</v>
      </c>
      <c r="B997" s="1" t="str">
        <f>IFERROR(__xludf.DUMMYFUNCTION("""COMPUTED_VALUE"""),"Augustus Fabon II")</f>
        <v>Augustus Fabon II</v>
      </c>
      <c r="C997" s="1" t="str">
        <f>IFERROR(__xludf.DUMMYFUNCTION("""COMPUTED_VALUE"""),"Augustus")</f>
        <v>Augustus</v>
      </c>
      <c r="D997" s="1" t="str">
        <f>IFERROR(__xludf.DUMMYFUNCTION("""COMPUTED_VALUE"""),"Fabon II")</f>
        <v>Fabon II</v>
      </c>
      <c r="E997" s="1" t="str">
        <f>IFERROR(__xludf.DUMMYFUNCTION("""COMPUTED_VALUE"""),"Never above anyone, but always IN UNISON WITH EVERYONE! #LeniKiko2022 respects #EarthHour2022  CaMaNaVa napakahusay ninyo! Kasama ninyo kaming tumitindig! #IpanaloNa10To #10RobredoPresident #7PangilinanVicePresident #GobyernongTapat #AngatBuhayLahat")</f>
        <v>Never above anyone, but always IN UNISON WITH EVERYONE! #LeniKiko2022 respects #EarthHour2022  CaMaNaVa napakahusay ninyo! Kasama ninyo kaming tumitindig! #IpanaloNa10To #10RobredoPresident #7PangilinanVicePresident #GobyernongTapat #AngatBuhayLahat</v>
      </c>
      <c r="F997" s="1">
        <f>IFERROR(__xludf.DUMMYFUNCTION("""COMPUTED_VALUE"""),17.0)</f>
        <v>17</v>
      </c>
      <c r="G997" s="1" t="str">
        <f>IFERROR(__xludf.DUMMYFUNCTION("""COMPUTED_VALUE"""),"3 mos")</f>
        <v>3 mos</v>
      </c>
      <c r="H997" s="1" t="str">
        <f>IFERROR(__xludf.DUMMYFUNCTION("""COMPUTED_VALUE"""),"comment")</f>
        <v>comment</v>
      </c>
      <c r="I997" s="2" t="str">
        <f>IFERROR(__xludf.DUMMYFUNCTION("""COMPUTED_VALUE"""),"https://www.facebook.com/rapplerdotcom/photos/a.317154781638645/5596022273751843/")</f>
        <v>https://www.facebook.com/rapplerdotcom/photos/a.317154781638645/5596022273751843/</v>
      </c>
      <c r="J997" s="1" t="str">
        <f>IFERROR(__xludf.DUMMYFUNCTION("""COMPUTED_VALUE"""),"2022-07-04T15:39:36.622Z")</f>
        <v>2022-07-04T15:39:36.622Z</v>
      </c>
      <c r="K997" s="1"/>
    </row>
    <row r="998">
      <c r="A998" s="2" t="str">
        <f>IFERROR(__xludf.DUMMYFUNCTION("""COMPUTED_VALUE"""),"https://www.facebook.com/steve.tamayo.18")</f>
        <v>https://www.facebook.com/steve.tamayo.18</v>
      </c>
      <c r="B998" s="1" t="str">
        <f>IFERROR(__xludf.DUMMYFUNCTION("""COMPUTED_VALUE"""),"Steve Tamayo")</f>
        <v>Steve Tamayo</v>
      </c>
      <c r="C998" s="1" t="str">
        <f>IFERROR(__xludf.DUMMYFUNCTION("""COMPUTED_VALUE"""),"Steve")</f>
        <v>Steve</v>
      </c>
      <c r="D998" s="1" t="str">
        <f>IFERROR(__xludf.DUMMYFUNCTION("""COMPUTED_VALUE"""),"Tamayo")</f>
        <v>Tamayo</v>
      </c>
      <c r="E998" s="1" t="str">
        <f>IFERROR(__xludf.DUMMYFUNCTION("""COMPUTED_VALUE"""),"Ang boto ko ay para sa isang #GobyernongTapatAngatBuhayLahat at #MasRadikalAngMagmahal  #IdasalNa10to #LeniKikoAllTheWay  #CaMaNavaForLeniKiko #RockAndRosas #LugawIsWowSaDabaw #DabawIsPink #tarLENIqueño #TarlacIsPink #PUSOtarlac  #MasaganangANEhan  #Nueva"&amp;"EcijaIsPink #IpanaloNa10Ito #10RobredoPresident  #KikoISDAKey #KikoAngManokKo  #7PangilinanForVicePresident  #MASSKARApatDapatLeniKiko  #TeamRObredoPAngilinan2022 kasamahan para sa Senado iboto din ng straight, Atty Alex Lacson, Atty Sonny Matula, Dean Ch"&amp;"el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998" s="1">
        <f>IFERROR(__xludf.DUMMYFUNCTION("""COMPUTED_VALUE"""),27.0)</f>
        <v>27</v>
      </c>
      <c r="G998" s="1" t="str">
        <f>IFERROR(__xludf.DUMMYFUNCTION("""COMPUTED_VALUE"""),"3 mos")</f>
        <v>3 mos</v>
      </c>
      <c r="H998" s="1" t="str">
        <f>IFERROR(__xludf.DUMMYFUNCTION("""COMPUTED_VALUE"""),"comment")</f>
        <v>comment</v>
      </c>
      <c r="I998" s="2" t="str">
        <f>IFERROR(__xludf.DUMMYFUNCTION("""COMPUTED_VALUE"""),"https://www.facebook.com/rapplerdotcom/photos/a.317154781638645/5596022273751843/")</f>
        <v>https://www.facebook.com/rapplerdotcom/photos/a.317154781638645/5596022273751843/</v>
      </c>
      <c r="J998" s="1" t="str">
        <f>IFERROR(__xludf.DUMMYFUNCTION("""COMPUTED_VALUE"""),"2022-07-04T15:39:36.622Z")</f>
        <v>2022-07-04T15:39:36.622Z</v>
      </c>
      <c r="K998" s="1"/>
    </row>
    <row r="999">
      <c r="A999" s="2" t="str">
        <f>IFERROR(__xludf.DUMMYFUNCTION("""COMPUTED_VALUE"""),"https://www.facebook.com/chie.abracosa")</f>
        <v>https://www.facebook.com/chie.abracosa</v>
      </c>
      <c r="B999" s="1" t="str">
        <f>IFERROR(__xludf.DUMMYFUNCTION("""COMPUTED_VALUE"""),"Chie Mercader")</f>
        <v>Chie Mercader</v>
      </c>
      <c r="C999" s="1" t="str">
        <f>IFERROR(__xludf.DUMMYFUNCTION("""COMPUTED_VALUE"""),"Chie")</f>
        <v>Chie</v>
      </c>
      <c r="D999" s="1" t="str">
        <f>IFERROR(__xludf.DUMMYFUNCTION("""COMPUTED_VALUE"""),"Mercader")</f>
        <v>Mercader</v>
      </c>
      <c r="E999" s="1" t="str">
        <f>IFERROR(__xludf.DUMMYFUNCTION("""COMPUTED_VALUE"""),"Happy #EarthHour mula sa CAMANAVA! 🇵🇭✨Liliwanag ang pag-asa ngayong 2022 dahil pinakita at pinatunayan ng 37,000 STRONG Shining &amp; Shimmering #CaMaNavaForLeniKiko na di tayo nag-iisa sa laban na10 👆🏻 at iisa ang ating pangarap para sa ating bansa #Anga"&amp;"tBuhayLahat! Rad 🌷💟🌸  #CAMANAVAisPink #CaMaNaVaRockNRosas 🌸🎸 #IpanaloNaNa10To #LeniKikoAllTheWay #TROPA2022")</f>
        <v>Happy #EarthHour mula sa CAMANAVA! 🇵🇭✨Liliwanag ang pag-asa ngayong 2022 dahil pinakita at pinatunayan ng 37,000 STRONG Shining &amp; Shimmering #CaMaNavaForLeniKiko na di tayo nag-iisa sa laban na10 👆🏻 at iisa ang ating pangarap para sa ating bansa #AngatBuhayLahat! Rad 🌷💟🌸  #CAMANAVAisPink #CaMaNaVaRockNRosas 🌸🎸 #IpanaloNaNa10To #LeniKikoAllTheWay #TROPA2022</v>
      </c>
      <c r="F999" s="1">
        <f>IFERROR(__xludf.DUMMYFUNCTION("""COMPUTED_VALUE"""),60.0)</f>
        <v>60</v>
      </c>
      <c r="G999" s="1" t="str">
        <f>IFERROR(__xludf.DUMMYFUNCTION("""COMPUTED_VALUE"""),"3 mos")</f>
        <v>3 mos</v>
      </c>
      <c r="H999" s="1" t="str">
        <f>IFERROR(__xludf.DUMMYFUNCTION("""COMPUTED_VALUE"""),"comment")</f>
        <v>comment</v>
      </c>
      <c r="I999" s="2" t="str">
        <f>IFERROR(__xludf.DUMMYFUNCTION("""COMPUTED_VALUE"""),"https://www.facebook.com/rapplerdotcom/photos/a.317154781638645/5596022273751843/")</f>
        <v>https://www.facebook.com/rapplerdotcom/photos/a.317154781638645/5596022273751843/</v>
      </c>
      <c r="J999" s="1" t="str">
        <f>IFERROR(__xludf.DUMMYFUNCTION("""COMPUTED_VALUE"""),"2022-07-04T15:39:36.623Z")</f>
        <v>2022-07-04T15:39:36.623Z</v>
      </c>
      <c r="K999" s="1"/>
    </row>
    <row r="1000">
      <c r="A1000" s="2" t="str">
        <f>IFERROR(__xludf.DUMMYFUNCTION("""COMPUTED_VALUE"""),"https://www.facebook.com/profile.php?id=100073327830652")</f>
        <v>https://www.facebook.com/profile.php?id=100073327830652</v>
      </c>
      <c r="B1000" s="1" t="str">
        <f>IFERROR(__xludf.DUMMYFUNCTION("""COMPUTED_VALUE"""),"Jojo Del Rosario")</f>
        <v>Jojo Del Rosario</v>
      </c>
      <c r="C1000" s="1" t="str">
        <f>IFERROR(__xludf.DUMMYFUNCTION("""COMPUTED_VALUE"""),"Jojo")</f>
        <v>Jojo</v>
      </c>
      <c r="D1000" s="1" t="str">
        <f>IFERROR(__xludf.DUMMYFUNCTION("""COMPUTED_VALUE"""),"Del Rosario")</f>
        <v>Del Rosario</v>
      </c>
      <c r="E1000" s="1" t="str">
        <f>IFERROR(__xludf.DUMMYFUNCTION("""COMPUTED_VALUE"""),"Chie Mercader edith p more ung dron shot nga pikita nyo")</f>
        <v>Chie Mercader edith p more ung dron shot nga pikita nyo</v>
      </c>
      <c r="F1000" s="1">
        <f>IFERROR(__xludf.DUMMYFUNCTION("""COMPUTED_VALUE"""),3.0)</f>
        <v>3</v>
      </c>
      <c r="G1000" s="1" t="str">
        <f>IFERROR(__xludf.DUMMYFUNCTION("""COMPUTED_VALUE"""),"3 mos")</f>
        <v>3 mos</v>
      </c>
      <c r="H1000" s="1" t="str">
        <f>IFERROR(__xludf.DUMMYFUNCTION("""COMPUTED_VALUE"""),"reply")</f>
        <v>reply</v>
      </c>
      <c r="I1000" s="2" t="str">
        <f>IFERROR(__xludf.DUMMYFUNCTION("""COMPUTED_VALUE"""),"https://www.facebook.com/rapplerdotcom/photos/a.317154781638645/5596022273751843/")</f>
        <v>https://www.facebook.com/rapplerdotcom/photos/a.317154781638645/5596022273751843/</v>
      </c>
      <c r="J1000" s="1" t="str">
        <f>IFERROR(__xludf.DUMMYFUNCTION("""COMPUTED_VALUE"""),"2022-07-04T15:39:36.623Z")</f>
        <v>2022-07-04T15:39:36.623Z</v>
      </c>
      <c r="K1000" s="1"/>
    </row>
    <row r="1001">
      <c r="A1001" s="2" t="str">
        <f>IFERROR(__xludf.DUMMYFUNCTION("""COMPUTED_VALUE"""),"https://www.facebook.com/lrelator")</f>
        <v>https://www.facebook.com/lrelator</v>
      </c>
      <c r="B1001" s="1" t="str">
        <f>IFERROR(__xludf.DUMMYFUNCTION("""COMPUTED_VALUE"""),"Leo Montes Maratas Relator")</f>
        <v>Leo Montes Maratas Relator</v>
      </c>
      <c r="C1001" s="1" t="str">
        <f>IFERROR(__xludf.DUMMYFUNCTION("""COMPUTED_VALUE"""),"Leo")</f>
        <v>Leo</v>
      </c>
      <c r="D1001" s="1" t="str">
        <f>IFERROR(__xludf.DUMMYFUNCTION("""COMPUTED_VALUE"""),"Montes Maratas Relator")</f>
        <v>Montes Maratas Relator</v>
      </c>
      <c r="E1001" s="1" t="str">
        <f>IFERROR(__xludf.DUMMYFUNCTION("""COMPUTED_VALUE"""),"Jojo Del Rosario laos na  DwedDweeS at BiBwiiM di na gumagana budol")</f>
        <v>Jojo Del Rosario laos na  DwedDweeS at BiBwiiM di na gumagana budol</v>
      </c>
      <c r="F1001" s="1">
        <f>IFERROR(__xludf.DUMMYFUNCTION("""COMPUTED_VALUE"""),2.0)</f>
        <v>2</v>
      </c>
      <c r="G1001" s="1" t="str">
        <f>IFERROR(__xludf.DUMMYFUNCTION("""COMPUTED_VALUE"""),"3 mos")</f>
        <v>3 mos</v>
      </c>
      <c r="H1001" s="1" t="str">
        <f>IFERROR(__xludf.DUMMYFUNCTION("""COMPUTED_VALUE"""),"reply")</f>
        <v>reply</v>
      </c>
      <c r="I1001" s="2" t="str">
        <f>IFERROR(__xludf.DUMMYFUNCTION("""COMPUTED_VALUE"""),"https://www.facebook.com/rapplerdotcom/photos/a.317154781638645/5596022273751843/")</f>
        <v>https://www.facebook.com/rapplerdotcom/photos/a.317154781638645/5596022273751843/</v>
      </c>
      <c r="J1001" s="1" t="str">
        <f>IFERROR(__xludf.DUMMYFUNCTION("""COMPUTED_VALUE"""),"2022-07-04T15:39:36.623Z")</f>
        <v>2022-07-04T15:39:36.623Z</v>
      </c>
      <c r="K1001" s="1"/>
    </row>
    <row r="1002">
      <c r="A1002" s="2" t="str">
        <f>IFERROR(__xludf.DUMMYFUNCTION("""COMPUTED_VALUE"""),"https://www.facebook.com/profile.php?id=100073327830652")</f>
        <v>https://www.facebook.com/profile.php?id=100073327830652</v>
      </c>
      <c r="B1002" s="1" t="str">
        <f>IFERROR(__xludf.DUMMYFUNCTION("""COMPUTED_VALUE"""),"Jojo Del Rosario")</f>
        <v>Jojo Del Rosario</v>
      </c>
      <c r="C1002" s="1" t="str">
        <f>IFERROR(__xludf.DUMMYFUNCTION("""COMPUTED_VALUE"""),"Jojo")</f>
        <v>Jojo</v>
      </c>
      <c r="D1002" s="1" t="str">
        <f>IFERROR(__xludf.DUMMYFUNCTION("""COMPUTED_VALUE"""),"Del Rosario")</f>
        <v>Del Rosario</v>
      </c>
      <c r="E1002" s="1" t="str">
        <f>IFERROR(__xludf.DUMMYFUNCTION("""COMPUTED_VALUE"""),"At ska twing pnpkita gbi lagi wla n bang umaga ung pra mrming ilaw hahaha")</f>
        <v>At ska twing pnpkita gbi lagi wla n bang umaga ung pra mrming ilaw hahaha</v>
      </c>
      <c r="F1002" s="1"/>
      <c r="G1002" s="1" t="str">
        <f>IFERROR(__xludf.DUMMYFUNCTION("""COMPUTED_VALUE"""),"3 mos")</f>
        <v>3 mos</v>
      </c>
      <c r="H1002" s="1" t="str">
        <f>IFERROR(__xludf.DUMMYFUNCTION("""COMPUTED_VALUE"""),"reply")</f>
        <v>reply</v>
      </c>
      <c r="I1002" s="2" t="str">
        <f>IFERROR(__xludf.DUMMYFUNCTION("""COMPUTED_VALUE"""),"https://www.facebook.com/rapplerdotcom/photos/a.317154781638645/5596022273751843/")</f>
        <v>https://www.facebook.com/rapplerdotcom/photos/a.317154781638645/5596022273751843/</v>
      </c>
      <c r="J1002" s="1" t="str">
        <f>IFERROR(__xludf.DUMMYFUNCTION("""COMPUTED_VALUE"""),"2022-07-04T15:39:36.623Z")</f>
        <v>2022-07-04T15:39:36.623Z</v>
      </c>
      <c r="K1002" s="1"/>
    </row>
    <row r="1003">
      <c r="A1003" s="2" t="str">
        <f>IFERROR(__xludf.DUMMYFUNCTION("""COMPUTED_VALUE"""),"https://www.facebook.com/maryjonesoledad.gonzaga")</f>
        <v>https://www.facebook.com/maryjonesoledad.gonzaga</v>
      </c>
      <c r="B1003" s="1" t="str">
        <f>IFERROR(__xludf.DUMMYFUNCTION("""COMPUTED_VALUE"""),"Mary Jone Soledad Gonzaga")</f>
        <v>Mary Jone Soledad Gonzaga</v>
      </c>
      <c r="C1003" s="1" t="str">
        <f>IFERROR(__xludf.DUMMYFUNCTION("""COMPUTED_VALUE"""),"Mary")</f>
        <v>Mary</v>
      </c>
      <c r="D1003" s="1" t="str">
        <f>IFERROR(__xludf.DUMMYFUNCTION("""COMPUTED_VALUE"""),"Jone Soledad Gonzaga")</f>
        <v>Jone Soledad Gonzaga</v>
      </c>
      <c r="E1003" s="1" t="str">
        <f>IFERROR(__xludf.DUMMYFUNCTION("""COMPUTED_VALUE"""),"Jojo Del Rosario May rally ba sa Umaga?")</f>
        <v>Jojo Del Rosario May rally ba sa Umaga?</v>
      </c>
      <c r="F1003" s="1"/>
      <c r="G1003" s="1" t="str">
        <f>IFERROR(__xludf.DUMMYFUNCTION("""COMPUTED_VALUE"""),"3 mos")</f>
        <v>3 mos</v>
      </c>
      <c r="H1003" s="1" t="str">
        <f>IFERROR(__xludf.DUMMYFUNCTION("""COMPUTED_VALUE"""),"reply")</f>
        <v>reply</v>
      </c>
      <c r="I1003" s="2" t="str">
        <f>IFERROR(__xludf.DUMMYFUNCTION("""COMPUTED_VALUE"""),"https://www.facebook.com/rapplerdotcom/photos/a.317154781638645/5596022273751843/")</f>
        <v>https://www.facebook.com/rapplerdotcom/photos/a.317154781638645/5596022273751843/</v>
      </c>
      <c r="J1003" s="1" t="str">
        <f>IFERROR(__xludf.DUMMYFUNCTION("""COMPUTED_VALUE"""),"2022-07-04T15:39:36.623Z")</f>
        <v>2022-07-04T15:39:36.623Z</v>
      </c>
      <c r="K1003" s="1"/>
    </row>
    <row r="1004">
      <c r="A1004" s="2" t="str">
        <f>IFERROR(__xludf.DUMMYFUNCTION("""COMPUTED_VALUE"""),"https://www.facebook.com/profile.php?id=100077324863738")</f>
        <v>https://www.facebook.com/profile.php?id=100077324863738</v>
      </c>
      <c r="B1004" s="1" t="str">
        <f>IFERROR(__xludf.DUMMYFUNCTION("""COMPUTED_VALUE"""),"Sarah T Ugsa")</f>
        <v>Sarah T Ugsa</v>
      </c>
      <c r="C1004" s="1" t="str">
        <f>IFERROR(__xludf.DUMMYFUNCTION("""COMPUTED_VALUE"""),"Sarah")</f>
        <v>Sarah</v>
      </c>
      <c r="D1004" s="1" t="str">
        <f>IFERROR(__xludf.DUMMYFUNCTION("""COMPUTED_VALUE"""),"T Ugsa")</f>
        <v>T Ugsa</v>
      </c>
      <c r="E1004" s="1" t="str">
        <f>IFERROR(__xludf.DUMMYFUNCTION("""COMPUTED_VALUE"""),"Chie Mercader 👏")</f>
        <v>Chie Mercader 👏</v>
      </c>
      <c r="F1004" s="1"/>
      <c r="G1004" s="1" t="str">
        <f>IFERROR(__xludf.DUMMYFUNCTION("""COMPUTED_VALUE"""),"3 mos")</f>
        <v>3 mos</v>
      </c>
      <c r="H1004" s="1" t="str">
        <f>IFERROR(__xludf.DUMMYFUNCTION("""COMPUTED_VALUE"""),"reply")</f>
        <v>reply</v>
      </c>
      <c r="I1004" s="2" t="str">
        <f>IFERROR(__xludf.DUMMYFUNCTION("""COMPUTED_VALUE"""),"https://www.facebook.com/rapplerdotcom/photos/a.317154781638645/5596022273751843/")</f>
        <v>https://www.facebook.com/rapplerdotcom/photos/a.317154781638645/5596022273751843/</v>
      </c>
      <c r="J1004" s="1" t="str">
        <f>IFERROR(__xludf.DUMMYFUNCTION("""COMPUTED_VALUE"""),"2022-07-04T15:39:36.623Z")</f>
        <v>2022-07-04T15:39:36.623Z</v>
      </c>
      <c r="K1004" s="1"/>
    </row>
    <row r="1005">
      <c r="A1005" s="2" t="str">
        <f>IFERROR(__xludf.DUMMYFUNCTION("""COMPUTED_VALUE"""),"https://www.facebook.com/ronfrias")</f>
        <v>https://www.facebook.com/ronfrias</v>
      </c>
      <c r="B1005" s="1" t="str">
        <f>IFERROR(__xludf.DUMMYFUNCTION("""COMPUTED_VALUE"""),"Ronald Frias")</f>
        <v>Ronald Frias</v>
      </c>
      <c r="C1005" s="1" t="str">
        <f>IFERROR(__xludf.DUMMYFUNCTION("""COMPUTED_VALUE"""),"Ronald")</f>
        <v>Ronald</v>
      </c>
      <c r="D1005" s="1" t="str">
        <f>IFERROR(__xludf.DUMMYFUNCTION("""COMPUTED_VALUE"""),"Frias")</f>
        <v>Frias</v>
      </c>
      <c r="E1005" s="1" t="str">
        <f>IFERROR(__xludf.DUMMYFUNCTION("""COMPUTED_VALUE"""),"Solid #LeniKiko2022 para ang buong bansa panalo Join us #IpanaloNa10to :)")</f>
        <v>Solid #LeniKiko2022 para ang buong bansa panalo Join us #IpanaloNa10to :)</v>
      </c>
      <c r="F1005" s="1">
        <f>IFERROR(__xludf.DUMMYFUNCTION("""COMPUTED_VALUE"""),2.0)</f>
        <v>2</v>
      </c>
      <c r="G1005" s="1" t="str">
        <f>IFERROR(__xludf.DUMMYFUNCTION("""COMPUTED_VALUE"""),"3 mos")</f>
        <v>3 mos</v>
      </c>
      <c r="H1005" s="1" t="str">
        <f>IFERROR(__xludf.DUMMYFUNCTION("""COMPUTED_VALUE"""),"comment")</f>
        <v>comment</v>
      </c>
      <c r="I1005" s="2" t="str">
        <f>IFERROR(__xludf.DUMMYFUNCTION("""COMPUTED_VALUE"""),"https://www.facebook.com/rapplerdotcom/photos/a.317154781638645/5596022273751843/")</f>
        <v>https://www.facebook.com/rapplerdotcom/photos/a.317154781638645/5596022273751843/</v>
      </c>
      <c r="J1005" s="1" t="str">
        <f>IFERROR(__xludf.DUMMYFUNCTION("""COMPUTED_VALUE"""),"2022-07-04T15:39:36.623Z")</f>
        <v>2022-07-04T15:39:36.623Z</v>
      </c>
      <c r="K1005" s="1"/>
    </row>
    <row r="1006">
      <c r="A1006" s="2" t="str">
        <f>IFERROR(__xludf.DUMMYFUNCTION("""COMPUTED_VALUE"""),"https://www.facebook.com/sam.banaan.7")</f>
        <v>https://www.facebook.com/sam.banaan.7</v>
      </c>
      <c r="B1006" s="1" t="str">
        <f>IFERROR(__xludf.DUMMYFUNCTION("""COMPUTED_VALUE"""),"Sam Banaan")</f>
        <v>Sam Banaan</v>
      </c>
      <c r="C1006" s="1" t="str">
        <f>IFERROR(__xludf.DUMMYFUNCTION("""COMPUTED_VALUE"""),"Sam")</f>
        <v>Sam</v>
      </c>
      <c r="D1006" s="1" t="str">
        <f>IFERROR(__xludf.DUMMYFUNCTION("""COMPUTED_VALUE"""),"Banaan")</f>
        <v>Banaan</v>
      </c>
      <c r="E1006" s="1" t="str">
        <f>IFERROR(__xludf.DUMMYFUNCTION("""COMPUTED_VALUE"""),"What our country urgently needs at this time is a Crisis Manager President.   A tested and proven public servant who espouses transparency and good governance.  A truly results and service-oriented Leader.  The Phils deserves only the best.  Never experie"&amp;"nced by the ordinary Filipinos.  Mayor Isko - the man for these very challenging or impossible jobs in effecting real changes.  #BilisKilos  #SwitchToIsko.  God First Pilipinas!")</f>
        <v>What our country urgently needs at this time is a Crisis Manager President.   A tested and proven public servant who espouses transparency and good governance.  A truly results and service-oriented Leader.  The Phils deserves only the best.  Never experienced by the ordinary Filipinos.  Mayor Isko - the man for these very challenging or impossible jobs in effecting real changes.  #BilisKilos  #SwitchToIsko.  God First Pilipinas!</v>
      </c>
      <c r="F1006" s="1">
        <f>IFERROR(__xludf.DUMMYFUNCTION("""COMPUTED_VALUE"""),67.0)</f>
        <v>67</v>
      </c>
      <c r="G1006" s="1" t="str">
        <f>IFERROR(__xludf.DUMMYFUNCTION("""COMPUTED_VALUE"""),"3 mos")</f>
        <v>3 mos</v>
      </c>
      <c r="H1006" s="1" t="str">
        <f>IFERROR(__xludf.DUMMYFUNCTION("""COMPUTED_VALUE"""),"comment")</f>
        <v>comment</v>
      </c>
      <c r="I1006" s="2" t="str">
        <f>IFERROR(__xludf.DUMMYFUNCTION("""COMPUTED_VALUE"""),"https://www.facebook.com/rapplerdotcom/photos/a.317154781638645/5596022273751843/")</f>
        <v>https://www.facebook.com/rapplerdotcom/photos/a.317154781638645/5596022273751843/</v>
      </c>
      <c r="J1006" s="1" t="str">
        <f>IFERROR(__xludf.DUMMYFUNCTION("""COMPUTED_VALUE"""),"2022-07-04T15:39:36.623Z")</f>
        <v>2022-07-04T15:39:36.623Z</v>
      </c>
      <c r="K1006" s="1"/>
    </row>
    <row r="1007">
      <c r="A1007" s="2" t="str">
        <f>IFERROR(__xludf.DUMMYFUNCTION("""COMPUTED_VALUE"""),"https://www.facebook.com/gina.arjona")</f>
        <v>https://www.facebook.com/gina.arjona</v>
      </c>
      <c r="B1007" s="1" t="str">
        <f>IFERROR(__xludf.DUMMYFUNCTION("""COMPUTED_VALUE"""),"Gin Alyn")</f>
        <v>Gin Alyn</v>
      </c>
      <c r="C1007" s="1" t="str">
        <f>IFERROR(__xludf.DUMMYFUNCTION("""COMPUTED_VALUE"""),"Gin")</f>
        <v>Gin</v>
      </c>
      <c r="D1007" s="1" t="str">
        <f>IFERROR(__xludf.DUMMYFUNCTION("""COMPUTED_VALUE"""),"Alyn")</f>
        <v>Alyn</v>
      </c>
      <c r="E1007" s="1" t="str">
        <f>IFERROR(__xludf.DUMMYFUNCTION("""COMPUTED_VALUE"""),"Nope! The best man for the job is a woman. #LeniForPresident2022")</f>
        <v>Nope! The best man for the job is a woman. #LeniForPresident2022</v>
      </c>
      <c r="F1007" s="1">
        <f>IFERROR(__xludf.DUMMYFUNCTION("""COMPUTED_VALUE"""),27.0)</f>
        <v>27</v>
      </c>
      <c r="G1007" s="1" t="str">
        <f>IFERROR(__xludf.DUMMYFUNCTION("""COMPUTED_VALUE"""),"3 mos")</f>
        <v>3 mos</v>
      </c>
      <c r="H1007" s="1" t="str">
        <f>IFERROR(__xludf.DUMMYFUNCTION("""COMPUTED_VALUE"""),"reply")</f>
        <v>reply</v>
      </c>
      <c r="I1007" s="2" t="str">
        <f>IFERROR(__xludf.DUMMYFUNCTION("""COMPUTED_VALUE"""),"https://www.facebook.com/rapplerdotcom/photos/a.317154781638645/5596022273751843/")</f>
        <v>https://www.facebook.com/rapplerdotcom/photos/a.317154781638645/5596022273751843/</v>
      </c>
      <c r="J1007" s="1" t="str">
        <f>IFERROR(__xludf.DUMMYFUNCTION("""COMPUTED_VALUE"""),"2022-07-04T15:39:36.623Z")</f>
        <v>2022-07-04T15:39:36.623Z</v>
      </c>
      <c r="K1007" s="1"/>
    </row>
    <row r="1008">
      <c r="A1008" s="2" t="str">
        <f>IFERROR(__xludf.DUMMYFUNCTION("""COMPUTED_VALUE"""),"https://www.facebook.com/jico.trancuet")</f>
        <v>https://www.facebook.com/jico.trancuet</v>
      </c>
      <c r="B1008" s="1" t="str">
        <f>IFERROR(__xludf.DUMMYFUNCTION("""COMPUTED_VALUE"""),"Jico Trancuet")</f>
        <v>Jico Trancuet</v>
      </c>
      <c r="C1008" s="1" t="str">
        <f>IFERROR(__xludf.DUMMYFUNCTION("""COMPUTED_VALUE"""),"Jico")</f>
        <v>Jico</v>
      </c>
      <c r="D1008" s="1" t="str">
        <f>IFERROR(__xludf.DUMMYFUNCTION("""COMPUTED_VALUE"""),"Trancuet")</f>
        <v>Trancuet</v>
      </c>
      <c r="E1008" s="1" t="str">
        <f>IFERROR(__xludf.DUMMYFUNCTION("""COMPUTED_VALUE"""),"Sam Banaan Isko po naman naman naman...y o y o y o y??? Hehe")</f>
        <v>Sam Banaan Isko po naman naman naman...y o y o y o y??? Hehe</v>
      </c>
      <c r="F1008" s="1"/>
      <c r="G1008" s="1" t="str">
        <f>IFERROR(__xludf.DUMMYFUNCTION("""COMPUTED_VALUE"""),"3 mos")</f>
        <v>3 mos</v>
      </c>
      <c r="H1008" s="1" t="str">
        <f>IFERROR(__xludf.DUMMYFUNCTION("""COMPUTED_VALUE"""),"reply")</f>
        <v>reply</v>
      </c>
      <c r="I1008" s="2" t="str">
        <f>IFERROR(__xludf.DUMMYFUNCTION("""COMPUTED_VALUE"""),"https://www.facebook.com/rapplerdotcom/photos/a.317154781638645/5596022273751843/")</f>
        <v>https://www.facebook.com/rapplerdotcom/photos/a.317154781638645/5596022273751843/</v>
      </c>
      <c r="J1008" s="1" t="str">
        <f>IFERROR(__xludf.DUMMYFUNCTION("""COMPUTED_VALUE"""),"2022-07-04T15:39:36.623Z")</f>
        <v>2022-07-04T15:39:36.623Z</v>
      </c>
      <c r="K1008" s="1"/>
    </row>
    <row r="1009">
      <c r="A1009" s="2" t="str">
        <f>IFERROR(__xludf.DUMMYFUNCTION("""COMPUTED_VALUE"""),"https://www.facebook.com/nolie.mantaring")</f>
        <v>https://www.facebook.com/nolie.mantaring</v>
      </c>
      <c r="B1009" s="1" t="str">
        <f>IFERROR(__xludf.DUMMYFUNCTION("""COMPUTED_VALUE"""),"Nolie HM")</f>
        <v>Nolie HM</v>
      </c>
      <c r="C1009" s="1" t="str">
        <f>IFERROR(__xludf.DUMMYFUNCTION("""COMPUTED_VALUE"""),"Nolie")</f>
        <v>Nolie</v>
      </c>
      <c r="D1009" s="1" t="str">
        <f>IFERROR(__xludf.DUMMYFUNCTION("""COMPUTED_VALUE"""),"HM")</f>
        <v>HM</v>
      </c>
      <c r="E1009" s="1" t="str">
        <f>IFERROR(__xludf.DUMMYFUNCTION("""COMPUTED_VALUE"""),"Sam Banaan ...mapapahamak ang Pilipinas sa mga pinagsasabi mo ah...mag three-3 yrs pa lang as Mayor of Manila, proven and tested public servant na agad...lol..baka naman nakita mo lang ay paligid ng Manila City Hall...naku, napakaraming district ng City o"&amp;"f Manila..subukan mo galugarin - pagmasdan mo ang improvement after 3yrs of service ni Isko..Real changes ba kamo.. change scamming ulit? Lol😅🤣")</f>
        <v>Sam Banaan ...mapapahamak ang Pilipinas sa mga pinagsasabi mo ah...mag three-3 yrs pa lang as Mayor of Manila, proven and tested public servant na agad...lol..baka naman nakita mo lang ay paligid ng Manila City Hall...naku, napakaraming district ng City of Manila..subukan mo galugarin - pagmasdan mo ang improvement after 3yrs of service ni Isko..Real changes ba kamo.. change scamming ulit? Lol😅🤣</v>
      </c>
      <c r="F1009" s="1">
        <f>IFERROR(__xludf.DUMMYFUNCTION("""COMPUTED_VALUE"""),16.0)</f>
        <v>16</v>
      </c>
      <c r="G1009" s="1" t="str">
        <f>IFERROR(__xludf.DUMMYFUNCTION("""COMPUTED_VALUE"""),"3 mos")</f>
        <v>3 mos</v>
      </c>
      <c r="H1009" s="1" t="str">
        <f>IFERROR(__xludf.DUMMYFUNCTION("""COMPUTED_VALUE"""),"reply")</f>
        <v>reply</v>
      </c>
      <c r="I1009" s="2" t="str">
        <f>IFERROR(__xludf.DUMMYFUNCTION("""COMPUTED_VALUE"""),"https://www.facebook.com/rapplerdotcom/photos/a.317154781638645/5596022273751843/")</f>
        <v>https://www.facebook.com/rapplerdotcom/photos/a.317154781638645/5596022273751843/</v>
      </c>
      <c r="J1009" s="1" t="str">
        <f>IFERROR(__xludf.DUMMYFUNCTION("""COMPUTED_VALUE"""),"2022-07-04T15:39:36.623Z")</f>
        <v>2022-07-04T15:39:36.623Z</v>
      </c>
      <c r="K1009" s="1"/>
    </row>
    <row r="1010">
      <c r="A1010" s="2" t="str">
        <f>IFERROR(__xludf.DUMMYFUNCTION("""COMPUTED_VALUE"""),"https://www.facebook.com/lorna.felipe.1694")</f>
        <v>https://www.facebook.com/lorna.felipe.1694</v>
      </c>
      <c r="B1010" s="1" t="str">
        <f>IFERROR(__xludf.DUMMYFUNCTION("""COMPUTED_VALUE"""),"Lorna Felipe")</f>
        <v>Lorna Felipe</v>
      </c>
      <c r="C1010" s="1" t="str">
        <f>IFERROR(__xludf.DUMMYFUNCTION("""COMPUTED_VALUE"""),"Lorna")</f>
        <v>Lorna</v>
      </c>
      <c r="D1010" s="1" t="str">
        <f>IFERROR(__xludf.DUMMYFUNCTION("""COMPUTED_VALUE"""),"Felipe")</f>
        <v>Felipe</v>
      </c>
      <c r="E1010" s="1" t="str">
        <f>IFERROR(__xludf.DUMMYFUNCTION("""COMPUTED_VALUE"""),"Sam Banaan ..Selling Divisoria mall...at the midst of pandemic...😉")</f>
        <v>Sam Banaan ..Selling Divisoria mall...at the midst of pandemic...😉</v>
      </c>
      <c r="F1010" s="1"/>
      <c r="G1010" s="1" t="str">
        <f>IFERROR(__xludf.DUMMYFUNCTION("""COMPUTED_VALUE"""),"3 mos")</f>
        <v>3 mos</v>
      </c>
      <c r="H1010" s="1" t="str">
        <f>IFERROR(__xludf.DUMMYFUNCTION("""COMPUTED_VALUE"""),"reply")</f>
        <v>reply</v>
      </c>
      <c r="I1010" s="2" t="str">
        <f>IFERROR(__xludf.DUMMYFUNCTION("""COMPUTED_VALUE"""),"https://www.facebook.com/rapplerdotcom/photos/a.317154781638645/5596022273751843/")</f>
        <v>https://www.facebook.com/rapplerdotcom/photos/a.317154781638645/5596022273751843/</v>
      </c>
      <c r="J1010" s="1" t="str">
        <f>IFERROR(__xludf.DUMMYFUNCTION("""COMPUTED_VALUE"""),"2022-07-04T15:39:36.623Z")</f>
        <v>2022-07-04T15:39:36.623Z</v>
      </c>
      <c r="K1010" s="1"/>
    </row>
    <row r="1011">
      <c r="A1011" s="2" t="str">
        <f>IFERROR(__xludf.DUMMYFUNCTION("""COMPUTED_VALUE"""),"https://www.facebook.com/evelyn.olivares.7505")</f>
        <v>https://www.facebook.com/evelyn.olivares.7505</v>
      </c>
      <c r="B1011" s="1" t="str">
        <f>IFERROR(__xludf.DUMMYFUNCTION("""COMPUTED_VALUE"""),"Evelyn Torralba Olivares")</f>
        <v>Evelyn Torralba Olivares</v>
      </c>
      <c r="C1011" s="1" t="str">
        <f>IFERROR(__xludf.DUMMYFUNCTION("""COMPUTED_VALUE"""),"Evelyn")</f>
        <v>Evelyn</v>
      </c>
      <c r="D1011" s="1" t="str">
        <f>IFERROR(__xludf.DUMMYFUNCTION("""COMPUTED_VALUE"""),"Torralba Olivares")</f>
        <v>Torralba Olivares</v>
      </c>
      <c r="E1011" s="1" t="str">
        <f>IFERROR(__xludf.DUMMYFUNCTION("""COMPUTED_VALUE"""),"Sam Banaan agree with you po but I guess in the next presidential race. Kung baga sa prutas di pa siya ganoon kahinog.")</f>
        <v>Sam Banaan agree with you po but I guess in the next presidential race. Kung baga sa prutas di pa siya ganoon kahinog.</v>
      </c>
      <c r="F1011" s="1"/>
      <c r="G1011" s="1" t="str">
        <f>IFERROR(__xludf.DUMMYFUNCTION("""COMPUTED_VALUE"""),"3 mos")</f>
        <v>3 mos</v>
      </c>
      <c r="H1011" s="1" t="str">
        <f>IFERROR(__xludf.DUMMYFUNCTION("""COMPUTED_VALUE"""),"reply")</f>
        <v>reply</v>
      </c>
      <c r="I1011" s="2" t="str">
        <f>IFERROR(__xludf.DUMMYFUNCTION("""COMPUTED_VALUE"""),"https://www.facebook.com/rapplerdotcom/photos/a.317154781638645/5596022273751843/")</f>
        <v>https://www.facebook.com/rapplerdotcom/photos/a.317154781638645/5596022273751843/</v>
      </c>
      <c r="J1011" s="1" t="str">
        <f>IFERROR(__xludf.DUMMYFUNCTION("""COMPUTED_VALUE"""),"2022-07-04T15:39:36.623Z")</f>
        <v>2022-07-04T15:39:36.623Z</v>
      </c>
      <c r="K1011" s="1"/>
    </row>
    <row r="1012">
      <c r="A1012" s="2" t="str">
        <f>IFERROR(__xludf.DUMMYFUNCTION("""COMPUTED_VALUE"""),"https://www.facebook.com/aimhigh06")</f>
        <v>https://www.facebook.com/aimhigh06</v>
      </c>
      <c r="B1012" s="1" t="str">
        <f>IFERROR(__xludf.DUMMYFUNCTION("""COMPUTED_VALUE"""),"Wilmar Rocha Magtibay")</f>
        <v>Wilmar Rocha Magtibay</v>
      </c>
      <c r="C1012" s="1" t="str">
        <f>IFERROR(__xludf.DUMMYFUNCTION("""COMPUTED_VALUE"""),"Wilmar")</f>
        <v>Wilmar</v>
      </c>
      <c r="D1012" s="1" t="str">
        <f>IFERROR(__xludf.DUMMYFUNCTION("""COMPUTED_VALUE"""),"Rocha Magtibay")</f>
        <v>Rocha Magtibay</v>
      </c>
      <c r="E1012" s="1" t="str">
        <f>IFERROR(__xludf.DUMMYFUNCTION("""COMPUTED_VALUE"""),"Sam Banaan #LeniRobredo she’s the one your looking for🌷😇")</f>
        <v>Sam Banaan #LeniRobredo she’s the one your looking for🌷😇</v>
      </c>
      <c r="F1012" s="1"/>
      <c r="G1012" s="1" t="str">
        <f>IFERROR(__xludf.DUMMYFUNCTION("""COMPUTED_VALUE"""),"3 mos")</f>
        <v>3 mos</v>
      </c>
      <c r="H1012" s="1" t="str">
        <f>IFERROR(__xludf.DUMMYFUNCTION("""COMPUTED_VALUE"""),"reply")</f>
        <v>reply</v>
      </c>
      <c r="I1012" s="2" t="str">
        <f>IFERROR(__xludf.DUMMYFUNCTION("""COMPUTED_VALUE"""),"https://www.facebook.com/rapplerdotcom/photos/a.317154781638645/5596022273751843/")</f>
        <v>https://www.facebook.com/rapplerdotcom/photos/a.317154781638645/5596022273751843/</v>
      </c>
      <c r="J1012" s="1" t="str">
        <f>IFERROR(__xludf.DUMMYFUNCTION("""COMPUTED_VALUE"""),"2022-07-04T15:39:36.623Z")</f>
        <v>2022-07-04T15:39:36.623Z</v>
      </c>
      <c r="K1012" s="1"/>
    </row>
    <row r="1013">
      <c r="A1013" s="2" t="str">
        <f>IFERROR(__xludf.DUMMYFUNCTION("""COMPUTED_VALUE"""),"https://www.facebook.com/ninotchka.rosca")</f>
        <v>https://www.facebook.com/ninotchka.rosca</v>
      </c>
      <c r="B1013" s="1" t="str">
        <f>IFERROR(__xludf.DUMMYFUNCTION("""COMPUTED_VALUE"""),"Ninotchka Rosca")</f>
        <v>Ninotchka Rosca</v>
      </c>
      <c r="C1013" s="1" t="str">
        <f>IFERROR(__xludf.DUMMYFUNCTION("""COMPUTED_VALUE"""),"Ninotchka")</f>
        <v>Ninotchka</v>
      </c>
      <c r="D1013" s="1" t="str">
        <f>IFERROR(__xludf.DUMMYFUNCTION("""COMPUTED_VALUE"""),"Rosca")</f>
        <v>Rosca</v>
      </c>
      <c r="E1013" s="1" t="str">
        <f>IFERROR(__xludf.DUMMYFUNCTION("""COMPUTED_VALUE"""),"Jico Trancuet He sold Divisoria to a private company owned by a Chua.")</f>
        <v>Jico Trancuet He sold Divisoria to a private company owned by a Chua.</v>
      </c>
      <c r="F1013" s="1">
        <f>IFERROR(__xludf.DUMMYFUNCTION("""COMPUTED_VALUE"""),1.0)</f>
        <v>1</v>
      </c>
      <c r="G1013" s="1" t="str">
        <f>IFERROR(__xludf.DUMMYFUNCTION("""COMPUTED_VALUE"""),"3 mos")</f>
        <v>3 mos</v>
      </c>
      <c r="H1013" s="1" t="str">
        <f>IFERROR(__xludf.DUMMYFUNCTION("""COMPUTED_VALUE"""),"reply")</f>
        <v>reply</v>
      </c>
      <c r="I1013" s="2" t="str">
        <f>IFERROR(__xludf.DUMMYFUNCTION("""COMPUTED_VALUE"""),"https://www.facebook.com/rapplerdotcom/photos/a.317154781638645/5596022273751843/")</f>
        <v>https://www.facebook.com/rapplerdotcom/photos/a.317154781638645/5596022273751843/</v>
      </c>
      <c r="J1013" s="1" t="str">
        <f>IFERROR(__xludf.DUMMYFUNCTION("""COMPUTED_VALUE"""),"2022-07-04T15:39:36.623Z")</f>
        <v>2022-07-04T15:39:36.623Z</v>
      </c>
      <c r="K1013" s="1"/>
    </row>
    <row r="1014">
      <c r="A1014" s="2" t="str">
        <f>IFERROR(__xludf.DUMMYFUNCTION("""COMPUTED_VALUE"""),"https://www.facebook.com/ninotchka.rosca")</f>
        <v>https://www.facebook.com/ninotchka.rosca</v>
      </c>
      <c r="B1014" s="1" t="str">
        <f>IFERROR(__xludf.DUMMYFUNCTION("""COMPUTED_VALUE"""),"Ninotchka Rosca")</f>
        <v>Ninotchka Rosca</v>
      </c>
      <c r="C1014" s="1" t="str">
        <f>IFERROR(__xludf.DUMMYFUNCTION("""COMPUTED_VALUE"""),"Ninotchka")</f>
        <v>Ninotchka</v>
      </c>
      <c r="D1014" s="1" t="str">
        <f>IFERROR(__xludf.DUMMYFUNCTION("""COMPUTED_VALUE"""),"Rosca")</f>
        <v>Rosca</v>
      </c>
      <c r="E1014" s="1" t="str">
        <f>IFERROR(__xludf.DUMMYFUNCTION("""COMPUTED_VALUE"""),"Pls look into the sale of Divisoria.")</f>
        <v>Pls look into the sale of Divisoria.</v>
      </c>
      <c r="F1014" s="1">
        <f>IFERROR(__xludf.DUMMYFUNCTION("""COMPUTED_VALUE"""),6.0)</f>
        <v>6</v>
      </c>
      <c r="G1014" s="1" t="str">
        <f>IFERROR(__xludf.DUMMYFUNCTION("""COMPUTED_VALUE"""),"3 mos")</f>
        <v>3 mos</v>
      </c>
      <c r="H1014" s="1" t="str">
        <f>IFERROR(__xludf.DUMMYFUNCTION("""COMPUTED_VALUE"""),"reply")</f>
        <v>reply</v>
      </c>
      <c r="I1014" s="2" t="str">
        <f>IFERROR(__xludf.DUMMYFUNCTION("""COMPUTED_VALUE"""),"https://www.facebook.com/rapplerdotcom/photos/a.317154781638645/5596022273751843/")</f>
        <v>https://www.facebook.com/rapplerdotcom/photos/a.317154781638645/5596022273751843/</v>
      </c>
      <c r="J1014" s="1" t="str">
        <f>IFERROR(__xludf.DUMMYFUNCTION("""COMPUTED_VALUE"""),"2022-07-04T15:39:36.623Z")</f>
        <v>2022-07-04T15:39:36.623Z</v>
      </c>
      <c r="K1014" s="1"/>
    </row>
    <row r="1015">
      <c r="A1015" s="2" t="str">
        <f>IFERROR(__xludf.DUMMYFUNCTION("""COMPUTED_VALUE"""),"https://www.facebook.com/katrina.bay.18")</f>
        <v>https://www.facebook.com/katrina.bay.18</v>
      </c>
      <c r="B1015" s="1" t="str">
        <f>IFERROR(__xludf.DUMMYFUNCTION("""COMPUTED_VALUE"""),"AntrinaKen Bay")</f>
        <v>AntrinaKen Bay</v>
      </c>
      <c r="C1015" s="1" t="str">
        <f>IFERROR(__xludf.DUMMYFUNCTION("""COMPUTED_VALUE"""),"AntrinaKen")</f>
        <v>AntrinaKen</v>
      </c>
      <c r="D1015" s="1" t="str">
        <f>IFERROR(__xludf.DUMMYFUNCTION("""COMPUTED_VALUE"""),"Bay")</f>
        <v>Bay</v>
      </c>
      <c r="E1015" s="1" t="str">
        <f>IFERROR(__xludf.DUMMYFUNCTION("""COMPUTED_VALUE"""),"#akoayisko #TunayNaSolusyon  #bilisaksyon  ,muntik na din ako magdoubt sa knya about divi mall but uso nman searched")</f>
        <v>#akoayisko #TunayNaSolusyon  #bilisaksyon  ,muntik na din ako magdoubt sa knya about divi mall but uso nman searched</v>
      </c>
      <c r="F1015" s="1"/>
      <c r="G1015" s="1" t="str">
        <f>IFERROR(__xludf.DUMMYFUNCTION("""COMPUTED_VALUE"""),"3 mos")</f>
        <v>3 mos</v>
      </c>
      <c r="H1015" s="1" t="str">
        <f>IFERROR(__xludf.DUMMYFUNCTION("""COMPUTED_VALUE"""),"reply")</f>
        <v>reply</v>
      </c>
      <c r="I1015" s="2" t="str">
        <f>IFERROR(__xludf.DUMMYFUNCTION("""COMPUTED_VALUE"""),"https://www.facebook.com/rapplerdotcom/photos/a.317154781638645/5596022273751843/")</f>
        <v>https://www.facebook.com/rapplerdotcom/photos/a.317154781638645/5596022273751843/</v>
      </c>
      <c r="J1015" s="1" t="str">
        <f>IFERROR(__xludf.DUMMYFUNCTION("""COMPUTED_VALUE"""),"2022-07-04T15:39:36.623Z")</f>
        <v>2022-07-04T15:39:36.623Z</v>
      </c>
      <c r="K1015" s="1"/>
    </row>
    <row r="1016">
      <c r="A1016" s="2" t="str">
        <f>IFERROR(__xludf.DUMMYFUNCTION("""COMPUTED_VALUE"""),"https://www.facebook.com/rossanau")</f>
        <v>https://www.facebook.com/rossanau</v>
      </c>
      <c r="B1016" s="1" t="str">
        <f>IFERROR(__xludf.DUMMYFUNCTION("""COMPUTED_VALUE"""),"Rossana U. Corleone")</f>
        <v>Rossana U. Corleone</v>
      </c>
      <c r="C1016" s="1" t="str">
        <f>IFERROR(__xludf.DUMMYFUNCTION("""COMPUTED_VALUE"""),"Rossana")</f>
        <v>Rossana</v>
      </c>
      <c r="D1016" s="1" t="str">
        <f>IFERROR(__xludf.DUMMYFUNCTION("""COMPUTED_VALUE"""),"U. Corleone")</f>
        <v>U. Corleone</v>
      </c>
      <c r="E1016" s="1" t="str">
        <f>IFERROR(__xludf.DUMMYFUNCTION("""COMPUTED_VALUE"""),"Sam Banaan SHOO.")</f>
        <v>Sam Banaan SHOO.</v>
      </c>
      <c r="F1016" s="1"/>
      <c r="G1016" s="1" t="str">
        <f>IFERROR(__xludf.DUMMYFUNCTION("""COMPUTED_VALUE"""),"3 mos")</f>
        <v>3 mos</v>
      </c>
      <c r="H1016" s="1" t="str">
        <f>IFERROR(__xludf.DUMMYFUNCTION("""COMPUTED_VALUE"""),"reply")</f>
        <v>reply</v>
      </c>
      <c r="I1016" s="2" t="str">
        <f>IFERROR(__xludf.DUMMYFUNCTION("""COMPUTED_VALUE"""),"https://www.facebook.com/rapplerdotcom/photos/a.317154781638645/5596022273751843/")</f>
        <v>https://www.facebook.com/rapplerdotcom/photos/a.317154781638645/5596022273751843/</v>
      </c>
      <c r="J1016" s="1" t="str">
        <f>IFERROR(__xludf.DUMMYFUNCTION("""COMPUTED_VALUE"""),"2022-07-04T15:39:36.623Z")</f>
        <v>2022-07-04T15:39:36.623Z</v>
      </c>
      <c r="K1016" s="1"/>
    </row>
    <row r="1017">
      <c r="A1017" s="2" t="str">
        <f>IFERROR(__xludf.DUMMYFUNCTION("""COMPUTED_VALUE"""),"https://www.facebook.com/budsky.pabalinas")</f>
        <v>https://www.facebook.com/budsky.pabalinas</v>
      </c>
      <c r="B1017" s="1" t="str">
        <f>IFERROR(__xludf.DUMMYFUNCTION("""COMPUTED_VALUE"""),"Badong Pabalinas")</f>
        <v>Badong Pabalinas</v>
      </c>
      <c r="C1017" s="1" t="str">
        <f>IFERROR(__xludf.DUMMYFUNCTION("""COMPUTED_VALUE"""),"Badong")</f>
        <v>Badong</v>
      </c>
      <c r="D1017" s="1" t="str">
        <f>IFERROR(__xludf.DUMMYFUNCTION("""COMPUTED_VALUE"""),"Pabalinas")</f>
        <v>Pabalinas</v>
      </c>
      <c r="E1017" s="1" t="str">
        <f>IFERROR(__xludf.DUMMYFUNCTION("""COMPUTED_VALUE"""),"Sam Banaan imposibleng manalo isko sayang buto nyo..")</f>
        <v>Sam Banaan imposibleng manalo isko sayang buto nyo..</v>
      </c>
      <c r="F1017" s="1"/>
      <c r="G1017" s="1" t="str">
        <f>IFERROR(__xludf.DUMMYFUNCTION("""COMPUTED_VALUE"""),"3 mos")</f>
        <v>3 mos</v>
      </c>
      <c r="H1017" s="1" t="str">
        <f>IFERROR(__xludf.DUMMYFUNCTION("""COMPUTED_VALUE"""),"reply")</f>
        <v>reply</v>
      </c>
      <c r="I1017" s="2" t="str">
        <f>IFERROR(__xludf.DUMMYFUNCTION("""COMPUTED_VALUE"""),"https://www.facebook.com/rapplerdotcom/photos/a.317154781638645/5596022273751843/")</f>
        <v>https://www.facebook.com/rapplerdotcom/photos/a.317154781638645/5596022273751843/</v>
      </c>
      <c r="J1017" s="1" t="str">
        <f>IFERROR(__xludf.DUMMYFUNCTION("""COMPUTED_VALUE"""),"2022-07-04T15:39:36.623Z")</f>
        <v>2022-07-04T15:39:36.623Z</v>
      </c>
      <c r="K1017" s="1"/>
    </row>
    <row r="1018">
      <c r="A1018" s="2" t="str">
        <f>IFERROR(__xludf.DUMMYFUNCTION("""COMPUTED_VALUE"""),"https://www.facebook.com/brixaaron.monton.18")</f>
        <v>https://www.facebook.com/brixaaron.monton.18</v>
      </c>
      <c r="B1018" s="1" t="str">
        <f>IFERROR(__xludf.DUMMYFUNCTION("""COMPUTED_VALUE"""),"Craig Boone")</f>
        <v>Craig Boone</v>
      </c>
      <c r="C1018" s="1" t="str">
        <f>IFERROR(__xludf.DUMMYFUNCTION("""COMPUTED_VALUE"""),"Craig")</f>
        <v>Craig</v>
      </c>
      <c r="D1018" s="1" t="str">
        <f>IFERROR(__xludf.DUMMYFUNCTION("""COMPUTED_VALUE"""),"Boone")</f>
        <v>Boone</v>
      </c>
      <c r="E1018" s="1" t="str">
        <f>IFERROR(__xludf.DUMMYFUNCTION("""COMPUTED_VALUE"""),"Sam Banaan switch to balimbing")</f>
        <v>Sam Banaan switch to balimbing</v>
      </c>
      <c r="F1018" s="1"/>
      <c r="G1018" s="1" t="str">
        <f>IFERROR(__xludf.DUMMYFUNCTION("""COMPUTED_VALUE"""),"3 mos")</f>
        <v>3 mos</v>
      </c>
      <c r="H1018" s="1" t="str">
        <f>IFERROR(__xludf.DUMMYFUNCTION("""COMPUTED_VALUE"""),"reply")</f>
        <v>reply</v>
      </c>
      <c r="I1018" s="2" t="str">
        <f>IFERROR(__xludf.DUMMYFUNCTION("""COMPUTED_VALUE"""),"https://www.facebook.com/rapplerdotcom/photos/a.317154781638645/5596022273751843/")</f>
        <v>https://www.facebook.com/rapplerdotcom/photos/a.317154781638645/5596022273751843/</v>
      </c>
      <c r="J1018" s="1" t="str">
        <f>IFERROR(__xludf.DUMMYFUNCTION("""COMPUTED_VALUE"""),"2022-07-04T15:39:36.623Z")</f>
        <v>2022-07-04T15:39:36.623Z</v>
      </c>
      <c r="K1018" s="1"/>
    </row>
    <row r="1019">
      <c r="A1019" s="2" t="str">
        <f>IFERROR(__xludf.DUMMYFUNCTION("""COMPUTED_VALUE"""),"https://www.facebook.com/brixaaron.monton.18")</f>
        <v>https://www.facebook.com/brixaaron.monton.18</v>
      </c>
      <c r="B1019" s="1" t="str">
        <f>IFERROR(__xludf.DUMMYFUNCTION("""COMPUTED_VALUE"""),"Craig Boone")</f>
        <v>Craig Boone</v>
      </c>
      <c r="C1019" s="1" t="str">
        <f>IFERROR(__xludf.DUMMYFUNCTION("""COMPUTED_VALUE"""),"Craig")</f>
        <v>Craig</v>
      </c>
      <c r="D1019" s="1" t="str">
        <f>IFERROR(__xludf.DUMMYFUNCTION("""COMPUTED_VALUE"""),"Boone")</f>
        <v>Boone</v>
      </c>
      <c r="E1019" s="1" t="str">
        <f>IFERROR(__xludf.DUMMYFUNCTION("""COMPUTED_VALUE"""),"My president and vice president ❤️❤️")</f>
        <v>My president and vice president ❤️❤️</v>
      </c>
      <c r="F1019" s="1">
        <f>IFERROR(__xludf.DUMMYFUNCTION("""COMPUTED_VALUE"""),2.0)</f>
        <v>2</v>
      </c>
      <c r="G1019" s="1" t="str">
        <f>IFERROR(__xludf.DUMMYFUNCTION("""COMPUTED_VALUE"""),"3 mos")</f>
        <v>3 mos</v>
      </c>
      <c r="H1019" s="1" t="str">
        <f>IFERROR(__xludf.DUMMYFUNCTION("""COMPUTED_VALUE"""),"reply")</f>
        <v>reply</v>
      </c>
      <c r="I1019" s="2" t="str">
        <f>IFERROR(__xludf.DUMMYFUNCTION("""COMPUTED_VALUE"""),"https://www.facebook.com/rapplerdotcom/photos/a.317154781638645/5596022273751843/")</f>
        <v>https://www.facebook.com/rapplerdotcom/photos/a.317154781638645/5596022273751843/</v>
      </c>
      <c r="J1019" s="1" t="str">
        <f>IFERROR(__xludf.DUMMYFUNCTION("""COMPUTED_VALUE"""),"2022-07-04T15:39:36.623Z")</f>
        <v>2022-07-04T15:39:36.623Z</v>
      </c>
      <c r="K1019" s="1"/>
    </row>
    <row r="1020">
      <c r="A1020" s="2" t="str">
        <f>IFERROR(__xludf.DUMMYFUNCTION("""COMPUTED_VALUE"""),"https://www.facebook.com/profile.php?id=100064286552498")</f>
        <v>https://www.facebook.com/profile.php?id=100064286552498</v>
      </c>
      <c r="B1020" s="1" t="str">
        <f>IFERROR(__xludf.DUMMYFUNCTION("""COMPUTED_VALUE"""),"Misha Jones")</f>
        <v>Misha Jones</v>
      </c>
      <c r="C1020" s="1" t="str">
        <f>IFERROR(__xludf.DUMMYFUNCTION("""COMPUTED_VALUE"""),"Misha")</f>
        <v>Misha</v>
      </c>
      <c r="D1020" s="1" t="str">
        <f>IFERROR(__xludf.DUMMYFUNCTION("""COMPUTED_VALUE"""),"Jones")</f>
        <v>Jones</v>
      </c>
      <c r="E1020" s="1" t="str">
        <f>IFERROR(__xludf.DUMMYFUNCTION("""COMPUTED_VALUE"""),"Sam Banaan search muna mga anomalya sa admin nya. Yung pagbenta ng divisoria mall. 15B utang, plunder case dahil sa ghost employee nuong v mayor pa sya.")</f>
        <v>Sam Banaan search muna mga anomalya sa admin nya. Yung pagbenta ng divisoria mall. 15B utang, plunder case dahil sa ghost employee nuong v mayor pa sya.</v>
      </c>
      <c r="F1020" s="1">
        <f>IFERROR(__xludf.DUMMYFUNCTION("""COMPUTED_VALUE"""),4.0)</f>
        <v>4</v>
      </c>
      <c r="G1020" s="1" t="str">
        <f>IFERROR(__xludf.DUMMYFUNCTION("""COMPUTED_VALUE"""),"3 mos")</f>
        <v>3 mos</v>
      </c>
      <c r="H1020" s="1" t="str">
        <f>IFERROR(__xludf.DUMMYFUNCTION("""COMPUTED_VALUE"""),"reply")</f>
        <v>reply</v>
      </c>
      <c r="I1020" s="2" t="str">
        <f>IFERROR(__xludf.DUMMYFUNCTION("""COMPUTED_VALUE"""),"https://www.facebook.com/rapplerdotcom/photos/a.317154781638645/5596022273751843/")</f>
        <v>https://www.facebook.com/rapplerdotcom/photos/a.317154781638645/5596022273751843/</v>
      </c>
      <c r="J1020" s="1" t="str">
        <f>IFERROR(__xludf.DUMMYFUNCTION("""COMPUTED_VALUE"""),"2022-07-04T15:39:36.623Z")</f>
        <v>2022-07-04T15:39:36.623Z</v>
      </c>
      <c r="K1020" s="1"/>
    </row>
    <row r="1021">
      <c r="A1021" s="2" t="str">
        <f>IFERROR(__xludf.DUMMYFUNCTION("""COMPUTED_VALUE"""),"https://www.facebook.com/susan.vitug.9480")</f>
        <v>https://www.facebook.com/susan.vitug.9480</v>
      </c>
      <c r="B1021" s="1" t="str">
        <f>IFERROR(__xludf.DUMMYFUNCTION("""COMPUTED_VALUE"""),"Susan Vitug")</f>
        <v>Susan Vitug</v>
      </c>
      <c r="C1021" s="1" t="str">
        <f>IFERROR(__xludf.DUMMYFUNCTION("""COMPUTED_VALUE"""),"Susan")</f>
        <v>Susan</v>
      </c>
      <c r="D1021" s="1" t="str">
        <f>IFERROR(__xludf.DUMMYFUNCTION("""COMPUTED_VALUE"""),"Vitug")</f>
        <v>Vitug</v>
      </c>
      <c r="E1021" s="1" t="str">
        <f>IFERROR(__xludf.DUMMYFUNCTION("""COMPUTED_VALUE"""),"Sam Banaan Saan napunta ang pinagbentahan sa Divisoria Mall na 1.5 billion pesos?Hindi pa sinagot ni Yorme yan..")</f>
        <v>Sam Banaan Saan napunta ang pinagbentahan sa Divisoria Mall na 1.5 billion pesos?Hindi pa sinagot ni Yorme yan..</v>
      </c>
      <c r="F1021" s="1"/>
      <c r="G1021" s="1" t="str">
        <f>IFERROR(__xludf.DUMMYFUNCTION("""COMPUTED_VALUE"""),"3 mos")</f>
        <v>3 mos</v>
      </c>
      <c r="H1021" s="1" t="str">
        <f>IFERROR(__xludf.DUMMYFUNCTION("""COMPUTED_VALUE"""),"reply")</f>
        <v>reply</v>
      </c>
      <c r="I1021" s="2" t="str">
        <f>IFERROR(__xludf.DUMMYFUNCTION("""COMPUTED_VALUE"""),"https://www.facebook.com/rapplerdotcom/photos/a.317154781638645/5596022273751843/")</f>
        <v>https://www.facebook.com/rapplerdotcom/photos/a.317154781638645/5596022273751843/</v>
      </c>
      <c r="J1021" s="1" t="str">
        <f>IFERROR(__xludf.DUMMYFUNCTION("""COMPUTED_VALUE"""),"2022-07-04T15:39:36.623Z")</f>
        <v>2022-07-04T15:39:36.623Z</v>
      </c>
      <c r="K1021" s="1"/>
    </row>
    <row r="1022">
      <c r="A1022" s="2" t="str">
        <f>IFERROR(__xludf.DUMMYFUNCTION("""COMPUTED_VALUE"""),"https://www.facebook.com/sam.banaan.7")</f>
        <v>https://www.facebook.com/sam.banaan.7</v>
      </c>
      <c r="B1022" s="1" t="str">
        <f>IFERROR(__xludf.DUMMYFUNCTION("""COMPUTED_VALUE"""),"Sam Banaan")</f>
        <v>Sam Banaan</v>
      </c>
      <c r="C1022" s="1" t="str">
        <f>IFERROR(__xludf.DUMMYFUNCTION("""COMPUTED_VALUE"""),"Sam")</f>
        <v>Sam</v>
      </c>
      <c r="D1022" s="1" t="str">
        <f>IFERROR(__xludf.DUMMYFUNCTION("""COMPUTED_VALUE"""),"Banaan")</f>
        <v>Banaan</v>
      </c>
      <c r="E1022" s="1" t="str">
        <f>IFERROR(__xludf.DUMMYFUNCTION("""COMPUTED_VALUE"""),"Ninotchka Rosca Here's the link to answer all questions re Divisoria sale.  Just the truth with RESIBO.  To enlighten all our confused, misled and misguided kababayans.  Peace to all!  https://youtu.be/SEnbG_-djOA")</f>
        <v>Ninotchka Rosca Here's the link to answer all questions re Divisoria sale.  Just the truth with RESIBO.  To enlighten all our confused, misled and misguided kababayans.  Peace to all!  https://youtu.be/SEnbG_-djOA</v>
      </c>
      <c r="F1022" s="1"/>
      <c r="G1022" s="1" t="str">
        <f>IFERROR(__xludf.DUMMYFUNCTION("""COMPUTED_VALUE"""),"3 mos")</f>
        <v>3 mos</v>
      </c>
      <c r="H1022" s="1" t="str">
        <f>IFERROR(__xludf.DUMMYFUNCTION("""COMPUTED_VALUE"""),"reply")</f>
        <v>reply</v>
      </c>
      <c r="I1022" s="2" t="str">
        <f>IFERROR(__xludf.DUMMYFUNCTION("""COMPUTED_VALUE"""),"https://www.facebook.com/rapplerdotcom/photos/a.317154781638645/5596022273751843/")</f>
        <v>https://www.facebook.com/rapplerdotcom/photos/a.317154781638645/5596022273751843/</v>
      </c>
      <c r="J1022" s="1" t="str">
        <f>IFERROR(__xludf.DUMMYFUNCTION("""COMPUTED_VALUE"""),"2022-07-04T15:39:36.623Z")</f>
        <v>2022-07-04T15:39:36.623Z</v>
      </c>
      <c r="K1022" s="1"/>
    </row>
    <row r="1023">
      <c r="A1023" s="2" t="str">
        <f>IFERROR(__xludf.DUMMYFUNCTION("""COMPUTED_VALUE"""),"https://www.facebook.com/henry.so09")</f>
        <v>https://www.facebook.com/henry.so09</v>
      </c>
      <c r="B1023" s="1" t="str">
        <f>IFERROR(__xludf.DUMMYFUNCTION("""COMPUTED_VALUE"""),"Henry So")</f>
        <v>Henry So</v>
      </c>
      <c r="C1023" s="1" t="str">
        <f>IFERROR(__xludf.DUMMYFUNCTION("""COMPUTED_VALUE"""),"Henry")</f>
        <v>Henry</v>
      </c>
      <c r="D1023" s="1" t="str">
        <f>IFERROR(__xludf.DUMMYFUNCTION("""COMPUTED_VALUE"""),"So")</f>
        <v>So</v>
      </c>
      <c r="E1023" s="1" t="str">
        <f>IFERROR(__xludf.DUMMYFUNCTION("""COMPUTED_VALUE"""),"Sam Banaan not good enough.")</f>
        <v>Sam Banaan not good enough.</v>
      </c>
      <c r="F1023" s="1"/>
      <c r="G1023" s="1" t="str">
        <f>IFERROR(__xludf.DUMMYFUNCTION("""COMPUTED_VALUE"""),"3 mos")</f>
        <v>3 mos</v>
      </c>
      <c r="H1023" s="1" t="str">
        <f>IFERROR(__xludf.DUMMYFUNCTION("""COMPUTED_VALUE"""),"reply")</f>
        <v>reply</v>
      </c>
      <c r="I1023" s="2" t="str">
        <f>IFERROR(__xludf.DUMMYFUNCTION("""COMPUTED_VALUE"""),"https://www.facebook.com/rapplerdotcom/photos/a.317154781638645/5596022273751843/")</f>
        <v>https://www.facebook.com/rapplerdotcom/photos/a.317154781638645/5596022273751843/</v>
      </c>
      <c r="J1023" s="1" t="str">
        <f>IFERROR(__xludf.DUMMYFUNCTION("""COMPUTED_VALUE"""),"2022-07-04T15:39:36.623Z")</f>
        <v>2022-07-04T15:39:36.623Z</v>
      </c>
      <c r="K1023" s="1"/>
    </row>
    <row r="1024">
      <c r="A1024" s="2" t="str">
        <f>IFERROR(__xludf.DUMMYFUNCTION("""COMPUTED_VALUE"""),"https://www.facebook.com/micdyguevarra")</f>
        <v>https://www.facebook.com/micdyguevarra</v>
      </c>
      <c r="B1024" s="1" t="str">
        <f>IFERROR(__xludf.DUMMYFUNCTION("""COMPUTED_VALUE"""),"Mic Guevarra")</f>
        <v>Mic Guevarra</v>
      </c>
      <c r="C1024" s="1" t="str">
        <f>IFERROR(__xludf.DUMMYFUNCTION("""COMPUTED_VALUE"""),"Mic")</f>
        <v>Mic</v>
      </c>
      <c r="D1024" s="1" t="str">
        <f>IFERROR(__xludf.DUMMYFUNCTION("""COMPUTED_VALUE"""),"Guevarra")</f>
        <v>Guevarra</v>
      </c>
      <c r="E1024" s="1" t="str">
        <f>IFERROR(__xludf.DUMMYFUNCTION("""COMPUTED_VALUE"""),"THE PEOPLE'S CAMPAIGN IS UNSTOPPABLE!🇵🇭  Sama-sama po tayong aangat sa Gobyernong Tapat.  No one gets left behind.💗  it is indeed high time to choose decent, honest and genuine public servants!🇵🇭  Tumitindig para sa mga Bata Para sa Kinabukasan Para "&amp;"sa Katotohanan Para sa Bayan.  #KulayRosasAngBukas  #GobyernongTapatAngatBuhayLahat #LetLeniKikoLead2022 #TaraNaIpanaloNatinTo")</f>
        <v>THE PEOPLE'S CAMPAIGN IS UNSTOPPABLE!🇵🇭  Sama-sama po tayong aangat sa Gobyernong Tapat.  No one gets left behind.💗  it is indeed high time to choose decent, honest and genuine public servants!🇵🇭  Tumitindig para sa mga Bata Para sa Kinabukasan Para sa Katotohanan Para sa Bayan.  #KulayRosasAngBukas  #GobyernongTapatAngatBuhayLahat #LetLeniKikoLead2022 #TaraNaIpanaloNatinTo</v>
      </c>
      <c r="F1024" s="1">
        <f>IFERROR(__xludf.DUMMYFUNCTION("""COMPUTED_VALUE"""),31.0)</f>
        <v>31</v>
      </c>
      <c r="G1024" s="1" t="str">
        <f>IFERROR(__xludf.DUMMYFUNCTION("""COMPUTED_VALUE"""),"3 mos")</f>
        <v>3 mos</v>
      </c>
      <c r="H1024" s="1" t="str">
        <f>IFERROR(__xludf.DUMMYFUNCTION("""COMPUTED_VALUE"""),"comment")</f>
        <v>comment</v>
      </c>
      <c r="I1024" s="2" t="str">
        <f>IFERROR(__xludf.DUMMYFUNCTION("""COMPUTED_VALUE"""),"https://www.facebook.com/rapplerdotcom/photos/a.317154781638645/5596022273751843/")</f>
        <v>https://www.facebook.com/rapplerdotcom/photos/a.317154781638645/5596022273751843/</v>
      </c>
      <c r="J1024" s="1" t="str">
        <f>IFERROR(__xludf.DUMMYFUNCTION("""COMPUTED_VALUE"""),"2022-07-04T15:39:36.623Z")</f>
        <v>2022-07-04T15:39:36.623Z</v>
      </c>
      <c r="K1024" s="1"/>
    </row>
    <row r="1025">
      <c r="A1025" s="2" t="str">
        <f>IFERROR(__xludf.DUMMYFUNCTION("""COMPUTED_VALUE"""),"https://www.facebook.com/arlene.buela.9")</f>
        <v>https://www.facebook.com/arlene.buela.9</v>
      </c>
      <c r="B1025" s="1" t="str">
        <f>IFERROR(__xludf.DUMMYFUNCTION("""COMPUTED_VALUE"""),"Arlene Buela")</f>
        <v>Arlene Buela</v>
      </c>
      <c r="C1025" s="1" t="str">
        <f>IFERROR(__xludf.DUMMYFUNCTION("""COMPUTED_VALUE"""),"Arlene")</f>
        <v>Arlene</v>
      </c>
      <c r="D1025" s="1" t="str">
        <f>IFERROR(__xludf.DUMMYFUNCTION("""COMPUTED_VALUE"""),"Buela")</f>
        <v>Buela</v>
      </c>
      <c r="E1025" s="1" t="str">
        <f>IFERROR(__xludf.DUMMYFUNCTION("""COMPUTED_VALUE"""),"Wow! Beautiful photo! Watched it online.. The drone shot was also amazing!! Congrats sa mga organizers, volunteers, artists  and the Kakampinks na grabe ang energy!! #CaMaNaVaRockNRosas #CaMaNaVaIsPink")</f>
        <v>Wow! Beautiful photo! Watched it online.. The drone shot was also amazing!! Congrats sa mga organizers, volunteers, artists  and the Kakampinks na grabe ang energy!! #CaMaNaVaRockNRosas #CaMaNaVaIsPink</v>
      </c>
      <c r="F1025" s="1">
        <f>IFERROR(__xludf.DUMMYFUNCTION("""COMPUTED_VALUE"""),45.0)</f>
        <v>45</v>
      </c>
      <c r="G1025" s="1" t="str">
        <f>IFERROR(__xludf.DUMMYFUNCTION("""COMPUTED_VALUE"""),"3 mos")</f>
        <v>3 mos</v>
      </c>
      <c r="H1025" s="1" t="str">
        <f>IFERROR(__xludf.DUMMYFUNCTION("""COMPUTED_VALUE"""),"comment")</f>
        <v>comment</v>
      </c>
      <c r="I1025" s="2" t="str">
        <f>IFERROR(__xludf.DUMMYFUNCTION("""COMPUTED_VALUE"""),"https://www.facebook.com/rapplerdotcom/photos/a.317154781638645/5596022273751843/")</f>
        <v>https://www.facebook.com/rapplerdotcom/photos/a.317154781638645/5596022273751843/</v>
      </c>
      <c r="J1025" s="1" t="str">
        <f>IFERROR(__xludf.DUMMYFUNCTION("""COMPUTED_VALUE"""),"2022-07-04T15:39:36.623Z")</f>
        <v>2022-07-04T15:39:36.623Z</v>
      </c>
      <c r="K1025" s="1"/>
    </row>
    <row r="1026">
      <c r="A1026" s="2" t="str">
        <f>IFERROR(__xludf.DUMMYFUNCTION("""COMPUTED_VALUE"""),"https://www.facebook.com/jamesruba777")</f>
        <v>https://www.facebook.com/jamesruba777</v>
      </c>
      <c r="B1026" s="1" t="str">
        <f>IFERROR(__xludf.DUMMYFUNCTION("""COMPUTED_VALUE"""),"James Ruba")</f>
        <v>James Ruba</v>
      </c>
      <c r="C1026" s="1" t="str">
        <f>IFERROR(__xludf.DUMMYFUNCTION("""COMPUTED_VALUE"""),"James")</f>
        <v>James</v>
      </c>
      <c r="D1026" s="1" t="str">
        <f>IFERROR(__xludf.DUMMYFUNCTION("""COMPUTED_VALUE"""),"Ruba")</f>
        <v>Ruba</v>
      </c>
      <c r="E1026" s="1" t="str">
        <f>IFERROR(__xludf.DUMMYFUNCTION("""COMPUTED_VALUE"""),"Si baby Sunoo ko 😭")</f>
        <v>Si baby Sunoo ko 😭</v>
      </c>
      <c r="F1026" s="1"/>
      <c r="G1026" s="1" t="str">
        <f>IFERROR(__xludf.DUMMYFUNCTION("""COMPUTED_VALUE"""),"3 mos")</f>
        <v>3 mos</v>
      </c>
      <c r="H1026" s="1" t="str">
        <f>IFERROR(__xludf.DUMMYFUNCTION("""COMPUTED_VALUE"""),"reply")</f>
        <v>reply</v>
      </c>
      <c r="I1026" s="2" t="str">
        <f>IFERROR(__xludf.DUMMYFUNCTION("""COMPUTED_VALUE"""),"https://www.facebook.com/rapplerdotcom/photos/a.317154781638645/5596022273751843/")</f>
        <v>https://www.facebook.com/rapplerdotcom/photos/a.317154781638645/5596022273751843/</v>
      </c>
      <c r="J1026" s="1" t="str">
        <f>IFERROR(__xludf.DUMMYFUNCTION("""COMPUTED_VALUE"""),"2022-07-04T15:39:36.623Z")</f>
        <v>2022-07-04T15:39:36.623Z</v>
      </c>
      <c r="K1026" s="1"/>
    </row>
    <row r="1027">
      <c r="A1027" s="2" t="str">
        <f>IFERROR(__xludf.DUMMYFUNCTION("""COMPUTED_VALUE"""),"https://www.facebook.com/profile.php?id=100078772872933")</f>
        <v>https://www.facebook.com/profile.php?id=100078772872933</v>
      </c>
      <c r="B1027" s="1" t="str">
        <f>IFERROR(__xludf.DUMMYFUNCTION("""COMPUTED_VALUE"""),"Yvonne Yuzon")</f>
        <v>Yvonne Yuzon</v>
      </c>
      <c r="C1027" s="1" t="str">
        <f>IFERROR(__xludf.DUMMYFUNCTION("""COMPUTED_VALUE"""),"Yvonne")</f>
        <v>Yvonne</v>
      </c>
      <c r="D1027" s="1" t="str">
        <f>IFERROR(__xludf.DUMMYFUNCTION("""COMPUTED_VALUE"""),"Yuzon")</f>
        <v>Yuzon</v>
      </c>
      <c r="E1027" s="1" t="str">
        <f>IFERROR(__xludf.DUMMYFUNCTION("""COMPUTED_VALUE"""),"Arlene Buela #LeniKiko2022")</f>
        <v>Arlene Buela #LeniKiko2022</v>
      </c>
      <c r="F1027" s="1"/>
      <c r="G1027" s="1" t="str">
        <f>IFERROR(__xludf.DUMMYFUNCTION("""COMPUTED_VALUE"""),"3 mos")</f>
        <v>3 mos</v>
      </c>
      <c r="H1027" s="1" t="str">
        <f>IFERROR(__xludf.DUMMYFUNCTION("""COMPUTED_VALUE"""),"reply")</f>
        <v>reply</v>
      </c>
      <c r="I1027" s="2" t="str">
        <f>IFERROR(__xludf.DUMMYFUNCTION("""COMPUTED_VALUE"""),"https://www.facebook.com/rapplerdotcom/photos/a.317154781638645/5596022273751843/")</f>
        <v>https://www.facebook.com/rapplerdotcom/photos/a.317154781638645/5596022273751843/</v>
      </c>
      <c r="J1027" s="1" t="str">
        <f>IFERROR(__xludf.DUMMYFUNCTION("""COMPUTED_VALUE"""),"2022-07-04T15:39:36.624Z")</f>
        <v>2022-07-04T15:39:36.624Z</v>
      </c>
      <c r="K1027" s="1"/>
    </row>
    <row r="1028">
      <c r="A1028" s="2" t="str">
        <f>IFERROR(__xludf.DUMMYFUNCTION("""COMPUTED_VALUE"""),"https://www.facebook.com/ramil.a.mendoza.3")</f>
        <v>https://www.facebook.com/ramil.a.mendoza.3</v>
      </c>
      <c r="B1028" s="1" t="str">
        <f>IFERROR(__xludf.DUMMYFUNCTION("""COMPUTED_VALUE"""),"Ramil A. Mendoza")</f>
        <v>Ramil A. Mendoza</v>
      </c>
      <c r="C1028" s="1" t="str">
        <f>IFERROR(__xludf.DUMMYFUNCTION("""COMPUTED_VALUE"""),"Ramil")</f>
        <v>Ramil</v>
      </c>
      <c r="D1028" s="1" t="str">
        <f>IFERROR(__xludf.DUMMYFUNCTION("""COMPUTED_VALUE"""),"A. Mendoza")</f>
        <v>A. Mendoza</v>
      </c>
      <c r="E1028" s="1" t="str">
        <f>IFERROR(__xludf.DUMMYFUNCTION("""COMPUTED_VALUE"""),"Ang galing ng volunteers ng CAMANAVA! Congratulations!")</f>
        <v>Ang galing ng volunteers ng CAMANAVA! Congratulations!</v>
      </c>
      <c r="F1028" s="1">
        <f>IFERROR(__xludf.DUMMYFUNCTION("""COMPUTED_VALUE"""),5.0)</f>
        <v>5</v>
      </c>
      <c r="G1028" s="1" t="str">
        <f>IFERROR(__xludf.DUMMYFUNCTION("""COMPUTED_VALUE"""),"3 mos")</f>
        <v>3 mos</v>
      </c>
      <c r="H1028" s="1" t="str">
        <f>IFERROR(__xludf.DUMMYFUNCTION("""COMPUTED_VALUE"""),"comment")</f>
        <v>comment</v>
      </c>
      <c r="I1028" s="2" t="str">
        <f>IFERROR(__xludf.DUMMYFUNCTION("""COMPUTED_VALUE"""),"https://www.facebook.com/rapplerdotcom/photos/a.317154781638645/5596022273751843/")</f>
        <v>https://www.facebook.com/rapplerdotcom/photos/a.317154781638645/5596022273751843/</v>
      </c>
      <c r="J1028" s="1" t="str">
        <f>IFERROR(__xludf.DUMMYFUNCTION("""COMPUTED_VALUE"""),"2022-07-04T15:39:36.624Z")</f>
        <v>2022-07-04T15:39:36.624Z</v>
      </c>
      <c r="K1028" s="1"/>
    </row>
    <row r="1029">
      <c r="A1029" s="2" t="str">
        <f>IFERROR(__xludf.DUMMYFUNCTION("""COMPUTED_VALUE"""),"https://www.facebook.com/ventura.mariejane")</f>
        <v>https://www.facebook.com/ventura.mariejane</v>
      </c>
      <c r="B1029" s="1" t="str">
        <f>IFERROR(__xludf.DUMMYFUNCTION("""COMPUTED_VALUE"""),"Jane Maltu Ventura")</f>
        <v>Jane Maltu Ventura</v>
      </c>
      <c r="C1029" s="1" t="str">
        <f>IFERROR(__xludf.DUMMYFUNCTION("""COMPUTED_VALUE"""),"Jane")</f>
        <v>Jane</v>
      </c>
      <c r="D1029" s="1" t="str">
        <f>IFERROR(__xludf.DUMMYFUNCTION("""COMPUTED_VALUE"""),"Maltu Ventura")</f>
        <v>Maltu Ventura</v>
      </c>
      <c r="E1029" s="1" t="str">
        <f>IFERROR(__xludf.DUMMYFUNCTION("""COMPUTED_VALUE"""),"For better Philippines  The best Man for the job is a Woman 👠👠 #IpanaloNa10T #LeniKiko2022 #10RobredoForPresident  #7KikoPangilinanVicePresident  #TrillanesForSenator2022  #LeilaDeLima2022  #RisaHontiveros2022  #SonnyMatula2022  #AlexLacson2022  #ChelDi"&amp;"oknoSaSenado  #DickGordon #NeriComenares #AngatBuhayLahat #KulayRosasAngBukas  #GobyernongTapatAngatBuhayLahat  #HelloPagkainGoodbyeGutom #CaMaNaVaRockNRosas  #CamanaIsPink")</f>
        <v>For better Philippines  The best Man for the job is a Woman 👠👠 #IpanaloNa10T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 #CaMaNaVaRockNRosas  #CamanaIsPink</v>
      </c>
      <c r="F1029" s="1">
        <f>IFERROR(__xludf.DUMMYFUNCTION("""COMPUTED_VALUE"""),1.0)</f>
        <v>1</v>
      </c>
      <c r="G1029" s="1" t="str">
        <f>IFERROR(__xludf.DUMMYFUNCTION("""COMPUTED_VALUE"""),"3 mos")</f>
        <v>3 mos</v>
      </c>
      <c r="H1029" s="1" t="str">
        <f>IFERROR(__xludf.DUMMYFUNCTION("""COMPUTED_VALUE"""),"comment")</f>
        <v>comment</v>
      </c>
      <c r="I1029" s="2" t="str">
        <f>IFERROR(__xludf.DUMMYFUNCTION("""COMPUTED_VALUE"""),"https://www.facebook.com/rapplerdotcom/photos/a.317154781638645/5596022273751843/")</f>
        <v>https://www.facebook.com/rapplerdotcom/photos/a.317154781638645/5596022273751843/</v>
      </c>
      <c r="J1029" s="1" t="str">
        <f>IFERROR(__xludf.DUMMYFUNCTION("""COMPUTED_VALUE"""),"2022-07-04T15:39:36.624Z")</f>
        <v>2022-07-04T15:39:36.624Z</v>
      </c>
      <c r="K1029" s="1"/>
    </row>
    <row r="1030">
      <c r="A1030" s="2" t="str">
        <f>IFERROR(__xludf.DUMMYFUNCTION("""COMPUTED_VALUE"""),"https://www.facebook.com/winet.bautista")</f>
        <v>https://www.facebook.com/winet.bautista</v>
      </c>
      <c r="B1030" s="1" t="str">
        <f>IFERROR(__xludf.DUMMYFUNCTION("""COMPUTED_VALUE"""),"Winet Bautista")</f>
        <v>Winet Bautista</v>
      </c>
      <c r="C1030" s="1" t="str">
        <f>IFERROR(__xludf.DUMMYFUNCTION("""COMPUTED_VALUE"""),"Winet")</f>
        <v>Winet</v>
      </c>
      <c r="D1030" s="1" t="str">
        <f>IFERROR(__xludf.DUMMYFUNCTION("""COMPUTED_VALUE"""),"Bautista")</f>
        <v>Bautista</v>
      </c>
      <c r="E1030" s="1" t="str">
        <f>IFERROR(__xludf.DUMMYFUNCTION("""COMPUTED_VALUE"""),"Nakisama ang ating future President and Vice President sa earth hour!!!  #CAMANAVAisPink #CAMANAVARockAndRosas #IpanaloNa10To #LeniKiko2022 #AngatBuhayLahat")</f>
        <v>Nakisama ang ating future President and Vice President sa earth hour!!!  #CAMANAVAisPink #CAMANAVARockAndRosas #IpanaloNa10To #LeniKiko2022 #AngatBuhayLahat</v>
      </c>
      <c r="F1030" s="1">
        <f>IFERROR(__xludf.DUMMYFUNCTION("""COMPUTED_VALUE"""),4.0)</f>
        <v>4</v>
      </c>
      <c r="G1030" s="1" t="str">
        <f>IFERROR(__xludf.DUMMYFUNCTION("""COMPUTED_VALUE"""),"3 mos")</f>
        <v>3 mos</v>
      </c>
      <c r="H1030" s="1" t="str">
        <f>IFERROR(__xludf.DUMMYFUNCTION("""COMPUTED_VALUE"""),"comment")</f>
        <v>comment</v>
      </c>
      <c r="I1030" s="2" t="str">
        <f>IFERROR(__xludf.DUMMYFUNCTION("""COMPUTED_VALUE"""),"https://www.facebook.com/rapplerdotcom/photos/a.317154781638645/5596022273751843/")</f>
        <v>https://www.facebook.com/rapplerdotcom/photos/a.317154781638645/5596022273751843/</v>
      </c>
      <c r="J1030" s="1" t="str">
        <f>IFERROR(__xludf.DUMMYFUNCTION("""COMPUTED_VALUE"""),"2022-07-04T15:39:36.624Z")</f>
        <v>2022-07-04T15:39:36.624Z</v>
      </c>
      <c r="K1030" s="1"/>
    </row>
    <row r="1031">
      <c r="A1031" s="2" t="str">
        <f>IFERROR(__xludf.DUMMYFUNCTION("""COMPUTED_VALUE"""),"https://www.facebook.com/ditas.ravanilla")</f>
        <v>https://www.facebook.com/ditas.ravanilla</v>
      </c>
      <c r="B1031" s="1" t="str">
        <f>IFERROR(__xludf.DUMMYFUNCTION("""COMPUTED_VALUE"""),"Ditas Ravanilla")</f>
        <v>Ditas Ravanilla</v>
      </c>
      <c r="C1031" s="1" t="str">
        <f>IFERROR(__xludf.DUMMYFUNCTION("""COMPUTED_VALUE"""),"Ditas")</f>
        <v>Ditas</v>
      </c>
      <c r="D1031" s="1" t="str">
        <f>IFERROR(__xludf.DUMMYFUNCTION("""COMPUTED_VALUE"""),"Ravanilla")</f>
        <v>Ravanilla</v>
      </c>
      <c r="E1031" s="1" t="str">
        <f>IFERROR(__xludf.DUMMYFUNCTION("""COMPUTED_VALUE"""),"Sila ang mapagkaling ng sambayanang Pilipino at ng kalikasan! Tara na sa #GobyernongTapat kung saan #AngatBuhayLahat at #KulayRosasAngBukas. #IpanaloNa10To #LeniKikoAllTheWay ❤🌷❤🌷❤🌷")</f>
        <v>Sila ang mapagkaling ng sambayanang Pilipino at ng kalikasan! Tara na sa #GobyernongTapat kung saan #AngatBuhayLahat at #KulayRosasAngBukas. #IpanaloNa10To #LeniKikoAllTheWay ❤🌷❤🌷❤🌷</v>
      </c>
      <c r="F1031" s="1">
        <f>IFERROR(__xludf.DUMMYFUNCTION("""COMPUTED_VALUE"""),3.0)</f>
        <v>3</v>
      </c>
      <c r="G1031" s="1" t="str">
        <f>IFERROR(__xludf.DUMMYFUNCTION("""COMPUTED_VALUE"""),"3 mos")</f>
        <v>3 mos</v>
      </c>
      <c r="H1031" s="1" t="str">
        <f>IFERROR(__xludf.DUMMYFUNCTION("""COMPUTED_VALUE"""),"comment")</f>
        <v>comment</v>
      </c>
      <c r="I1031" s="2" t="str">
        <f>IFERROR(__xludf.DUMMYFUNCTION("""COMPUTED_VALUE"""),"https://www.facebook.com/rapplerdotcom/photos/a.317154781638645/5596022273751843/")</f>
        <v>https://www.facebook.com/rapplerdotcom/photos/a.317154781638645/5596022273751843/</v>
      </c>
      <c r="J1031" s="1" t="str">
        <f>IFERROR(__xludf.DUMMYFUNCTION("""COMPUTED_VALUE"""),"2022-07-04T15:39:36.624Z")</f>
        <v>2022-07-04T15:39:36.624Z</v>
      </c>
      <c r="K1031" s="1"/>
    </row>
    <row r="1032">
      <c r="A1032" s="2" t="str">
        <f>IFERROR(__xludf.DUMMYFUNCTION("""COMPUTED_VALUE"""),"https://www.facebook.com/maria.dizon1")</f>
        <v>https://www.facebook.com/maria.dizon1</v>
      </c>
      <c r="B1032" s="1" t="str">
        <f>IFERROR(__xludf.DUMMYFUNCTION("""COMPUTED_VALUE"""),"Maria Dizon")</f>
        <v>Maria Dizon</v>
      </c>
      <c r="C1032" s="1" t="str">
        <f>IFERROR(__xludf.DUMMYFUNCTION("""COMPUTED_VALUE"""),"Maria")</f>
        <v>Maria</v>
      </c>
      <c r="D1032" s="1" t="str">
        <f>IFERROR(__xludf.DUMMYFUNCTION("""COMPUTED_VALUE"""),"Dizon")</f>
        <v>Dizon</v>
      </c>
      <c r="E1032" s="1" t="str">
        <f>IFERROR(__xludf.DUMMYFUNCTION("""COMPUTED_VALUE"""),"Love it!! Looks more than 21 k attendees, kasi meron pa sa kabila, sa St. Mary's.")</f>
        <v>Love it!! Looks more than 21 k attendees, kasi meron pa sa kabila, sa St. Mary's.</v>
      </c>
      <c r="F1032" s="1">
        <f>IFERROR(__xludf.DUMMYFUNCTION("""COMPUTED_VALUE"""),6.0)</f>
        <v>6</v>
      </c>
      <c r="G1032" s="1" t="str">
        <f>IFERROR(__xludf.DUMMYFUNCTION("""COMPUTED_VALUE"""),"3 mos")</f>
        <v>3 mos</v>
      </c>
      <c r="H1032" s="1" t="str">
        <f>IFERROR(__xludf.DUMMYFUNCTION("""COMPUTED_VALUE"""),"comment")</f>
        <v>comment</v>
      </c>
      <c r="I1032" s="2" t="str">
        <f>IFERROR(__xludf.DUMMYFUNCTION("""COMPUTED_VALUE"""),"https://www.facebook.com/rapplerdotcom/photos/a.317154781638645/5596022273751843/")</f>
        <v>https://www.facebook.com/rapplerdotcom/photos/a.317154781638645/5596022273751843/</v>
      </c>
      <c r="J1032" s="1" t="str">
        <f>IFERROR(__xludf.DUMMYFUNCTION("""COMPUTED_VALUE"""),"2022-07-04T15:39:36.624Z")</f>
        <v>2022-07-04T15:39:36.624Z</v>
      </c>
      <c r="K1032" s="1"/>
    </row>
    <row r="1033">
      <c r="A1033" s="2" t="str">
        <f>IFERROR(__xludf.DUMMYFUNCTION("""COMPUTED_VALUE"""),"https://www.facebook.com/yvad.onauo")</f>
        <v>https://www.facebook.com/yvad.onauo</v>
      </c>
      <c r="B1033" s="1" t="str">
        <f>IFERROR(__xludf.DUMMYFUNCTION("""COMPUTED_VALUE"""),"Yvad Onauo")</f>
        <v>Yvad Onauo</v>
      </c>
      <c r="C1033" s="1" t="str">
        <f>IFERROR(__xludf.DUMMYFUNCTION("""COMPUTED_VALUE"""),"Yvad")</f>
        <v>Yvad</v>
      </c>
      <c r="D1033" s="1" t="str">
        <f>IFERROR(__xludf.DUMMYFUNCTION("""COMPUTED_VALUE"""),"Onauo")</f>
        <v>Onauo</v>
      </c>
      <c r="E1033" s="1" t="str">
        <f>IFERROR(__xludf.DUMMYFUNCTION("""COMPUTED_VALUE"""),"Maria Dizon 50K to be exact")</f>
        <v>Maria Dizon 50K to be exact</v>
      </c>
      <c r="F1033" s="1"/>
      <c r="G1033" s="1" t="str">
        <f>IFERROR(__xludf.DUMMYFUNCTION("""COMPUTED_VALUE"""),"3 mos")</f>
        <v>3 mos</v>
      </c>
      <c r="H1033" s="1" t="str">
        <f>IFERROR(__xludf.DUMMYFUNCTION("""COMPUTED_VALUE"""),"reply")</f>
        <v>reply</v>
      </c>
      <c r="I1033" s="2" t="str">
        <f>IFERROR(__xludf.DUMMYFUNCTION("""COMPUTED_VALUE"""),"https://www.facebook.com/rapplerdotcom/photos/a.317154781638645/5596022273751843/")</f>
        <v>https://www.facebook.com/rapplerdotcom/photos/a.317154781638645/5596022273751843/</v>
      </c>
      <c r="J1033" s="1" t="str">
        <f>IFERROR(__xludf.DUMMYFUNCTION("""COMPUTED_VALUE"""),"2022-07-04T15:39:36.624Z")</f>
        <v>2022-07-04T15:39:36.624Z</v>
      </c>
      <c r="K1033" s="1"/>
    </row>
    <row r="1034">
      <c r="A1034" s="2" t="str">
        <f>IFERROR(__xludf.DUMMYFUNCTION("""COMPUTED_VALUE"""),"https://www.facebook.com/maria.dizon1")</f>
        <v>https://www.facebook.com/maria.dizon1</v>
      </c>
      <c r="B1034" s="1" t="str">
        <f>IFERROR(__xludf.DUMMYFUNCTION("""COMPUTED_VALUE"""),"Maria Dizon")</f>
        <v>Maria Dizon</v>
      </c>
      <c r="C1034" s="1" t="str">
        <f>IFERROR(__xludf.DUMMYFUNCTION("""COMPUTED_VALUE"""),"Maria")</f>
        <v>Maria</v>
      </c>
      <c r="D1034" s="1" t="str">
        <f>IFERROR(__xludf.DUMMYFUNCTION("""COMPUTED_VALUE"""),"Dizon")</f>
        <v>Dizon</v>
      </c>
      <c r="E1034" s="1" t="str">
        <f>IFERROR(__xludf.DUMMYFUNCTION("""COMPUTED_VALUE"""),"Yvad Onauo wow talaga, source?")</f>
        <v>Yvad Onauo wow talaga, source?</v>
      </c>
      <c r="F1034" s="1"/>
      <c r="G1034" s="1" t="str">
        <f>IFERROR(__xludf.DUMMYFUNCTION("""COMPUTED_VALUE"""),"3 mos")</f>
        <v>3 mos</v>
      </c>
      <c r="H1034" s="1" t="str">
        <f>IFERROR(__xludf.DUMMYFUNCTION("""COMPUTED_VALUE"""),"reply")</f>
        <v>reply</v>
      </c>
      <c r="I1034" s="2" t="str">
        <f>IFERROR(__xludf.DUMMYFUNCTION("""COMPUTED_VALUE"""),"https://www.facebook.com/rapplerdotcom/photos/a.317154781638645/5596022273751843/")</f>
        <v>https://www.facebook.com/rapplerdotcom/photos/a.317154781638645/5596022273751843/</v>
      </c>
      <c r="J1034" s="1" t="str">
        <f>IFERROR(__xludf.DUMMYFUNCTION("""COMPUTED_VALUE"""),"2022-07-04T15:39:36.624Z")</f>
        <v>2022-07-04T15:39:36.624Z</v>
      </c>
      <c r="K1034" s="1"/>
    </row>
    <row r="1035">
      <c r="A1035" s="2" t="str">
        <f>IFERROR(__xludf.DUMMYFUNCTION("""COMPUTED_VALUE"""),"https://www.facebook.com/yvad.onauo")</f>
        <v>https://www.facebook.com/yvad.onauo</v>
      </c>
      <c r="B1035" s="1" t="str">
        <f>IFERROR(__xludf.DUMMYFUNCTION("""COMPUTED_VALUE"""),"Yvad Onauo")</f>
        <v>Yvad Onauo</v>
      </c>
      <c r="C1035" s="1" t="str">
        <f>IFERROR(__xludf.DUMMYFUNCTION("""COMPUTED_VALUE"""),"Yvad")</f>
        <v>Yvad</v>
      </c>
      <c r="D1035" s="1" t="str">
        <f>IFERROR(__xludf.DUMMYFUNCTION("""COMPUTED_VALUE"""),"Onauo")</f>
        <v>Onauo</v>
      </c>
      <c r="E1035" s="1" t="str">
        <f>IFERROR(__xludf.DUMMYFUNCTION("""COMPUTED_VALUE"""),"Maria Dizon | Police")</f>
        <v>Maria Dizon | Police</v>
      </c>
      <c r="F1035" s="1">
        <f>IFERROR(__xludf.DUMMYFUNCTION("""COMPUTED_VALUE"""),1.0)</f>
        <v>1</v>
      </c>
      <c r="G1035" s="1" t="str">
        <f>IFERROR(__xludf.DUMMYFUNCTION("""COMPUTED_VALUE"""),"3 mos")</f>
        <v>3 mos</v>
      </c>
      <c r="H1035" s="1" t="str">
        <f>IFERROR(__xludf.DUMMYFUNCTION("""COMPUTED_VALUE"""),"reply")</f>
        <v>reply</v>
      </c>
      <c r="I1035" s="2" t="str">
        <f>IFERROR(__xludf.DUMMYFUNCTION("""COMPUTED_VALUE"""),"https://www.facebook.com/rapplerdotcom/photos/a.317154781638645/5596022273751843/")</f>
        <v>https://www.facebook.com/rapplerdotcom/photos/a.317154781638645/5596022273751843/</v>
      </c>
      <c r="J1035" s="1" t="str">
        <f>IFERROR(__xludf.DUMMYFUNCTION("""COMPUTED_VALUE"""),"2022-07-04T15:39:36.624Z")</f>
        <v>2022-07-04T15:39:36.624Z</v>
      </c>
      <c r="K1035" s="1"/>
    </row>
    <row r="1036">
      <c r="A1036" s="2" t="str">
        <f>IFERROR(__xludf.DUMMYFUNCTION("""COMPUTED_VALUE"""),"https://www.facebook.com/myla.malbasbelleza")</f>
        <v>https://www.facebook.com/myla.malbasbelleza</v>
      </c>
      <c r="B1036" s="1" t="str">
        <f>IFERROR(__xludf.DUMMYFUNCTION("""COMPUTED_VALUE"""),"Myla Malbas-BELLEZA")</f>
        <v>Myla Malbas-BELLEZA</v>
      </c>
      <c r="C1036" s="1" t="str">
        <f>IFERROR(__xludf.DUMMYFUNCTION("""COMPUTED_VALUE"""),"Myla")</f>
        <v>Myla</v>
      </c>
      <c r="D1036" s="1" t="str">
        <f>IFERROR(__xludf.DUMMYFUNCTION("""COMPUTED_VALUE"""),"Malbas-BELLEZA")</f>
        <v>Malbas-BELLEZA</v>
      </c>
      <c r="E1036" s="1" t="str">
        <f>IFERROR(__xludf.DUMMYFUNCTION("""COMPUTED_VALUE"""),"#CaMaNaVaIsPink #CaMaNavaForLeniKiko #CaMaNaVaRockNRosas   Trustworthiness Transparency  Integrity Accountability #GoodGovernance  #LeniKiko2022 #LeniIsMyPresident2022 #KikoIsMyVP2022 #GobyernongTapatAngatBuhayLahat #HelloPagkainGoodbyeGutom #Elections202"&amp;"2 #LetLeniLead2022 #LetKikobetheVP2022  Tara, PANALO na NA10 'TO! 💖💖💖💚💚💚  💖🌸💚💗💪🏼🙌👏🏼🤟🙏👆🧎‍♀️  #MASSKARApatDapatLeniKiko")</f>
        <v>#CaMaNaVaIsPink #CaMaNavaForLeniKiko #CaMaNaVaRockNRosas   Trustworthiness Transparency  Integrity Accountability #GoodGovernance  #LeniKiko2022 #LeniIsMyPresident2022 #KikoIsMyVP2022 #GobyernongTapatAngatBuhayLahat #HelloPagkainGoodbyeGutom #Elections2022 #LetLeniLead2022 #LetKikobetheVP2022  Tara, PANALO na NA10 'TO! 💖💖💖💚💚💚  💖🌸💚💗💪🏼🙌👏🏼🤟🙏👆🧎‍♀️  #MASSKARApatDapatLeniKiko</v>
      </c>
      <c r="F1036" s="1">
        <f>IFERROR(__xludf.DUMMYFUNCTION("""COMPUTED_VALUE"""),6.0)</f>
        <v>6</v>
      </c>
      <c r="G1036" s="1" t="str">
        <f>IFERROR(__xludf.DUMMYFUNCTION("""COMPUTED_VALUE"""),"3 mos")</f>
        <v>3 mos</v>
      </c>
      <c r="H1036" s="1" t="str">
        <f>IFERROR(__xludf.DUMMYFUNCTION("""COMPUTED_VALUE"""),"comment")</f>
        <v>comment</v>
      </c>
      <c r="I1036" s="2" t="str">
        <f>IFERROR(__xludf.DUMMYFUNCTION("""COMPUTED_VALUE"""),"https://www.facebook.com/rapplerdotcom/photos/a.317154781638645/5596022273751843/")</f>
        <v>https://www.facebook.com/rapplerdotcom/photos/a.317154781638645/5596022273751843/</v>
      </c>
      <c r="J1036" s="1" t="str">
        <f>IFERROR(__xludf.DUMMYFUNCTION("""COMPUTED_VALUE"""),"2022-07-04T15:39:36.624Z")</f>
        <v>2022-07-04T15:39:36.624Z</v>
      </c>
      <c r="K1036" s="1"/>
    </row>
    <row r="1037">
      <c r="A1037" s="2" t="str">
        <f>IFERROR(__xludf.DUMMYFUNCTION("""COMPUTED_VALUE"""),"https://www.facebook.com/cookie.car0307")</f>
        <v>https://www.facebook.com/cookie.car0307</v>
      </c>
      <c r="B1037" s="1" t="str">
        <f>IFERROR(__xludf.DUMMYFUNCTION("""COMPUTED_VALUE"""),"Cookie Car")</f>
        <v>Cookie Car</v>
      </c>
      <c r="C1037" s="1" t="str">
        <f>IFERROR(__xludf.DUMMYFUNCTION("""COMPUTED_VALUE"""),"Cookie")</f>
        <v>Cookie</v>
      </c>
      <c r="D1037" s="1" t="str">
        <f>IFERROR(__xludf.DUMMYFUNCTION("""COMPUTED_VALUE"""),"Car")</f>
        <v>Car</v>
      </c>
      <c r="E1037" s="1" t="str">
        <f>IFERROR(__xludf.DUMMYFUNCTION("""COMPUTED_VALUE"""),"More local officials for LenyKiko. What are you waiting Mayor Bing of Bacolod City!!!#CaMaNaVaIsPink#")</f>
        <v>More local officials for LenyKiko. What are you waiting Mayor Bing of Bacolod City!!!#CaMaNaVaIsPink#</v>
      </c>
      <c r="F1037" s="1">
        <f>IFERROR(__xludf.DUMMYFUNCTION("""COMPUTED_VALUE"""),1.0)</f>
        <v>1</v>
      </c>
      <c r="G1037" s="1" t="str">
        <f>IFERROR(__xludf.DUMMYFUNCTION("""COMPUTED_VALUE"""),"3 mos")</f>
        <v>3 mos</v>
      </c>
      <c r="H1037" s="1" t="str">
        <f>IFERROR(__xludf.DUMMYFUNCTION("""COMPUTED_VALUE"""),"comment")</f>
        <v>comment</v>
      </c>
      <c r="I1037" s="2" t="str">
        <f>IFERROR(__xludf.DUMMYFUNCTION("""COMPUTED_VALUE"""),"https://www.facebook.com/rapplerdotcom/photos/a.317154781638645/5596022273751843/")</f>
        <v>https://www.facebook.com/rapplerdotcom/photos/a.317154781638645/5596022273751843/</v>
      </c>
      <c r="J1037" s="1" t="str">
        <f>IFERROR(__xludf.DUMMYFUNCTION("""COMPUTED_VALUE"""),"2022-07-04T15:39:36.624Z")</f>
        <v>2022-07-04T15:39:36.624Z</v>
      </c>
      <c r="K1037" s="1"/>
    </row>
    <row r="1038">
      <c r="A1038" s="2" t="str">
        <f>IFERROR(__xludf.DUMMYFUNCTION("""COMPUTED_VALUE"""),"https://www.facebook.com/juliette.faith")</f>
        <v>https://www.facebook.com/juliette.faith</v>
      </c>
      <c r="B1038" s="1" t="str">
        <f>IFERROR(__xludf.DUMMYFUNCTION("""COMPUTED_VALUE"""),"Juliette Faith")</f>
        <v>Juliette Faith</v>
      </c>
      <c r="C1038" s="1" t="str">
        <f>IFERROR(__xludf.DUMMYFUNCTION("""COMPUTED_VALUE"""),"Juliette")</f>
        <v>Juliette</v>
      </c>
      <c r="D1038" s="1" t="str">
        <f>IFERROR(__xludf.DUMMYFUNCTION("""COMPUTED_VALUE"""),"Faith")</f>
        <v>Faith</v>
      </c>
      <c r="E1038" s="1" t="str">
        <f>IFERROR(__xludf.DUMMYFUNCTION("""COMPUTED_VALUE"""),"LENIwanag sa dilim🌠🌟🌠🌟🌠🌟🌠🌟🌠🌟🌠 Most hardworking🥇🥇🥇, most loving🥇🥇🥇 most honest🥇🥇🥇and most prepared🥇🥇🥇 para sa🇵🇭🇵🇭🇵🇭🇵🇭🇵🇭 PAGKA PRESIDENTE💐🌸💐🌸💐🌸💐🌸💐🌸💐🌸💐🌸💐🌸💐🌸💐🌸💐🌷💐🌸 #LetLeniKikoLead2022 #PHVoteRobredo")</f>
        <v>LENIwanag sa dilim🌠🌟🌠🌟🌠🌟🌠🌟🌠🌟🌠 Most hardworking🥇🥇🥇, most loving🥇🥇🥇 most honest🥇🥇🥇and most prepared🥇🥇🥇 para sa🇵🇭🇵🇭🇵🇭🇵🇭🇵🇭 PAGKA PRESIDENTE💐🌸💐🌸💐🌸💐🌸💐🌸💐🌸💐🌸💐🌸💐🌸💐🌸💐🌷💐🌸 #LetLeniKikoLead2022 #PHVoteRobredo</v>
      </c>
      <c r="F1038" s="1">
        <f>IFERROR(__xludf.DUMMYFUNCTION("""COMPUTED_VALUE"""),8.0)</f>
        <v>8</v>
      </c>
      <c r="G1038" s="1" t="str">
        <f>IFERROR(__xludf.DUMMYFUNCTION("""COMPUTED_VALUE"""),"3 mos")</f>
        <v>3 mos</v>
      </c>
      <c r="H1038" s="1" t="str">
        <f>IFERROR(__xludf.DUMMYFUNCTION("""COMPUTED_VALUE"""),"comment")</f>
        <v>comment</v>
      </c>
      <c r="I1038" s="2" t="str">
        <f>IFERROR(__xludf.DUMMYFUNCTION("""COMPUTED_VALUE"""),"https://www.facebook.com/rapplerdotcom/photos/a.317154781638645/5596022273751843/")</f>
        <v>https://www.facebook.com/rapplerdotcom/photos/a.317154781638645/5596022273751843/</v>
      </c>
      <c r="J1038" s="1" t="str">
        <f>IFERROR(__xludf.DUMMYFUNCTION("""COMPUTED_VALUE"""),"2022-07-04T15:39:36.624Z")</f>
        <v>2022-07-04T15:39:36.624Z</v>
      </c>
      <c r="K1038" s="1"/>
    </row>
    <row r="1039">
      <c r="A1039" s="2" t="str">
        <f>IFERROR(__xludf.DUMMYFUNCTION("""COMPUTED_VALUE"""),"https://www.facebook.com/Jeff5289")</f>
        <v>https://www.facebook.com/Jeff5289</v>
      </c>
      <c r="B1039" s="1" t="str">
        <f>IFERROR(__xludf.DUMMYFUNCTION("""COMPUTED_VALUE"""),"Jeffrey Valdez Reyes")</f>
        <v>Jeffrey Valdez Reyes</v>
      </c>
      <c r="C1039" s="1" t="str">
        <f>IFERROR(__xludf.DUMMYFUNCTION("""COMPUTED_VALUE"""),"Jeffrey")</f>
        <v>Jeffrey</v>
      </c>
      <c r="D1039" s="1" t="str">
        <f>IFERROR(__xludf.DUMMYFUNCTION("""COMPUTED_VALUE"""),"Valdez Reyes")</f>
        <v>Valdez Reyes</v>
      </c>
      <c r="E1039" s="1" t="str">
        <f>IFERROR(__xludf.DUMMYFUNCTION("""COMPUTED_VALUE"""),"Liwanag sa dilim! Kumininang ang pag-asa! From sibuyas to alitaptap! Salamat CAMANAVA!  #LeniKiko2022  #KulayRosasAngBukas  #lenirobredo2022  #SiKikoAngManokKo")</f>
        <v>Liwanag sa dilim! Kumininang ang pag-asa! From sibuyas to alitaptap! Salamat CAMANAVA!  #LeniKiko2022  #KulayRosasAngBukas  #lenirobredo2022  #SiKikoAngManokKo</v>
      </c>
      <c r="F1039" s="1">
        <f>IFERROR(__xludf.DUMMYFUNCTION("""COMPUTED_VALUE"""),10.0)</f>
        <v>10</v>
      </c>
      <c r="G1039" s="1" t="str">
        <f>IFERROR(__xludf.DUMMYFUNCTION("""COMPUTED_VALUE"""),"3 mos")</f>
        <v>3 mos</v>
      </c>
      <c r="H1039" s="1" t="str">
        <f>IFERROR(__xludf.DUMMYFUNCTION("""COMPUTED_VALUE"""),"comment")</f>
        <v>comment</v>
      </c>
      <c r="I1039" s="2" t="str">
        <f>IFERROR(__xludf.DUMMYFUNCTION("""COMPUTED_VALUE"""),"https://www.facebook.com/rapplerdotcom/photos/a.317154781638645/5596022273751843/")</f>
        <v>https://www.facebook.com/rapplerdotcom/photos/a.317154781638645/5596022273751843/</v>
      </c>
      <c r="J1039" s="1" t="str">
        <f>IFERROR(__xludf.DUMMYFUNCTION("""COMPUTED_VALUE"""),"2022-07-04T15:39:36.624Z")</f>
        <v>2022-07-04T15:39:36.624Z</v>
      </c>
      <c r="K1039" s="1"/>
    </row>
    <row r="1040">
      <c r="A1040" s="2" t="str">
        <f>IFERROR(__xludf.DUMMYFUNCTION("""COMPUTED_VALUE"""),"https://www.facebook.com/annetardeo")</f>
        <v>https://www.facebook.com/annetardeo</v>
      </c>
      <c r="B1040" s="1" t="str">
        <f>IFERROR(__xludf.DUMMYFUNCTION("""COMPUTED_VALUE"""),"Anne Tardeo")</f>
        <v>Anne Tardeo</v>
      </c>
      <c r="C1040" s="1" t="str">
        <f>IFERROR(__xludf.DUMMYFUNCTION("""COMPUTED_VALUE"""),"Anne")</f>
        <v>Anne</v>
      </c>
      <c r="D1040" s="1" t="str">
        <f>IFERROR(__xludf.DUMMYFUNCTION("""COMPUTED_VALUE"""),"Tardeo")</f>
        <v>Tardeo</v>
      </c>
      <c r="E1040" s="1" t="str">
        <f>IFERROR(__xludf.DUMMYFUNCTION("""COMPUTED_VALUE"""),"The leaders we deserve!   #IpanaloNa10To #LeniKikoAllTheWay #10RobredoPresident #7KikoPangilinanVicePresident kasama ng buong #TropangAngat para ganap na maging #KulayRosasAngBukas")</f>
        <v>The leaders we deserve!   #IpanaloNa10To #LeniKikoAllTheWay #10RobredoPresident #7KikoPangilinanVicePresident kasama ng buong #TropangAngat para ganap na maging #KulayRosasAngBukas</v>
      </c>
      <c r="F1040" s="1">
        <f>IFERROR(__xludf.DUMMYFUNCTION("""COMPUTED_VALUE"""),1.0)</f>
        <v>1</v>
      </c>
      <c r="G1040" s="1" t="str">
        <f>IFERROR(__xludf.DUMMYFUNCTION("""COMPUTED_VALUE"""),"3 mos")</f>
        <v>3 mos</v>
      </c>
      <c r="H1040" s="1" t="str">
        <f>IFERROR(__xludf.DUMMYFUNCTION("""COMPUTED_VALUE"""),"comment")</f>
        <v>comment</v>
      </c>
      <c r="I1040" s="2" t="str">
        <f>IFERROR(__xludf.DUMMYFUNCTION("""COMPUTED_VALUE"""),"https://www.facebook.com/rapplerdotcom/photos/a.317154781638645/5596022273751843/")</f>
        <v>https://www.facebook.com/rapplerdotcom/photos/a.317154781638645/5596022273751843/</v>
      </c>
      <c r="J1040" s="1" t="str">
        <f>IFERROR(__xludf.DUMMYFUNCTION("""COMPUTED_VALUE"""),"2022-07-04T15:39:36.624Z")</f>
        <v>2022-07-04T15:39:36.624Z</v>
      </c>
      <c r="K1040" s="1"/>
    </row>
    <row r="1041">
      <c r="A1041" s="2" t="str">
        <f>IFERROR(__xludf.DUMMYFUNCTION("""COMPUTED_VALUE"""),"https://www.facebook.com/edgar.millena")</f>
        <v>https://www.facebook.com/edgar.millena</v>
      </c>
      <c r="B1041" s="1" t="str">
        <f>IFERROR(__xludf.DUMMYFUNCTION("""COMPUTED_VALUE"""),"Edgar Millena")</f>
        <v>Edgar Millena</v>
      </c>
      <c r="C1041" s="1" t="str">
        <f>IFERROR(__xludf.DUMMYFUNCTION("""COMPUTED_VALUE"""),"Edgar")</f>
        <v>Edgar</v>
      </c>
      <c r="D1041" s="1" t="str">
        <f>IFERROR(__xludf.DUMMYFUNCTION("""COMPUTED_VALUE"""),"Millena")</f>
        <v>Millena</v>
      </c>
      <c r="E1041" s="1" t="str">
        <f>IFERROR(__xludf.DUMMYFUNCTION("""COMPUTED_VALUE"""),"Ang Tandem Na Magccmula ng Tunay na Pagbabago sa ating bansa. #LeniKiko2022")</f>
        <v>Ang Tandem Na Magccmula ng Tunay na Pagbabago sa ating bansa. #LeniKiko2022</v>
      </c>
      <c r="F1041" s="1">
        <f>IFERROR(__xludf.DUMMYFUNCTION("""COMPUTED_VALUE"""),1.0)</f>
        <v>1</v>
      </c>
      <c r="G1041" s="1" t="str">
        <f>IFERROR(__xludf.DUMMYFUNCTION("""COMPUTED_VALUE"""),"3 mos")</f>
        <v>3 mos</v>
      </c>
      <c r="H1041" s="1" t="str">
        <f>IFERROR(__xludf.DUMMYFUNCTION("""COMPUTED_VALUE"""),"comment")</f>
        <v>comment</v>
      </c>
      <c r="I1041" s="2" t="str">
        <f>IFERROR(__xludf.DUMMYFUNCTION("""COMPUTED_VALUE"""),"https://www.facebook.com/rapplerdotcom/photos/a.317154781638645/5596022273751843/")</f>
        <v>https://www.facebook.com/rapplerdotcom/photos/a.317154781638645/5596022273751843/</v>
      </c>
      <c r="J1041" s="1" t="str">
        <f>IFERROR(__xludf.DUMMYFUNCTION("""COMPUTED_VALUE"""),"2022-07-04T15:39:36.624Z")</f>
        <v>2022-07-04T15:39:36.624Z</v>
      </c>
      <c r="K1041" s="1"/>
    </row>
    <row r="1042">
      <c r="A1042" s="2" t="str">
        <f>IFERROR(__xludf.DUMMYFUNCTION("""COMPUTED_VALUE"""),"https://www.facebook.com/marite513")</f>
        <v>https://www.facebook.com/marite513</v>
      </c>
      <c r="B1042" s="1" t="str">
        <f>IFERROR(__xludf.DUMMYFUNCTION("""COMPUTED_VALUE"""),"Marite Damsani")</f>
        <v>Marite Damsani</v>
      </c>
      <c r="C1042" s="1" t="str">
        <f>IFERROR(__xludf.DUMMYFUNCTION("""COMPUTED_VALUE"""),"Marite")</f>
        <v>Marite</v>
      </c>
      <c r="D1042" s="1" t="str">
        <f>IFERROR(__xludf.DUMMYFUNCTION("""COMPUTED_VALUE"""),"Damsani")</f>
        <v>Damsani</v>
      </c>
      <c r="E1042" s="1" t="str">
        <f>IFERROR(__xludf.DUMMYFUNCTION("""COMPUTED_VALUE"""),"ang dami na naman ng kakampinks! truly inspiring!")</f>
        <v>ang dami na naman ng kakampinks! truly inspiring!</v>
      </c>
      <c r="F1042" s="1">
        <f>IFERROR(__xludf.DUMMYFUNCTION("""COMPUTED_VALUE"""),1.0)</f>
        <v>1</v>
      </c>
      <c r="G1042" s="1" t="str">
        <f>IFERROR(__xludf.DUMMYFUNCTION("""COMPUTED_VALUE"""),"3 mos")</f>
        <v>3 mos</v>
      </c>
      <c r="H1042" s="1" t="str">
        <f>IFERROR(__xludf.DUMMYFUNCTION("""COMPUTED_VALUE"""),"comment")</f>
        <v>comment</v>
      </c>
      <c r="I1042" s="2" t="str">
        <f>IFERROR(__xludf.DUMMYFUNCTION("""COMPUTED_VALUE"""),"https://www.facebook.com/rapplerdotcom/photos/a.317154781638645/5596022273751843/")</f>
        <v>https://www.facebook.com/rapplerdotcom/photos/a.317154781638645/5596022273751843/</v>
      </c>
      <c r="J1042" s="1" t="str">
        <f>IFERROR(__xludf.DUMMYFUNCTION("""COMPUTED_VALUE"""),"2022-07-04T15:39:36.624Z")</f>
        <v>2022-07-04T15:39:36.624Z</v>
      </c>
      <c r="K1042" s="1"/>
    </row>
    <row r="1043">
      <c r="A1043" s="2" t="str">
        <f>IFERROR(__xludf.DUMMYFUNCTION("""COMPUTED_VALUE"""),"https://www.facebook.com/melita.deleonsantos")</f>
        <v>https://www.facebook.com/melita.deleonsantos</v>
      </c>
      <c r="B1043" s="1" t="str">
        <f>IFERROR(__xludf.DUMMYFUNCTION("""COMPUTED_VALUE"""),"Melita de Leon-santos")</f>
        <v>Melita de Leon-santos</v>
      </c>
      <c r="C1043" s="1" t="str">
        <f>IFERROR(__xludf.DUMMYFUNCTION("""COMPUTED_VALUE"""),"Melita")</f>
        <v>Melita</v>
      </c>
      <c r="D1043" s="1" t="str">
        <f>IFERROR(__xludf.DUMMYFUNCTION("""COMPUTED_VALUE"""),"de Leon-santos")</f>
        <v>de Leon-santos</v>
      </c>
      <c r="E1043" s="1" t="str">
        <f>IFERROR(__xludf.DUMMYFUNCTION("""COMPUTED_VALUE"""),"Cellphone lng na ilaw yan nagliwag ang buong paligid sa tulong panginoong Dios, proud to say nanjan kami.")</f>
        <v>Cellphone lng na ilaw yan nagliwag ang buong paligid sa tulong panginoong Dios, proud to say nanjan kami.</v>
      </c>
      <c r="F1043" s="1">
        <f>IFERROR(__xludf.DUMMYFUNCTION("""COMPUTED_VALUE"""),26.0)</f>
        <v>26</v>
      </c>
      <c r="G1043" s="1" t="str">
        <f>IFERROR(__xludf.DUMMYFUNCTION("""COMPUTED_VALUE"""),"3 mos")</f>
        <v>3 mos</v>
      </c>
      <c r="H1043" s="1" t="str">
        <f>IFERROR(__xludf.DUMMYFUNCTION("""COMPUTED_VALUE"""),"comment")</f>
        <v>comment</v>
      </c>
      <c r="I1043" s="2" t="str">
        <f>IFERROR(__xludf.DUMMYFUNCTION("""COMPUTED_VALUE"""),"https://www.facebook.com/rapplerdotcom/photos/a.317154781638645/5596022273751843/")</f>
        <v>https://www.facebook.com/rapplerdotcom/photos/a.317154781638645/5596022273751843/</v>
      </c>
      <c r="J1043" s="1" t="str">
        <f>IFERROR(__xludf.DUMMYFUNCTION("""COMPUTED_VALUE"""),"2022-07-04T15:39:36.624Z")</f>
        <v>2022-07-04T15:39:36.624Z</v>
      </c>
      <c r="K1043" s="1"/>
    </row>
    <row r="1044">
      <c r="A1044" s="2" t="str">
        <f>IFERROR(__xludf.DUMMYFUNCTION("""COMPUTED_VALUE"""),"https://www.facebook.com/arlene.buela.9")</f>
        <v>https://www.facebook.com/arlene.buela.9</v>
      </c>
      <c r="B1044" s="1" t="str">
        <f>IFERROR(__xludf.DUMMYFUNCTION("""COMPUTED_VALUE"""),"Arlene Buela")</f>
        <v>Arlene Buela</v>
      </c>
      <c r="C1044" s="1" t="str">
        <f>IFERROR(__xludf.DUMMYFUNCTION("""COMPUTED_VALUE"""),"Arlene")</f>
        <v>Arlene</v>
      </c>
      <c r="D1044" s="1" t="str">
        <f>IFERROR(__xludf.DUMMYFUNCTION("""COMPUTED_VALUE"""),"Buela")</f>
        <v>Buela</v>
      </c>
      <c r="E1044" s="1" t="str">
        <f>IFERROR(__xludf.DUMMYFUNCTION("""COMPUTED_VALUE"""),"Melita de Leon-santos wow..ang dami nyo.. Salamat sa suporta we watched you online!!")</f>
        <v>Melita de Leon-santos wow..ang dami nyo.. Salamat sa suporta we watched you online!!</v>
      </c>
      <c r="F1044" s="1">
        <f>IFERROR(__xludf.DUMMYFUNCTION("""COMPUTED_VALUE"""),1.0)</f>
        <v>1</v>
      </c>
      <c r="G1044" s="1" t="str">
        <f>IFERROR(__xludf.DUMMYFUNCTION("""COMPUTED_VALUE"""),"3 mos")</f>
        <v>3 mos</v>
      </c>
      <c r="H1044" s="1" t="str">
        <f>IFERROR(__xludf.DUMMYFUNCTION("""COMPUTED_VALUE"""),"reply")</f>
        <v>reply</v>
      </c>
      <c r="I1044" s="2" t="str">
        <f>IFERROR(__xludf.DUMMYFUNCTION("""COMPUTED_VALUE"""),"https://www.facebook.com/rapplerdotcom/photos/a.317154781638645/5596022273751843/")</f>
        <v>https://www.facebook.com/rapplerdotcom/photos/a.317154781638645/5596022273751843/</v>
      </c>
      <c r="J1044" s="1" t="str">
        <f>IFERROR(__xludf.DUMMYFUNCTION("""COMPUTED_VALUE"""),"2022-07-04T15:39:36.624Z")</f>
        <v>2022-07-04T15:39:36.624Z</v>
      </c>
      <c r="K1044" s="1"/>
    </row>
    <row r="1045">
      <c r="A1045" s="2" t="str">
        <f>IFERROR(__xludf.DUMMYFUNCTION("""COMPUTED_VALUE"""),"https://www.facebook.com/rhob.mercado")</f>
        <v>https://www.facebook.com/rhob.mercado</v>
      </c>
      <c r="B1045" s="1" t="str">
        <f>IFERROR(__xludf.DUMMYFUNCTION("""COMPUTED_VALUE"""),"Rhob Anorico Mercado")</f>
        <v>Rhob Anorico Mercado</v>
      </c>
      <c r="C1045" s="1" t="str">
        <f>IFERROR(__xludf.DUMMYFUNCTION("""COMPUTED_VALUE"""),"Rhob")</f>
        <v>Rhob</v>
      </c>
      <c r="D1045" s="1" t="str">
        <f>IFERROR(__xludf.DUMMYFUNCTION("""COMPUTED_VALUE"""),"Anorico Mercado")</f>
        <v>Anorico Mercado</v>
      </c>
      <c r="E1045" s="1" t="str">
        <f>IFERROR(__xludf.DUMMYFUNCTION("""COMPUTED_VALUE"""),"Oi angoe angle ang show.. no aerial shot kay ma obvious adtp jud sa daghan tan awon... hihihi")</f>
        <v>Oi angoe angle ang show.. no aerial shot kay ma obvious adtp jud sa daghan tan awon... hihihi</v>
      </c>
      <c r="F1045" s="1">
        <f>IFERROR(__xludf.DUMMYFUNCTION("""COMPUTED_VALUE"""),8.0)</f>
        <v>8</v>
      </c>
      <c r="G1045" s="1" t="str">
        <f>IFERROR(__xludf.DUMMYFUNCTION("""COMPUTED_VALUE"""),"3 mos")</f>
        <v>3 mos</v>
      </c>
      <c r="H1045" s="1" t="str">
        <f>IFERROR(__xludf.DUMMYFUNCTION("""COMPUTED_VALUE"""),"comment")</f>
        <v>comment</v>
      </c>
      <c r="I1045" s="2" t="str">
        <f>IFERROR(__xludf.DUMMYFUNCTION("""COMPUTED_VALUE"""),"https://www.facebook.com/rapplerdotcom/photos/a.317154781638645/5596022273751843/")</f>
        <v>https://www.facebook.com/rapplerdotcom/photos/a.317154781638645/5596022273751843/</v>
      </c>
      <c r="J1045" s="1" t="str">
        <f>IFERROR(__xludf.DUMMYFUNCTION("""COMPUTED_VALUE"""),"2022-07-04T15:39:36.624Z")</f>
        <v>2022-07-04T15:39:36.624Z</v>
      </c>
      <c r="K1045" s="1"/>
    </row>
    <row r="1046">
      <c r="A1046" s="2" t="str">
        <f>IFERROR(__xludf.DUMMYFUNCTION("""COMPUTED_VALUE"""),"https://www.facebook.com/Theresa074")</f>
        <v>https://www.facebook.com/Theresa074</v>
      </c>
      <c r="B1046" s="1" t="str">
        <f>IFERROR(__xludf.DUMMYFUNCTION("""COMPUTED_VALUE"""),"Ma Theresa Silva")</f>
        <v>Ma Theresa Silva</v>
      </c>
      <c r="C1046" s="1" t="str">
        <f>IFERROR(__xludf.DUMMYFUNCTION("""COMPUTED_VALUE"""),"Ma")</f>
        <v>Ma</v>
      </c>
      <c r="D1046" s="1" t="str">
        <f>IFERROR(__xludf.DUMMYFUNCTION("""COMPUTED_VALUE"""),"Theresa Silva")</f>
        <v>Theresa Silva</v>
      </c>
      <c r="E1046" s="1" t="str">
        <f>IFERROR(__xludf.DUMMYFUNCTION("""COMPUTED_VALUE"""),"Rhob Anorico Mercado naku punong puno po kaya naging dalawa yung venue nila")</f>
        <v>Rhob Anorico Mercado naku punong puno po kaya naging dalawa yung venue nila</v>
      </c>
      <c r="F1046" s="1">
        <f>IFERROR(__xludf.DUMMYFUNCTION("""COMPUTED_VALUE"""),8.0)</f>
        <v>8</v>
      </c>
      <c r="G1046" s="1" t="str">
        <f>IFERROR(__xludf.DUMMYFUNCTION("""COMPUTED_VALUE"""),"3 mos")</f>
        <v>3 mos</v>
      </c>
      <c r="H1046" s="1" t="str">
        <f>IFERROR(__xludf.DUMMYFUNCTION("""COMPUTED_VALUE"""),"reply")</f>
        <v>reply</v>
      </c>
      <c r="I1046" s="2" t="str">
        <f>IFERROR(__xludf.DUMMYFUNCTION("""COMPUTED_VALUE"""),"https://www.facebook.com/rapplerdotcom/photos/a.317154781638645/5596022273751843/")</f>
        <v>https://www.facebook.com/rapplerdotcom/photos/a.317154781638645/5596022273751843/</v>
      </c>
      <c r="J1046" s="1" t="str">
        <f>IFERROR(__xludf.DUMMYFUNCTION("""COMPUTED_VALUE"""),"2022-07-04T15:39:36.624Z")</f>
        <v>2022-07-04T15:39:36.624Z</v>
      </c>
      <c r="K1046" s="1"/>
    </row>
    <row r="1047">
      <c r="A1047" s="2" t="str">
        <f>IFERROR(__xludf.DUMMYFUNCTION("""COMPUTED_VALUE"""),"https://www.facebook.com/profile.php?id=100076057558004")</f>
        <v>https://www.facebook.com/profile.php?id=100076057558004</v>
      </c>
      <c r="B1047" s="1" t="str">
        <f>IFERROR(__xludf.DUMMYFUNCTION("""COMPUTED_VALUE"""),"Maam Karma")</f>
        <v>Maam Karma</v>
      </c>
      <c r="C1047" s="1" t="str">
        <f>IFERROR(__xludf.DUMMYFUNCTION("""COMPUTED_VALUE"""),"Maam")</f>
        <v>Maam</v>
      </c>
      <c r="D1047" s="1" t="str">
        <f>IFERROR(__xludf.DUMMYFUNCTION("""COMPUTED_VALUE"""),"Karma")</f>
        <v>Karma</v>
      </c>
      <c r="E1047" s="1" t="str">
        <f>IFERROR(__xludf.DUMMYFUNCTION("""COMPUTED_VALUE"""),"Rhob Anorico Mercado Kadaghan Aerial View sa Live 😂 Suya jud ka..")</f>
        <v>Rhob Anorico Mercado Kadaghan Aerial View sa Live 😂 Suya jud ka..</v>
      </c>
      <c r="F1047" s="1">
        <f>IFERROR(__xludf.DUMMYFUNCTION("""COMPUTED_VALUE"""),5.0)</f>
        <v>5</v>
      </c>
      <c r="G1047" s="1" t="str">
        <f>IFERROR(__xludf.DUMMYFUNCTION("""COMPUTED_VALUE"""),"3 mos")</f>
        <v>3 mos</v>
      </c>
      <c r="H1047" s="1" t="str">
        <f>IFERROR(__xludf.DUMMYFUNCTION("""COMPUTED_VALUE"""),"reply")</f>
        <v>reply</v>
      </c>
      <c r="I1047" s="2" t="str">
        <f>IFERROR(__xludf.DUMMYFUNCTION("""COMPUTED_VALUE"""),"https://www.facebook.com/rapplerdotcom/photos/a.317154781638645/5596022273751843/")</f>
        <v>https://www.facebook.com/rapplerdotcom/photos/a.317154781638645/5596022273751843/</v>
      </c>
      <c r="J1047" s="1" t="str">
        <f>IFERROR(__xludf.DUMMYFUNCTION("""COMPUTED_VALUE"""),"2022-07-04T15:39:36.624Z")</f>
        <v>2022-07-04T15:39:36.624Z</v>
      </c>
      <c r="K1047" s="1"/>
    </row>
    <row r="1048">
      <c r="A1048" s="2" t="str">
        <f>IFERROR(__xludf.DUMMYFUNCTION("""COMPUTED_VALUE"""),"https://www.facebook.com/profile.php?id=100069091358264")</f>
        <v>https://www.facebook.com/profile.php?id=100069091358264</v>
      </c>
      <c r="B1048" s="1" t="str">
        <f>IFERROR(__xludf.DUMMYFUNCTION("""COMPUTED_VALUE"""),"Jedan Arcenal")</f>
        <v>Jedan Arcenal</v>
      </c>
      <c r="C1048" s="1" t="str">
        <f>IFERROR(__xludf.DUMMYFUNCTION("""COMPUTED_VALUE"""),"Jedan")</f>
        <v>Jedan</v>
      </c>
      <c r="D1048" s="1" t="str">
        <f>IFERROR(__xludf.DUMMYFUNCTION("""COMPUTED_VALUE"""),"Arcenal")</f>
        <v>Arcenal</v>
      </c>
      <c r="E1048" s="1" t="str">
        <f>IFERROR(__xludf.DUMMYFUNCTION("""COMPUTED_VALUE"""),"Rhob Anorico Mercado hahahaha bahala ka boo")</f>
        <v>Rhob Anorico Mercado hahahaha bahala ka boo</v>
      </c>
      <c r="F1048" s="1">
        <f>IFERROR(__xludf.DUMMYFUNCTION("""COMPUTED_VALUE"""),1.0)</f>
        <v>1</v>
      </c>
      <c r="G1048" s="1" t="str">
        <f>IFERROR(__xludf.DUMMYFUNCTION("""COMPUTED_VALUE"""),"3 mos")</f>
        <v>3 mos</v>
      </c>
      <c r="H1048" s="1" t="str">
        <f>IFERROR(__xludf.DUMMYFUNCTION("""COMPUTED_VALUE"""),"reply")</f>
        <v>reply</v>
      </c>
      <c r="I1048" s="2" t="str">
        <f>IFERROR(__xludf.DUMMYFUNCTION("""COMPUTED_VALUE"""),"https://www.facebook.com/rapplerdotcom/photos/a.317154781638645/5596022273751843/")</f>
        <v>https://www.facebook.com/rapplerdotcom/photos/a.317154781638645/5596022273751843/</v>
      </c>
      <c r="J1048" s="1" t="str">
        <f>IFERROR(__xludf.DUMMYFUNCTION("""COMPUTED_VALUE"""),"2022-07-04T15:39:36.624Z")</f>
        <v>2022-07-04T15:39:36.624Z</v>
      </c>
      <c r="K1048" s="1"/>
    </row>
    <row r="1049">
      <c r="A1049" s="2" t="str">
        <f>IFERROR(__xludf.DUMMYFUNCTION("""COMPUTED_VALUE"""),"https://www.facebook.com/davefrancis.ybalig")</f>
        <v>https://www.facebook.com/davefrancis.ybalig</v>
      </c>
      <c r="B1049" s="1" t="str">
        <f>IFERROR(__xludf.DUMMYFUNCTION("""COMPUTED_VALUE"""),"Evad Sicnarf Gilaby")</f>
        <v>Evad Sicnarf Gilaby</v>
      </c>
      <c r="C1049" s="1" t="str">
        <f>IFERROR(__xludf.DUMMYFUNCTION("""COMPUTED_VALUE"""),"Evad")</f>
        <v>Evad</v>
      </c>
      <c r="D1049" s="1" t="str">
        <f>IFERROR(__xludf.DUMMYFUNCTION("""COMPUTED_VALUE"""),"Sicnarf Gilaby")</f>
        <v>Sicnarf Gilaby</v>
      </c>
      <c r="E1049" s="1" t="str">
        <f>IFERROR(__xludf.DUMMYFUNCTION("""COMPUTED_VALUE"""),"Rhob Anorico Mercado nuod ka ng live nila ongoing pa naman po. Daming Tao, Dakar ping venue  nila")</f>
        <v>Rhob Anorico Mercado nuod ka ng live nila ongoing pa naman po. Daming Tao, Dakar ping venue  nila</v>
      </c>
      <c r="F1049" s="1"/>
      <c r="G1049" s="1" t="str">
        <f>IFERROR(__xludf.DUMMYFUNCTION("""COMPUTED_VALUE"""),"3 mos")</f>
        <v>3 mos</v>
      </c>
      <c r="H1049" s="1" t="str">
        <f>IFERROR(__xludf.DUMMYFUNCTION("""COMPUTED_VALUE"""),"reply")</f>
        <v>reply</v>
      </c>
      <c r="I1049" s="2" t="str">
        <f>IFERROR(__xludf.DUMMYFUNCTION("""COMPUTED_VALUE"""),"https://www.facebook.com/rapplerdotcom/photos/a.317154781638645/5596022273751843/")</f>
        <v>https://www.facebook.com/rapplerdotcom/photos/a.317154781638645/5596022273751843/</v>
      </c>
      <c r="J1049" s="1" t="str">
        <f>IFERROR(__xludf.DUMMYFUNCTION("""COMPUTED_VALUE"""),"2022-07-04T15:39:36.624Z")</f>
        <v>2022-07-04T15:39:36.624Z</v>
      </c>
      <c r="K1049" s="1"/>
    </row>
    <row r="1050">
      <c r="A1050" s="2" t="str">
        <f>IFERROR(__xludf.DUMMYFUNCTION("""COMPUTED_VALUE"""),"https://www.facebook.com/gorife.selas")</f>
        <v>https://www.facebook.com/gorife.selas</v>
      </c>
      <c r="B1050" s="1" t="str">
        <f>IFERROR(__xludf.DUMMYFUNCTION("""COMPUTED_VALUE"""),"Gorife Selas")</f>
        <v>Gorife Selas</v>
      </c>
      <c r="C1050" s="1" t="str">
        <f>IFERROR(__xludf.DUMMYFUNCTION("""COMPUTED_VALUE"""),"Gorife")</f>
        <v>Gorife</v>
      </c>
      <c r="D1050" s="1" t="str">
        <f>IFERROR(__xludf.DUMMYFUNCTION("""COMPUTED_VALUE"""),"Selas")</f>
        <v>Selas</v>
      </c>
      <c r="E1050" s="1" t="str">
        <f>IFERROR(__xludf.DUMMYFUNCTION("""COMPUTED_VALUE"""),"Rhob Anorico Mercado don ka s unithieves manood may puting sobre doon")</f>
        <v>Rhob Anorico Mercado don ka s unithieves manood may puting sobre doon</v>
      </c>
      <c r="F1050" s="1">
        <f>IFERROR(__xludf.DUMMYFUNCTION("""COMPUTED_VALUE"""),9.0)</f>
        <v>9</v>
      </c>
      <c r="G1050" s="1" t="str">
        <f>IFERROR(__xludf.DUMMYFUNCTION("""COMPUTED_VALUE"""),"3 mos")</f>
        <v>3 mos</v>
      </c>
      <c r="H1050" s="1" t="str">
        <f>IFERROR(__xludf.DUMMYFUNCTION("""COMPUTED_VALUE"""),"reply")</f>
        <v>reply</v>
      </c>
      <c r="I1050" s="2" t="str">
        <f>IFERROR(__xludf.DUMMYFUNCTION("""COMPUTED_VALUE"""),"https://www.facebook.com/rapplerdotcom/photos/a.317154781638645/5596022273751843/")</f>
        <v>https://www.facebook.com/rapplerdotcom/photos/a.317154781638645/5596022273751843/</v>
      </c>
      <c r="J1050" s="1" t="str">
        <f>IFERROR(__xludf.DUMMYFUNCTION("""COMPUTED_VALUE"""),"2022-07-04T15:39:36.624Z")</f>
        <v>2022-07-04T15:39:36.624Z</v>
      </c>
      <c r="K1050" s="1"/>
    </row>
    <row r="1051">
      <c r="A1051" s="2" t="str">
        <f>IFERROR(__xludf.DUMMYFUNCTION("""COMPUTED_VALUE"""),"https://www.facebook.com/sophia.durmiendo")</f>
        <v>https://www.facebook.com/sophia.durmiendo</v>
      </c>
      <c r="B1051" s="1" t="str">
        <f>IFERROR(__xludf.DUMMYFUNCTION("""COMPUTED_VALUE"""),"Pia Durmiendo")</f>
        <v>Pia Durmiendo</v>
      </c>
      <c r="C1051" s="1" t="str">
        <f>IFERROR(__xludf.DUMMYFUNCTION("""COMPUTED_VALUE"""),"Pia")</f>
        <v>Pia</v>
      </c>
      <c r="D1051" s="1" t="str">
        <f>IFERROR(__xludf.DUMMYFUNCTION("""COMPUTED_VALUE"""),"Durmiendo")</f>
        <v>Durmiendo</v>
      </c>
      <c r="E1051" s="1" t="str">
        <f>IFERROR(__xludf.DUMMYFUNCTION("""COMPUTED_VALUE"""),"Rhob Anorico Mercado Try niyo po panoodin yung live, may mga drone shots po para makita niyo. Welcome na welcome kayo 🤗💖")</f>
        <v>Rhob Anorico Mercado Try niyo po panoodin yung live, may mga drone shots po para makita niyo. Welcome na welcome kayo 🤗💖</v>
      </c>
      <c r="F1051" s="1">
        <f>IFERROR(__xludf.DUMMYFUNCTION("""COMPUTED_VALUE"""),1.0)</f>
        <v>1</v>
      </c>
      <c r="G1051" s="1" t="str">
        <f>IFERROR(__xludf.DUMMYFUNCTION("""COMPUTED_VALUE"""),"3 mos")</f>
        <v>3 mos</v>
      </c>
      <c r="H1051" s="1" t="str">
        <f>IFERROR(__xludf.DUMMYFUNCTION("""COMPUTED_VALUE"""),"reply")</f>
        <v>reply</v>
      </c>
      <c r="I1051" s="2" t="str">
        <f>IFERROR(__xludf.DUMMYFUNCTION("""COMPUTED_VALUE"""),"https://www.facebook.com/rapplerdotcom/photos/a.317154781638645/5596022273751843/")</f>
        <v>https://www.facebook.com/rapplerdotcom/photos/a.317154781638645/5596022273751843/</v>
      </c>
      <c r="J1051" s="1" t="str">
        <f>IFERROR(__xludf.DUMMYFUNCTION("""COMPUTED_VALUE"""),"2022-07-04T15:39:36.624Z")</f>
        <v>2022-07-04T15:39:36.624Z</v>
      </c>
      <c r="K1051" s="1"/>
    </row>
    <row r="1052">
      <c r="A1052" s="2" t="str">
        <f>IFERROR(__xludf.DUMMYFUNCTION("""COMPUTED_VALUE"""),"https://www.facebook.com/allan.ticatic")</f>
        <v>https://www.facebook.com/allan.ticatic</v>
      </c>
      <c r="B1052" s="1" t="str">
        <f>IFERROR(__xludf.DUMMYFUNCTION("""COMPUTED_VALUE"""),"Allan S. Ticatic")</f>
        <v>Allan S. Ticatic</v>
      </c>
      <c r="C1052" s="1" t="str">
        <f>IFERROR(__xludf.DUMMYFUNCTION("""COMPUTED_VALUE"""),"Allan")</f>
        <v>Allan</v>
      </c>
      <c r="D1052" s="1" t="str">
        <f>IFERROR(__xludf.DUMMYFUNCTION("""COMPUTED_VALUE"""),"S. Ticatic")</f>
        <v>S. Ticatic</v>
      </c>
      <c r="E1052" s="1" t="str">
        <f>IFERROR(__xludf.DUMMYFUNCTION("""COMPUTED_VALUE"""),"Salamat, CaMaNaVa! #CaMaNaVaIsPink #LeniKiko2022 #GobyernongTapatAngatBuhayLahat")</f>
        <v>Salamat, CaMaNaVa! #CaMaNaVaIsPink #LeniKiko2022 #GobyernongTapatAngatBuhayLahat</v>
      </c>
      <c r="F1052" s="1">
        <f>IFERROR(__xludf.DUMMYFUNCTION("""COMPUTED_VALUE"""),9.0)</f>
        <v>9</v>
      </c>
      <c r="G1052" s="1" t="str">
        <f>IFERROR(__xludf.DUMMYFUNCTION("""COMPUTED_VALUE"""),"3 mos")</f>
        <v>3 mos</v>
      </c>
      <c r="H1052" s="1" t="str">
        <f>IFERROR(__xludf.DUMMYFUNCTION("""COMPUTED_VALUE"""),"comment")</f>
        <v>comment</v>
      </c>
      <c r="I1052" s="2" t="str">
        <f>IFERROR(__xludf.DUMMYFUNCTION("""COMPUTED_VALUE"""),"https://www.facebook.com/rapplerdotcom/photos/a.317154781638645/5596022273751843/")</f>
        <v>https://www.facebook.com/rapplerdotcom/photos/a.317154781638645/5596022273751843/</v>
      </c>
      <c r="J1052" s="1" t="str">
        <f>IFERROR(__xludf.DUMMYFUNCTION("""COMPUTED_VALUE"""),"2022-07-04T15:39:36.624Z")</f>
        <v>2022-07-04T15:39:36.624Z</v>
      </c>
      <c r="K1052" s="1"/>
    </row>
    <row r="1053">
      <c r="A1053" s="2" t="str">
        <f>IFERROR(__xludf.DUMMYFUNCTION("""COMPUTED_VALUE"""),"https://www.facebook.com/maryrose.t.zamora")</f>
        <v>https://www.facebook.com/maryrose.t.zamora</v>
      </c>
      <c r="B1053" s="1" t="str">
        <f>IFERROR(__xludf.DUMMYFUNCTION("""COMPUTED_VALUE"""),"Rose TZ")</f>
        <v>Rose TZ</v>
      </c>
      <c r="C1053" s="1" t="str">
        <f>IFERROR(__xludf.DUMMYFUNCTION("""COMPUTED_VALUE"""),"Rose")</f>
        <v>Rose</v>
      </c>
      <c r="D1053" s="1" t="str">
        <f>IFERROR(__xludf.DUMMYFUNCTION("""COMPUTED_VALUE"""),"TZ")</f>
        <v>TZ</v>
      </c>
      <c r="E1053" s="1" t="str">
        <f>IFERROR(__xludf.DUMMYFUNCTION("""COMPUTED_VALUE"""),"Ang boto ng pamilya ko ay para sa isang #GobyernongTapat #LeniForPresident2022 #CamanavaIsPink")</f>
        <v>Ang boto ng pamilya ko ay para sa isang #GobyernongTapat #LeniForPresident2022 #CamanavaIsPink</v>
      </c>
      <c r="F1053" s="1">
        <f>IFERROR(__xludf.DUMMYFUNCTION("""COMPUTED_VALUE"""),1.0)</f>
        <v>1</v>
      </c>
      <c r="G1053" s="1" t="str">
        <f>IFERROR(__xludf.DUMMYFUNCTION("""COMPUTED_VALUE"""),"3 mos")</f>
        <v>3 mos</v>
      </c>
      <c r="H1053" s="1" t="str">
        <f>IFERROR(__xludf.DUMMYFUNCTION("""COMPUTED_VALUE"""),"comment")</f>
        <v>comment</v>
      </c>
      <c r="I1053" s="2" t="str">
        <f>IFERROR(__xludf.DUMMYFUNCTION("""COMPUTED_VALUE"""),"https://www.facebook.com/rapplerdotcom/photos/a.317154781638645/5596022273751843/")</f>
        <v>https://www.facebook.com/rapplerdotcom/photos/a.317154781638645/5596022273751843/</v>
      </c>
      <c r="J1053" s="1" t="str">
        <f>IFERROR(__xludf.DUMMYFUNCTION("""COMPUTED_VALUE"""),"2022-07-04T15:39:36.624Z")</f>
        <v>2022-07-04T15:39:36.624Z</v>
      </c>
      <c r="K1053" s="1"/>
    </row>
    <row r="1054">
      <c r="A1054" s="2" t="str">
        <f>IFERROR(__xludf.DUMMYFUNCTION("""COMPUTED_VALUE"""),"https://www.facebook.com/jethro.ramirez.3914")</f>
        <v>https://www.facebook.com/jethro.ramirez.3914</v>
      </c>
      <c r="B1054" s="1" t="str">
        <f>IFERROR(__xludf.DUMMYFUNCTION("""COMPUTED_VALUE"""),"Jethro Tolentino Ramirez")</f>
        <v>Jethro Tolentino Ramirez</v>
      </c>
      <c r="C1054" s="1" t="str">
        <f>IFERROR(__xludf.DUMMYFUNCTION("""COMPUTED_VALUE"""),"Jethro")</f>
        <v>Jethro</v>
      </c>
      <c r="D1054" s="1" t="str">
        <f>IFERROR(__xludf.DUMMYFUNCTION("""COMPUTED_VALUE"""),"Tolentino Ramirez")</f>
        <v>Tolentino Ramirez</v>
      </c>
      <c r="E1054" s="1" t="str">
        <f>IFERROR(__xludf.DUMMYFUNCTION("""COMPUTED_VALUE"""),"Wow! My president and vice president. God bless you both on your fight.")</f>
        <v>Wow! My president and vice president. God bless you both on your fight.</v>
      </c>
      <c r="F1054" s="1">
        <f>IFERROR(__xludf.DUMMYFUNCTION("""COMPUTED_VALUE"""),43.0)</f>
        <v>43</v>
      </c>
      <c r="G1054" s="1" t="str">
        <f>IFERROR(__xludf.DUMMYFUNCTION("""COMPUTED_VALUE"""),"3 mos")</f>
        <v>3 mos</v>
      </c>
      <c r="H1054" s="1" t="str">
        <f>IFERROR(__xludf.DUMMYFUNCTION("""COMPUTED_VALUE"""),"comment")</f>
        <v>comment</v>
      </c>
      <c r="I1054" s="2" t="str">
        <f>IFERROR(__xludf.DUMMYFUNCTION("""COMPUTED_VALUE"""),"https://www.facebook.com/rapplerdotcom/photos/a.317154781638645/5596022273751843/")</f>
        <v>https://www.facebook.com/rapplerdotcom/photos/a.317154781638645/5596022273751843/</v>
      </c>
      <c r="J1054" s="1" t="str">
        <f>IFERROR(__xludf.DUMMYFUNCTION("""COMPUTED_VALUE"""),"2022-07-04T15:39:36.624Z")</f>
        <v>2022-07-04T15:39:36.624Z</v>
      </c>
      <c r="K1054" s="1"/>
    </row>
    <row r="1055">
      <c r="A1055" s="2" t="str">
        <f>IFERROR(__xludf.DUMMYFUNCTION("""COMPUTED_VALUE"""),"https://www.facebook.com/ditas.roxas")</f>
        <v>https://www.facebook.com/ditas.roxas</v>
      </c>
      <c r="B1055" s="1" t="str">
        <f>IFERROR(__xludf.DUMMYFUNCTION("""COMPUTED_VALUE"""),"Ditas Rodis Roxas")</f>
        <v>Ditas Rodis Roxas</v>
      </c>
      <c r="C1055" s="1" t="str">
        <f>IFERROR(__xludf.DUMMYFUNCTION("""COMPUTED_VALUE"""),"Ditas")</f>
        <v>Ditas</v>
      </c>
      <c r="D1055" s="1" t="str">
        <f>IFERROR(__xludf.DUMMYFUNCTION("""COMPUTED_VALUE"""),"Rodis Roxas")</f>
        <v>Rodis Roxas</v>
      </c>
      <c r="E1055" s="1" t="str">
        <f>IFERROR(__xludf.DUMMYFUNCTION("""COMPUTED_VALUE"""),"Beautiful pic. Talagang #LiwanagSaDilim si #LeniRobredoForPresident2022 and #kikopangilinanforvicepresident #lenikiko2022")</f>
        <v>Beautiful pic. Talagang #LiwanagSaDilim si #LeniRobredoForPresident2022 and #kikopangilinanforvicepresident #lenikiko2022</v>
      </c>
      <c r="F1055" s="1">
        <f>IFERROR(__xludf.DUMMYFUNCTION("""COMPUTED_VALUE"""),8.0)</f>
        <v>8</v>
      </c>
      <c r="G1055" s="1" t="str">
        <f>IFERROR(__xludf.DUMMYFUNCTION("""COMPUTED_VALUE"""),"3 mos")</f>
        <v>3 mos</v>
      </c>
      <c r="H1055" s="1" t="str">
        <f>IFERROR(__xludf.DUMMYFUNCTION("""COMPUTED_VALUE"""),"comment")</f>
        <v>comment</v>
      </c>
      <c r="I1055" s="2" t="str">
        <f>IFERROR(__xludf.DUMMYFUNCTION("""COMPUTED_VALUE"""),"https://www.facebook.com/rapplerdotcom/photos/a.317154781638645/5596022273751843/")</f>
        <v>https://www.facebook.com/rapplerdotcom/photos/a.317154781638645/5596022273751843/</v>
      </c>
      <c r="J1055" s="1" t="str">
        <f>IFERROR(__xludf.DUMMYFUNCTION("""COMPUTED_VALUE"""),"2022-07-04T15:39:36.624Z")</f>
        <v>2022-07-04T15:39:36.624Z</v>
      </c>
      <c r="K1055" s="1"/>
    </row>
    <row r="1056">
      <c r="A1056" s="2" t="str">
        <f>IFERROR(__xludf.DUMMYFUNCTION("""COMPUTED_VALUE"""),"https://www.facebook.com/nino.samuel.14")</f>
        <v>https://www.facebook.com/nino.samuel.14</v>
      </c>
      <c r="B1056" s="1" t="str">
        <f>IFERROR(__xludf.DUMMYFUNCTION("""COMPUTED_VALUE"""),"Nino Samuel")</f>
        <v>Nino Samuel</v>
      </c>
      <c r="C1056" s="1" t="str">
        <f>IFERROR(__xludf.DUMMYFUNCTION("""COMPUTED_VALUE"""),"Nino")</f>
        <v>Nino</v>
      </c>
      <c r="D1056" s="1" t="str">
        <f>IFERROR(__xludf.DUMMYFUNCTION("""COMPUTED_VALUE"""),"Samuel")</f>
        <v>Samuel</v>
      </c>
      <c r="E1056" s="1" t="str">
        <f>IFERROR(__xludf.DUMMYFUNCTION("""COMPUTED_VALUE"""),"💗""When respect must be earned not to be imposed, you show to us how you earn what respect is by your good example, your openness and extra-mile to be one in spirit with the people you serve. 💗")</f>
        <v>💗"When respect must be earned not to be imposed, you show to us how you earn what respect is by your good example, your openness and extra-mile to be one in spirit with the people you serve. 💗</v>
      </c>
      <c r="F1056" s="1"/>
      <c r="G1056" s="1" t="str">
        <f>IFERROR(__xludf.DUMMYFUNCTION("""COMPUTED_VALUE"""),"3 mos")</f>
        <v>3 mos</v>
      </c>
      <c r="H1056" s="1" t="str">
        <f>IFERROR(__xludf.DUMMYFUNCTION("""COMPUTED_VALUE"""),"comment")</f>
        <v>comment</v>
      </c>
      <c r="I1056" s="2" t="str">
        <f>IFERROR(__xludf.DUMMYFUNCTION("""COMPUTED_VALUE"""),"https://www.facebook.com/rapplerdotcom/photos/a.317154781638645/5596022273751843/")</f>
        <v>https://www.facebook.com/rapplerdotcom/photos/a.317154781638645/5596022273751843/</v>
      </c>
      <c r="J1056" s="1" t="str">
        <f>IFERROR(__xludf.DUMMYFUNCTION("""COMPUTED_VALUE"""),"2022-07-04T15:39:36.624Z")</f>
        <v>2022-07-04T15:39:36.624Z</v>
      </c>
      <c r="K1056" s="1"/>
    </row>
    <row r="1057">
      <c r="A1057" s="2" t="str">
        <f>IFERROR(__xludf.DUMMYFUNCTION("""COMPUTED_VALUE"""),"https://www.facebook.com/tess.marcelo.7")</f>
        <v>https://www.facebook.com/tess.marcelo.7</v>
      </c>
      <c r="B1057" s="1" t="str">
        <f>IFERROR(__xludf.DUMMYFUNCTION("""COMPUTED_VALUE"""),"Tess Marcelo")</f>
        <v>Tess Marcelo</v>
      </c>
      <c r="C1057" s="1" t="str">
        <f>IFERROR(__xludf.DUMMYFUNCTION("""COMPUTED_VALUE"""),"Tess")</f>
        <v>Tess</v>
      </c>
      <c r="D1057" s="1" t="str">
        <f>IFERROR(__xludf.DUMMYFUNCTION("""COMPUTED_VALUE"""),"Marcelo")</f>
        <v>Marcelo</v>
      </c>
      <c r="E1057" s="1" t="str">
        <f>IFERROR(__xludf.DUMMYFUNCTION("""COMPUTED_VALUE"""),"Just believe and pray hard, God will give us what our  hearts ' 💕💕💕desire. Ipapanalo ni Lord ito 🙏🙏🙏🙏")</f>
        <v>Just believe and pray hard, God will give us what our  hearts ' 💕💕💕desire. Ipapanalo ni Lord ito 🙏🙏🙏🙏</v>
      </c>
      <c r="F1057" s="1"/>
      <c r="G1057" s="1" t="str">
        <f>IFERROR(__xludf.DUMMYFUNCTION("""COMPUTED_VALUE"""),"3 mos")</f>
        <v>3 mos</v>
      </c>
      <c r="H1057" s="1" t="str">
        <f>IFERROR(__xludf.DUMMYFUNCTION("""COMPUTED_VALUE"""),"comment")</f>
        <v>comment</v>
      </c>
      <c r="I1057" s="2" t="str">
        <f>IFERROR(__xludf.DUMMYFUNCTION("""COMPUTED_VALUE"""),"https://www.facebook.com/rapplerdotcom/photos/a.317154781638645/5596022273751843/")</f>
        <v>https://www.facebook.com/rapplerdotcom/photos/a.317154781638645/5596022273751843/</v>
      </c>
      <c r="J1057" s="1" t="str">
        <f>IFERROR(__xludf.DUMMYFUNCTION("""COMPUTED_VALUE"""),"2022-07-04T15:39:36.624Z")</f>
        <v>2022-07-04T15:39:36.624Z</v>
      </c>
      <c r="K1057" s="1"/>
    </row>
    <row r="1058">
      <c r="A1058" s="2" t="str">
        <f>IFERROR(__xludf.DUMMYFUNCTION("""COMPUTED_VALUE"""),"https://www.facebook.com/monette.meris")</f>
        <v>https://www.facebook.com/monette.meris</v>
      </c>
      <c r="B1058" s="1" t="str">
        <f>IFERROR(__xludf.DUMMYFUNCTION("""COMPUTED_VALUE"""),"Monette Meris")</f>
        <v>Monette Meris</v>
      </c>
      <c r="C1058" s="1" t="str">
        <f>IFERROR(__xludf.DUMMYFUNCTION("""COMPUTED_VALUE"""),"Monette")</f>
        <v>Monette</v>
      </c>
      <c r="D1058" s="1" t="str">
        <f>IFERROR(__xludf.DUMMYFUNCTION("""COMPUTED_VALUE"""),"Meris")</f>
        <v>Meris</v>
      </c>
      <c r="E1058" s="1" t="str">
        <f>IFERROR(__xludf.DUMMYFUNCTION("""COMPUTED_VALUE"""),"Thank you CAMANAVA for supporting VPLeniKiko &amp; team #LeniKiko2022  #AngatBuhayLahat  #GobyernongTapatAngatBuhayLahat")</f>
        <v>Thank you CAMANAVA for supporting VPLeniKiko &amp; team #LeniKiko2022  #AngatBuhayLahat  #GobyernongTapatAngatBuhayLahat</v>
      </c>
      <c r="F1058" s="1"/>
      <c r="G1058" s="1" t="str">
        <f>IFERROR(__xludf.DUMMYFUNCTION("""COMPUTED_VALUE"""),"3 mos")</f>
        <v>3 mos</v>
      </c>
      <c r="H1058" s="1" t="str">
        <f>IFERROR(__xludf.DUMMYFUNCTION("""COMPUTED_VALUE"""),"comment")</f>
        <v>comment</v>
      </c>
      <c r="I1058" s="2" t="str">
        <f>IFERROR(__xludf.DUMMYFUNCTION("""COMPUTED_VALUE"""),"https://www.facebook.com/rapplerdotcom/photos/a.317154781638645/5596022273751843/")</f>
        <v>https://www.facebook.com/rapplerdotcom/photos/a.317154781638645/5596022273751843/</v>
      </c>
      <c r="J1058" s="1" t="str">
        <f>IFERROR(__xludf.DUMMYFUNCTION("""COMPUTED_VALUE"""),"2022-07-04T15:39:36.624Z")</f>
        <v>2022-07-04T15:39:36.624Z</v>
      </c>
      <c r="K1058" s="1"/>
    </row>
    <row r="1059">
      <c r="A1059" s="2" t="str">
        <f>IFERROR(__xludf.DUMMYFUNCTION("""COMPUTED_VALUE"""),"https://www.facebook.com/liz.lim.50115")</f>
        <v>https://www.facebook.com/liz.lim.50115</v>
      </c>
      <c r="B1059" s="1" t="str">
        <f>IFERROR(__xludf.DUMMYFUNCTION("""COMPUTED_VALUE"""),"Liz Lim")</f>
        <v>Liz Lim</v>
      </c>
      <c r="C1059" s="1" t="str">
        <f>IFERROR(__xludf.DUMMYFUNCTION("""COMPUTED_VALUE"""),"Liz")</f>
        <v>Liz</v>
      </c>
      <c r="D1059" s="1" t="str">
        <f>IFERROR(__xludf.DUMMYFUNCTION("""COMPUTED_VALUE"""),"Lim")</f>
        <v>Lim</v>
      </c>
      <c r="E1059" s="1" t="str">
        <f>IFERROR(__xludf.DUMMYFUNCTION("""COMPUTED_VALUE"""),"#AngatBuhayLahatKayLeniKiko #AngatBuhayLahat #SiKikoAngManokKo #KulayRosasAngBukas https://pinkpedia.org/wiki/Angat_Buhay:_Beneficiary_of_Farmer’s_Direct_Link_to_Market")</f>
        <v>#AngatBuhayLahatKayLeniKiko #AngatBuhayLahat #SiKikoAngManokKo #KulayRosasAngBukas https://pinkpedia.org/wiki/Angat_Buhay:_Beneficiary_of_Farmer’s_Direct_Link_to_Market</v>
      </c>
      <c r="F1059" s="1">
        <f>IFERROR(__xludf.DUMMYFUNCTION("""COMPUTED_VALUE"""),1.0)</f>
        <v>1</v>
      </c>
      <c r="G1059" s="1" t="str">
        <f>IFERROR(__xludf.DUMMYFUNCTION("""COMPUTED_VALUE"""),"3 mos")</f>
        <v>3 mos</v>
      </c>
      <c r="H1059" s="1" t="str">
        <f>IFERROR(__xludf.DUMMYFUNCTION("""COMPUTED_VALUE"""),"comment")</f>
        <v>comment</v>
      </c>
      <c r="I1059" s="2" t="str">
        <f>IFERROR(__xludf.DUMMYFUNCTION("""COMPUTED_VALUE"""),"https://www.facebook.com/rapplerdotcom/photos/a.317154781638645/5596022273751843/")</f>
        <v>https://www.facebook.com/rapplerdotcom/photos/a.317154781638645/5596022273751843/</v>
      </c>
      <c r="J1059" s="1" t="str">
        <f>IFERROR(__xludf.DUMMYFUNCTION("""COMPUTED_VALUE"""),"2022-07-04T15:39:36.624Z")</f>
        <v>2022-07-04T15:39:36.624Z</v>
      </c>
      <c r="K1059" s="1"/>
    </row>
    <row r="1060">
      <c r="A1060" s="2" t="str">
        <f>IFERROR(__xludf.DUMMYFUNCTION("""COMPUTED_VALUE"""),"https://www.facebook.com/maribel.young")</f>
        <v>https://www.facebook.com/maribel.young</v>
      </c>
      <c r="B1060" s="1" t="str">
        <f>IFERROR(__xludf.DUMMYFUNCTION("""COMPUTED_VALUE"""),"Maribel M. Young")</f>
        <v>Maribel M. Young</v>
      </c>
      <c r="C1060" s="1" t="str">
        <f>IFERROR(__xludf.DUMMYFUNCTION("""COMPUTED_VALUE"""),"Maribel")</f>
        <v>Maribel</v>
      </c>
      <c r="D1060" s="1" t="str">
        <f>IFERROR(__xludf.DUMMYFUNCTION("""COMPUTED_VALUE"""),"M. Young")</f>
        <v>M. Young</v>
      </c>
      <c r="E1060" s="1" t="str">
        <f>IFERROR(__xludf.DUMMYFUNCTION("""COMPUTED_VALUE"""),"#GobyernongTapat #AngatBuhayLahat!  #10RobredoPresident #7PangilinanVicePresident #LeniKiko2022")</f>
        <v>#GobyernongTapat #AngatBuhayLahat!  #10RobredoPresident #7PangilinanVicePresident #LeniKiko2022</v>
      </c>
      <c r="F1060" s="1"/>
      <c r="G1060" s="1" t="str">
        <f>IFERROR(__xludf.DUMMYFUNCTION("""COMPUTED_VALUE"""),"3 mos")</f>
        <v>3 mos</v>
      </c>
      <c r="H1060" s="1" t="str">
        <f>IFERROR(__xludf.DUMMYFUNCTION("""COMPUTED_VALUE"""),"comment")</f>
        <v>comment</v>
      </c>
      <c r="I1060" s="2" t="str">
        <f>IFERROR(__xludf.DUMMYFUNCTION("""COMPUTED_VALUE"""),"https://www.facebook.com/rapplerdotcom/photos/a.317154781638645/5596022273751843/")</f>
        <v>https://www.facebook.com/rapplerdotcom/photos/a.317154781638645/5596022273751843/</v>
      </c>
      <c r="J1060" s="1" t="str">
        <f>IFERROR(__xludf.DUMMYFUNCTION("""COMPUTED_VALUE"""),"2022-07-04T15:39:36.625Z")</f>
        <v>2022-07-04T15:39:36.625Z</v>
      </c>
      <c r="K1060" s="1"/>
    </row>
    <row r="1061">
      <c r="A1061" s="2" t="str">
        <f>IFERROR(__xludf.DUMMYFUNCTION("""COMPUTED_VALUE"""),"https://www.facebook.com/jenniebee.hempisao")</f>
        <v>https://www.facebook.com/jenniebee.hempisao</v>
      </c>
      <c r="B1061" s="1" t="str">
        <f>IFERROR(__xludf.DUMMYFUNCTION("""COMPUTED_VALUE"""),"Jenniebee Hempisao")</f>
        <v>Jenniebee Hempisao</v>
      </c>
      <c r="C1061" s="1" t="str">
        <f>IFERROR(__xludf.DUMMYFUNCTION("""COMPUTED_VALUE"""),"Jenniebee")</f>
        <v>Jenniebee</v>
      </c>
      <c r="D1061" s="1" t="str">
        <f>IFERROR(__xludf.DUMMYFUNCTION("""COMPUTED_VALUE"""),"Hempisao")</f>
        <v>Hempisao</v>
      </c>
      <c r="E1061" s="1" t="str">
        <f>IFERROR(__xludf.DUMMYFUNCTION("""COMPUTED_VALUE"""),"#thanks mucho caloocan #liwanag sa dilim #lenikiko2022 #tara na ipanalo na natin ito")</f>
        <v>#thanks mucho caloocan #liwanag sa dilim #lenikiko2022 #tara na ipanalo na natin ito</v>
      </c>
      <c r="F1061" s="1"/>
      <c r="G1061" s="1" t="str">
        <f>IFERROR(__xludf.DUMMYFUNCTION("""COMPUTED_VALUE"""),"3 mos")</f>
        <v>3 mos</v>
      </c>
      <c r="H1061" s="1" t="str">
        <f>IFERROR(__xludf.DUMMYFUNCTION("""COMPUTED_VALUE"""),"comment")</f>
        <v>comment</v>
      </c>
      <c r="I1061" s="2" t="str">
        <f>IFERROR(__xludf.DUMMYFUNCTION("""COMPUTED_VALUE"""),"https://www.facebook.com/rapplerdotcom/photos/a.317154781638645/5596022273751843/")</f>
        <v>https://www.facebook.com/rapplerdotcom/photos/a.317154781638645/5596022273751843/</v>
      </c>
      <c r="J1061" s="1" t="str">
        <f>IFERROR(__xludf.DUMMYFUNCTION("""COMPUTED_VALUE"""),"2022-07-04T15:39:36.625Z")</f>
        <v>2022-07-04T15:39:36.625Z</v>
      </c>
      <c r="K1061" s="1"/>
    </row>
    <row r="1062">
      <c r="A1062" s="2" t="str">
        <f>IFERROR(__xludf.DUMMYFUNCTION("""COMPUTED_VALUE"""),"https://www.facebook.com/maceciliamf")</f>
        <v>https://www.facebook.com/maceciliamf</v>
      </c>
      <c r="B1062" s="1" t="str">
        <f>IFERROR(__xludf.DUMMYFUNCTION("""COMPUTED_VALUE"""),"Cecil")</f>
        <v>Cecil</v>
      </c>
      <c r="C1062" s="1" t="str">
        <f>IFERROR(__xludf.DUMMYFUNCTION("""COMPUTED_VALUE"""),"Cecil")</f>
        <v>Cecil</v>
      </c>
      <c r="D1062" s="1"/>
      <c r="E1062" s="1" t="str">
        <f>IFERROR(__xludf.DUMMYFUNCTION("""COMPUTED_VALUE"""),"Liwanag sa dilim🌠")</f>
        <v>Liwanag sa dilim🌠</v>
      </c>
      <c r="F1062" s="1">
        <f>IFERROR(__xludf.DUMMYFUNCTION("""COMPUTED_VALUE"""),2.0)</f>
        <v>2</v>
      </c>
      <c r="G1062" s="1" t="str">
        <f>IFERROR(__xludf.DUMMYFUNCTION("""COMPUTED_VALUE"""),"3 mos")</f>
        <v>3 mos</v>
      </c>
      <c r="H1062" s="1" t="str">
        <f>IFERROR(__xludf.DUMMYFUNCTION("""COMPUTED_VALUE"""),"comment")</f>
        <v>comment</v>
      </c>
      <c r="I1062" s="2" t="str">
        <f>IFERROR(__xludf.DUMMYFUNCTION("""COMPUTED_VALUE"""),"https://www.facebook.com/rapplerdotcom/photos/a.317154781638645/5596022273751843/")</f>
        <v>https://www.facebook.com/rapplerdotcom/photos/a.317154781638645/5596022273751843/</v>
      </c>
      <c r="J1062" s="1" t="str">
        <f>IFERROR(__xludf.DUMMYFUNCTION("""COMPUTED_VALUE"""),"2022-07-04T15:39:36.625Z")</f>
        <v>2022-07-04T15:39:36.625Z</v>
      </c>
      <c r="K1062" s="1"/>
    </row>
    <row r="1063">
      <c r="A1063" s="2" t="str">
        <f>IFERROR(__xludf.DUMMYFUNCTION("""COMPUTED_VALUE"""),"https://www.facebook.com/remy.dtamayo")</f>
        <v>https://www.facebook.com/remy.dtamayo</v>
      </c>
      <c r="B1063" s="1" t="str">
        <f>IFERROR(__xludf.DUMMYFUNCTION("""COMPUTED_VALUE"""),"Remy Daguia")</f>
        <v>Remy Daguia</v>
      </c>
      <c r="C1063" s="1" t="str">
        <f>IFERROR(__xludf.DUMMYFUNCTION("""COMPUTED_VALUE"""),"Remy")</f>
        <v>Remy</v>
      </c>
      <c r="D1063" s="1" t="str">
        <f>IFERROR(__xludf.DUMMYFUNCTION("""COMPUTED_VALUE"""),"Daguia")</f>
        <v>Daguia</v>
      </c>
      <c r="E1063" s="1" t="str">
        <f>IFERROR(__xludf.DUMMYFUNCTION("""COMPUTED_VALUE"""),"Huwooowww ang ganda🥰 #CaMaNaVaIsPink #CaMaNaVaRockNRosas #CaMaNavaForLeniKiko #HelloPagkainGoodbyeGutom #LeniKikoAllTheWay #TropangAngat #GobyernongTapatAngatBuhayLahat #IpanaloNa10To #7KikoPangilinanVicePresident 😊😘🥰💗💪")</f>
        <v>Huwooowww ang ganda🥰 #CaMaNaVaIsPink #CaMaNaVaRockNRosas #CaMaNavaForLeniKiko #HelloPagkainGoodbyeGutom #LeniKikoAllTheWay #TropangAngat #GobyernongTapatAngatBuhayLahat #IpanaloNa10To #7KikoPangilinanVicePresident 😊😘🥰💗💪</v>
      </c>
      <c r="F1063" s="1">
        <f>IFERROR(__xludf.DUMMYFUNCTION("""COMPUTED_VALUE"""),3.0)</f>
        <v>3</v>
      </c>
      <c r="G1063" s="1" t="str">
        <f>IFERROR(__xludf.DUMMYFUNCTION("""COMPUTED_VALUE"""),"3 mos")</f>
        <v>3 mos</v>
      </c>
      <c r="H1063" s="1" t="str">
        <f>IFERROR(__xludf.DUMMYFUNCTION("""COMPUTED_VALUE"""),"comment")</f>
        <v>comment</v>
      </c>
      <c r="I1063" s="2" t="str">
        <f>IFERROR(__xludf.DUMMYFUNCTION("""COMPUTED_VALUE"""),"https://www.facebook.com/rapplerdotcom/photos/a.317154781638645/5596022273751843/")</f>
        <v>https://www.facebook.com/rapplerdotcom/photos/a.317154781638645/5596022273751843/</v>
      </c>
      <c r="J1063" s="1" t="str">
        <f>IFERROR(__xludf.DUMMYFUNCTION("""COMPUTED_VALUE"""),"2022-07-04T15:39:36.625Z")</f>
        <v>2022-07-04T15:39:36.625Z</v>
      </c>
      <c r="K1063" s="1"/>
    </row>
    <row r="1064">
      <c r="A1064" s="2" t="str">
        <f>IFERROR(__xludf.DUMMYFUNCTION("""COMPUTED_VALUE"""),"https://www.facebook.com/gilbert.barbacena.7")</f>
        <v>https://www.facebook.com/gilbert.barbacena.7</v>
      </c>
      <c r="B1064" s="1" t="str">
        <f>IFERROR(__xludf.DUMMYFUNCTION("""COMPUTED_VALUE"""),"Ka Berto")</f>
        <v>Ka Berto</v>
      </c>
      <c r="C1064" s="1" t="str">
        <f>IFERROR(__xludf.DUMMYFUNCTION("""COMPUTED_VALUE"""),"Ka")</f>
        <v>Ka</v>
      </c>
      <c r="D1064" s="1" t="str">
        <f>IFERROR(__xludf.DUMMYFUNCTION("""COMPUTED_VALUE"""),"Berto")</f>
        <v>Berto</v>
      </c>
      <c r="E1064" s="1" t="str">
        <f>IFERROR(__xludf.DUMMYFUNCTION("""COMPUTED_VALUE"""),"We well win for the supports of everyone. Mabuhay Tayo.")</f>
        <v>We well win for the supports of everyone. Mabuhay Tayo.</v>
      </c>
      <c r="F1064" s="1"/>
      <c r="G1064" s="1" t="str">
        <f>IFERROR(__xludf.DUMMYFUNCTION("""COMPUTED_VALUE"""),"3 mos")</f>
        <v>3 mos</v>
      </c>
      <c r="H1064" s="1" t="str">
        <f>IFERROR(__xludf.DUMMYFUNCTION("""COMPUTED_VALUE"""),"comment")</f>
        <v>comment</v>
      </c>
      <c r="I1064" s="2" t="str">
        <f>IFERROR(__xludf.DUMMYFUNCTION("""COMPUTED_VALUE"""),"https://www.facebook.com/rapplerdotcom/photos/a.317154781638645/5596022273751843/")</f>
        <v>https://www.facebook.com/rapplerdotcom/photos/a.317154781638645/5596022273751843/</v>
      </c>
      <c r="J1064" s="1" t="str">
        <f>IFERROR(__xludf.DUMMYFUNCTION("""COMPUTED_VALUE"""),"2022-07-04T15:39:36.625Z")</f>
        <v>2022-07-04T15:39:36.625Z</v>
      </c>
      <c r="K1064" s="1"/>
    </row>
    <row r="1065">
      <c r="A1065" s="2" t="str">
        <f>IFERROR(__xludf.DUMMYFUNCTION("""COMPUTED_VALUE"""),"https://www.facebook.com/nonoy.tan.7")</f>
        <v>https://www.facebook.com/nonoy.tan.7</v>
      </c>
      <c r="B1065" s="1" t="str">
        <f>IFERROR(__xludf.DUMMYFUNCTION("""COMPUTED_VALUE"""),"Nonoy Tan")</f>
        <v>Nonoy Tan</v>
      </c>
      <c r="C1065" s="1" t="str">
        <f>IFERROR(__xludf.DUMMYFUNCTION("""COMPUTED_VALUE"""),"Nonoy")</f>
        <v>Nonoy</v>
      </c>
      <c r="D1065" s="1" t="str">
        <f>IFERROR(__xludf.DUMMYFUNCTION("""COMPUTED_VALUE"""),"Tan")</f>
        <v>Tan</v>
      </c>
      <c r="E1065" s="1" t="str">
        <f>IFERROR(__xludf.DUMMYFUNCTION("""COMPUTED_VALUE"""),"Ganda! Must have been very dramatic!!!")</f>
        <v>Ganda! Must have been very dramatic!!!</v>
      </c>
      <c r="F1065" s="1">
        <f>IFERROR(__xludf.DUMMYFUNCTION("""COMPUTED_VALUE"""),1.0)</f>
        <v>1</v>
      </c>
      <c r="G1065" s="1" t="str">
        <f>IFERROR(__xludf.DUMMYFUNCTION("""COMPUTED_VALUE"""),"3 mos")</f>
        <v>3 mos</v>
      </c>
      <c r="H1065" s="1" t="str">
        <f>IFERROR(__xludf.DUMMYFUNCTION("""COMPUTED_VALUE"""),"comment")</f>
        <v>comment</v>
      </c>
      <c r="I1065" s="2" t="str">
        <f>IFERROR(__xludf.DUMMYFUNCTION("""COMPUTED_VALUE"""),"https://www.facebook.com/rapplerdotcom/photos/a.317154781638645/5596022273751843/")</f>
        <v>https://www.facebook.com/rapplerdotcom/photos/a.317154781638645/5596022273751843/</v>
      </c>
      <c r="J1065" s="1" t="str">
        <f>IFERROR(__xludf.DUMMYFUNCTION("""COMPUTED_VALUE"""),"2022-07-04T15:39:36.625Z")</f>
        <v>2022-07-04T15:39:36.625Z</v>
      </c>
      <c r="K1065" s="1"/>
    </row>
    <row r="1066">
      <c r="A1066" s="2" t="str">
        <f>IFERROR(__xludf.DUMMYFUNCTION("""COMPUTED_VALUE"""),"https://www.facebook.com/analyn.bravo")</f>
        <v>https://www.facebook.com/analyn.bravo</v>
      </c>
      <c r="B1066" s="1" t="str">
        <f>IFERROR(__xludf.DUMMYFUNCTION("""COMPUTED_VALUE"""),"Analyn Bravo")</f>
        <v>Analyn Bravo</v>
      </c>
      <c r="C1066" s="1" t="str">
        <f>IFERROR(__xludf.DUMMYFUNCTION("""COMPUTED_VALUE"""),"Analyn")</f>
        <v>Analyn</v>
      </c>
      <c r="D1066" s="1" t="str">
        <f>IFERROR(__xludf.DUMMYFUNCTION("""COMPUTED_VALUE"""),"Bravo")</f>
        <v>Bravo</v>
      </c>
      <c r="E1066" s="1" t="str">
        <f>IFERROR(__xludf.DUMMYFUNCTION("""COMPUTED_VALUE"""),"Mabuhay CaMaNaVa!  #CaMaNavaForLeniKiko #CaMaNaVaIsPink")</f>
        <v>Mabuhay CaMaNaVa!  #CaMaNavaForLeniKiko #CaMaNaVaIsPink</v>
      </c>
      <c r="F1066" s="1"/>
      <c r="G1066" s="1" t="str">
        <f>IFERROR(__xludf.DUMMYFUNCTION("""COMPUTED_VALUE"""),"3 mos")</f>
        <v>3 mos</v>
      </c>
      <c r="H1066" s="1" t="str">
        <f>IFERROR(__xludf.DUMMYFUNCTION("""COMPUTED_VALUE"""),"comment")</f>
        <v>comment</v>
      </c>
      <c r="I1066" s="2" t="str">
        <f>IFERROR(__xludf.DUMMYFUNCTION("""COMPUTED_VALUE"""),"https://www.facebook.com/rapplerdotcom/photos/a.317154781638645/5596022273751843/")</f>
        <v>https://www.facebook.com/rapplerdotcom/photos/a.317154781638645/5596022273751843/</v>
      </c>
      <c r="J1066" s="1" t="str">
        <f>IFERROR(__xludf.DUMMYFUNCTION("""COMPUTED_VALUE"""),"2022-07-04T15:39:36.625Z")</f>
        <v>2022-07-04T15:39:36.625Z</v>
      </c>
      <c r="K1066" s="1"/>
    </row>
    <row r="1067">
      <c r="A1067" s="2" t="str">
        <f>IFERROR(__xludf.DUMMYFUNCTION("""COMPUTED_VALUE"""),"https://www.facebook.com/leilani.mallorca.543")</f>
        <v>https://www.facebook.com/leilani.mallorca.543</v>
      </c>
      <c r="B1067" s="1" t="str">
        <f>IFERROR(__xludf.DUMMYFUNCTION("""COMPUTED_VALUE"""),"Leilani Mallorca")</f>
        <v>Leilani Mallorca</v>
      </c>
      <c r="C1067" s="1" t="str">
        <f>IFERROR(__xludf.DUMMYFUNCTION("""COMPUTED_VALUE"""),"Leilani")</f>
        <v>Leilani</v>
      </c>
      <c r="D1067" s="1" t="str">
        <f>IFERROR(__xludf.DUMMYFUNCTION("""COMPUTED_VALUE"""),"Mallorca")</f>
        <v>Mallorca</v>
      </c>
      <c r="E1067" s="1" t="str">
        <f>IFERROR(__xludf.DUMMYFUNCTION("""COMPUTED_VALUE"""),"Earthlovers din ang mga Pinkies!!!! Kami dto buong araw brown out so bawi sa gb hehe")</f>
        <v>Earthlovers din ang mga Pinkies!!!! Kami dto buong araw brown out so bawi sa gb hehe</v>
      </c>
      <c r="F1067" s="1">
        <f>IFERROR(__xludf.DUMMYFUNCTION("""COMPUTED_VALUE"""),4.0)</f>
        <v>4</v>
      </c>
      <c r="G1067" s="1" t="str">
        <f>IFERROR(__xludf.DUMMYFUNCTION("""COMPUTED_VALUE"""),"3 mos")</f>
        <v>3 mos</v>
      </c>
      <c r="H1067" s="1" t="str">
        <f>IFERROR(__xludf.DUMMYFUNCTION("""COMPUTED_VALUE"""),"comment")</f>
        <v>comment</v>
      </c>
      <c r="I1067" s="2" t="str">
        <f>IFERROR(__xludf.DUMMYFUNCTION("""COMPUTED_VALUE"""),"https://www.facebook.com/rapplerdotcom/photos/a.317154781638645/5596022273751843/")</f>
        <v>https://www.facebook.com/rapplerdotcom/photos/a.317154781638645/5596022273751843/</v>
      </c>
      <c r="J1067" s="1" t="str">
        <f>IFERROR(__xludf.DUMMYFUNCTION("""COMPUTED_VALUE"""),"2022-07-04T15:39:36.625Z")</f>
        <v>2022-07-04T15:39:36.625Z</v>
      </c>
      <c r="K1067" s="1"/>
    </row>
    <row r="1068">
      <c r="A1068" s="2" t="str">
        <f>IFERROR(__xludf.DUMMYFUNCTION("""COMPUTED_VALUE"""),"https://www.facebook.com/guenkisses")</f>
        <v>https://www.facebook.com/guenkisses</v>
      </c>
      <c r="B1068" s="1" t="str">
        <f>IFERROR(__xludf.DUMMYFUNCTION("""COMPUTED_VALUE"""),"Enelram Opmac")</f>
        <v>Enelram Opmac</v>
      </c>
      <c r="C1068" s="1" t="str">
        <f>IFERROR(__xludf.DUMMYFUNCTION("""COMPUTED_VALUE"""),"Enelram")</f>
        <v>Enelram</v>
      </c>
      <c r="D1068" s="1" t="str">
        <f>IFERROR(__xludf.DUMMYFUNCTION("""COMPUTED_VALUE"""),"Opmac")</f>
        <v>Opmac</v>
      </c>
      <c r="E1068" s="1" t="str">
        <f>IFERROR(__xludf.DUMMYFUNCTION("""COMPUTED_VALUE"""),"Goodluck✌️❤️🇵🇭")</f>
        <v>Goodluck✌️❤️🇵🇭</v>
      </c>
      <c r="F1068" s="1">
        <f>IFERROR(__xludf.DUMMYFUNCTION("""COMPUTED_VALUE"""),2.0)</f>
        <v>2</v>
      </c>
      <c r="G1068" s="1" t="str">
        <f>IFERROR(__xludf.DUMMYFUNCTION("""COMPUTED_VALUE"""),"3 mos")</f>
        <v>3 mos</v>
      </c>
      <c r="H1068" s="1" t="str">
        <f>IFERROR(__xludf.DUMMYFUNCTION("""COMPUTED_VALUE"""),"comment")</f>
        <v>comment</v>
      </c>
      <c r="I1068" s="2" t="str">
        <f>IFERROR(__xludf.DUMMYFUNCTION("""COMPUTED_VALUE"""),"https://www.facebook.com/rapplerdotcom/photos/a.317154781638645/5596022273751843/")</f>
        <v>https://www.facebook.com/rapplerdotcom/photos/a.317154781638645/5596022273751843/</v>
      </c>
      <c r="J1068" s="1" t="str">
        <f>IFERROR(__xludf.DUMMYFUNCTION("""COMPUTED_VALUE"""),"2022-07-04T15:39:36.625Z")</f>
        <v>2022-07-04T15:39:36.625Z</v>
      </c>
      <c r="K1068" s="1"/>
    </row>
    <row r="1069">
      <c r="A1069" s="2" t="str">
        <f>IFERROR(__xludf.DUMMYFUNCTION("""COMPUTED_VALUE"""),"https://www.facebook.com/gem.lazaro")</f>
        <v>https://www.facebook.com/gem.lazaro</v>
      </c>
      <c r="B1069" s="1" t="str">
        <f>IFERROR(__xludf.DUMMYFUNCTION("""COMPUTED_VALUE"""),"Gem Lazaro")</f>
        <v>Gem Lazaro</v>
      </c>
      <c r="C1069" s="1" t="str">
        <f>IFERROR(__xludf.DUMMYFUNCTION("""COMPUTED_VALUE"""),"Gem")</f>
        <v>Gem</v>
      </c>
      <c r="D1069" s="1" t="str">
        <f>IFERROR(__xludf.DUMMYFUNCTION("""COMPUTED_VALUE"""),"Lazaro")</f>
        <v>Lazaro</v>
      </c>
      <c r="E1069" s="1" t="str">
        <f>IFERROR(__xludf.DUMMYFUNCTION("""COMPUTED_VALUE"""),"Ganda💖💖💖")</f>
        <v>Ganda💖💖💖</v>
      </c>
      <c r="F1069" s="1">
        <f>IFERROR(__xludf.DUMMYFUNCTION("""COMPUTED_VALUE"""),1.0)</f>
        <v>1</v>
      </c>
      <c r="G1069" s="1" t="str">
        <f>IFERROR(__xludf.DUMMYFUNCTION("""COMPUTED_VALUE"""),"3 mos")</f>
        <v>3 mos</v>
      </c>
      <c r="H1069" s="1" t="str">
        <f>IFERROR(__xludf.DUMMYFUNCTION("""COMPUTED_VALUE"""),"comment")</f>
        <v>comment</v>
      </c>
      <c r="I1069" s="2" t="str">
        <f>IFERROR(__xludf.DUMMYFUNCTION("""COMPUTED_VALUE"""),"https://www.facebook.com/rapplerdotcom/photos/a.317154781638645/5596022273751843/")</f>
        <v>https://www.facebook.com/rapplerdotcom/photos/a.317154781638645/5596022273751843/</v>
      </c>
      <c r="J1069" s="1" t="str">
        <f>IFERROR(__xludf.DUMMYFUNCTION("""COMPUTED_VALUE"""),"2022-07-04T15:39:36.625Z")</f>
        <v>2022-07-04T15:39:36.625Z</v>
      </c>
      <c r="K1069" s="1"/>
    </row>
    <row r="1070">
      <c r="A1070" s="2" t="str">
        <f>IFERROR(__xludf.DUMMYFUNCTION("""COMPUTED_VALUE"""),"https://www.facebook.com/asset.serrano")</f>
        <v>https://www.facebook.com/asset.serrano</v>
      </c>
      <c r="B1070" s="1" t="str">
        <f>IFERROR(__xludf.DUMMYFUNCTION("""COMPUTED_VALUE"""),"Asset Serrano")</f>
        <v>Asset Serrano</v>
      </c>
      <c r="C1070" s="1" t="str">
        <f>IFERROR(__xludf.DUMMYFUNCTION("""COMPUTED_VALUE"""),"Asset")</f>
        <v>Asset</v>
      </c>
      <c r="D1070" s="1" t="str">
        <f>IFERROR(__xludf.DUMMYFUNCTION("""COMPUTED_VALUE"""),"Serrano")</f>
        <v>Serrano</v>
      </c>
      <c r="E1070" s="1" t="str">
        <f>IFERROR(__xludf.DUMMYFUNCTION("""COMPUTED_VALUE"""),"BABAWI KAMI mam! Ipapanalo ka na namin sa CAMANAVA!")</f>
        <v>BABAWI KAMI mam! Ipapanalo ka na namin sa CAMANAVA!</v>
      </c>
      <c r="F1070" s="1">
        <f>IFERROR(__xludf.DUMMYFUNCTION("""COMPUTED_VALUE"""),1.0)</f>
        <v>1</v>
      </c>
      <c r="G1070" s="1" t="str">
        <f>IFERROR(__xludf.DUMMYFUNCTION("""COMPUTED_VALUE"""),"3 mos")</f>
        <v>3 mos</v>
      </c>
      <c r="H1070" s="1" t="str">
        <f>IFERROR(__xludf.DUMMYFUNCTION("""COMPUTED_VALUE"""),"comment")</f>
        <v>comment</v>
      </c>
      <c r="I1070" s="2" t="str">
        <f>IFERROR(__xludf.DUMMYFUNCTION("""COMPUTED_VALUE"""),"https://www.facebook.com/rapplerdotcom/photos/a.317154781638645/5596022273751843/")</f>
        <v>https://www.facebook.com/rapplerdotcom/photos/a.317154781638645/5596022273751843/</v>
      </c>
      <c r="J1070" s="1" t="str">
        <f>IFERROR(__xludf.DUMMYFUNCTION("""COMPUTED_VALUE"""),"2022-07-04T15:39:36.625Z")</f>
        <v>2022-07-04T15:39:36.625Z</v>
      </c>
      <c r="K1070" s="1"/>
    </row>
    <row r="1071">
      <c r="A1071" s="2" t="str">
        <f>IFERROR(__xludf.DUMMYFUNCTION("""COMPUTED_VALUE"""),"https://www.facebook.com/cherylmae.cy.73")</f>
        <v>https://www.facebook.com/cherylmae.cy.73</v>
      </c>
      <c r="B1071" s="1" t="str">
        <f>IFERROR(__xludf.DUMMYFUNCTION("""COMPUTED_VALUE"""),"Cheryl Mae Suguihan")</f>
        <v>Cheryl Mae Suguihan</v>
      </c>
      <c r="C1071" s="1" t="str">
        <f>IFERROR(__xludf.DUMMYFUNCTION("""COMPUTED_VALUE"""),"Cheryl")</f>
        <v>Cheryl</v>
      </c>
      <c r="D1071" s="1" t="str">
        <f>IFERROR(__xludf.DUMMYFUNCTION("""COMPUTED_VALUE"""),"Mae Suguihan")</f>
        <v>Mae Suguihan</v>
      </c>
      <c r="E1071" s="1" t="str">
        <f>IFERROR(__xludf.DUMMYFUNCTION("""COMPUTED_VALUE"""),"Mga oppa 😂😂😂")</f>
        <v>Mga oppa 😂😂😂</v>
      </c>
      <c r="F1071" s="1">
        <f>IFERROR(__xludf.DUMMYFUNCTION("""COMPUTED_VALUE"""),1.0)</f>
        <v>1</v>
      </c>
      <c r="G1071" s="1" t="str">
        <f>IFERROR(__xludf.DUMMYFUNCTION("""COMPUTED_VALUE"""),"3 mos")</f>
        <v>3 mos</v>
      </c>
      <c r="H1071" s="1" t="str">
        <f>IFERROR(__xludf.DUMMYFUNCTION("""COMPUTED_VALUE"""),"comment")</f>
        <v>comment</v>
      </c>
      <c r="I1071" s="2" t="str">
        <f>IFERROR(__xludf.DUMMYFUNCTION("""COMPUTED_VALUE"""),"https://www.facebook.com/rapplerdotcom/photos/a.317154781638645/5596022273751843/")</f>
        <v>https://www.facebook.com/rapplerdotcom/photos/a.317154781638645/5596022273751843/</v>
      </c>
      <c r="J1071" s="1" t="str">
        <f>IFERROR(__xludf.DUMMYFUNCTION("""COMPUTED_VALUE"""),"2022-07-04T15:39:36.625Z")</f>
        <v>2022-07-04T15:39:36.625Z</v>
      </c>
      <c r="K1071" s="1"/>
    </row>
    <row r="1072">
      <c r="A1072" s="2" t="str">
        <f>IFERROR(__xludf.DUMMYFUNCTION("""COMPUTED_VALUE"""),"https://www.facebook.com/regina.r.bastida")</f>
        <v>https://www.facebook.com/regina.r.bastida</v>
      </c>
      <c r="B1072" s="1" t="str">
        <f>IFERROR(__xludf.DUMMYFUNCTION("""COMPUTED_VALUE"""),"Regina Bastida Montargo")</f>
        <v>Regina Bastida Montargo</v>
      </c>
      <c r="C1072" s="1" t="str">
        <f>IFERROR(__xludf.DUMMYFUNCTION("""COMPUTED_VALUE"""),"Regina")</f>
        <v>Regina</v>
      </c>
      <c r="D1072" s="1" t="str">
        <f>IFERROR(__xludf.DUMMYFUNCTION("""COMPUTED_VALUE"""),"Bastida Montargo")</f>
        <v>Bastida Montargo</v>
      </c>
      <c r="E1072" s="1" t="str">
        <f>IFERROR(__xludf.DUMMYFUNCTION("""COMPUTED_VALUE"""),"God bless po LENIKIKO💗💗💗🙏")</f>
        <v>God bless po LENIKIKO💗💗💗🙏</v>
      </c>
      <c r="F1072" s="1"/>
      <c r="G1072" s="1" t="str">
        <f>IFERROR(__xludf.DUMMYFUNCTION("""COMPUTED_VALUE"""),"3 mos")</f>
        <v>3 mos</v>
      </c>
      <c r="H1072" s="1" t="str">
        <f>IFERROR(__xludf.DUMMYFUNCTION("""COMPUTED_VALUE"""),"comment")</f>
        <v>comment</v>
      </c>
      <c r="I1072" s="2" t="str">
        <f>IFERROR(__xludf.DUMMYFUNCTION("""COMPUTED_VALUE"""),"https://www.facebook.com/rapplerdotcom/photos/a.317154781638645/5596022273751843/")</f>
        <v>https://www.facebook.com/rapplerdotcom/photos/a.317154781638645/5596022273751843/</v>
      </c>
      <c r="J1072" s="1" t="str">
        <f>IFERROR(__xludf.DUMMYFUNCTION("""COMPUTED_VALUE"""),"2022-07-04T15:39:36.625Z")</f>
        <v>2022-07-04T15:39:36.625Z</v>
      </c>
      <c r="K1072" s="1"/>
    </row>
    <row r="1073">
      <c r="A1073" s="2" t="str">
        <f>IFERROR(__xludf.DUMMYFUNCTION("""COMPUTED_VALUE"""),"https://www.facebook.com/ruby.galura")</f>
        <v>https://www.facebook.com/ruby.galura</v>
      </c>
      <c r="B1073" s="1" t="str">
        <f>IFERROR(__xludf.DUMMYFUNCTION("""COMPUTED_VALUE"""),"Ruby Lung")</f>
        <v>Ruby Lung</v>
      </c>
      <c r="C1073" s="1" t="str">
        <f>IFERROR(__xludf.DUMMYFUNCTION("""COMPUTED_VALUE"""),"Ruby")</f>
        <v>Ruby</v>
      </c>
      <c r="D1073" s="1" t="str">
        <f>IFERROR(__xludf.DUMMYFUNCTION("""COMPUTED_VALUE"""),"Lung")</f>
        <v>Lung</v>
      </c>
      <c r="E1073" s="1" t="str">
        <f>IFERROR(__xludf.DUMMYFUNCTION("""COMPUTED_VALUE"""),"#KulayRosasAngBukas #at kumukutitap❤❤❤")</f>
        <v>#KulayRosasAngBukas #at kumukutitap❤❤❤</v>
      </c>
      <c r="F1073" s="1">
        <f>IFERROR(__xludf.DUMMYFUNCTION("""COMPUTED_VALUE"""),1.0)</f>
        <v>1</v>
      </c>
      <c r="G1073" s="1" t="str">
        <f>IFERROR(__xludf.DUMMYFUNCTION("""COMPUTED_VALUE"""),"3 mos")</f>
        <v>3 mos</v>
      </c>
      <c r="H1073" s="1" t="str">
        <f>IFERROR(__xludf.DUMMYFUNCTION("""COMPUTED_VALUE"""),"comment")</f>
        <v>comment</v>
      </c>
      <c r="I1073" s="2" t="str">
        <f>IFERROR(__xludf.DUMMYFUNCTION("""COMPUTED_VALUE"""),"https://www.facebook.com/rapplerdotcom/photos/a.317154781638645/5596022273751843/")</f>
        <v>https://www.facebook.com/rapplerdotcom/photos/a.317154781638645/5596022273751843/</v>
      </c>
      <c r="J1073" s="1" t="str">
        <f>IFERROR(__xludf.DUMMYFUNCTION("""COMPUTED_VALUE"""),"2022-07-04T15:39:36.625Z")</f>
        <v>2022-07-04T15:39:36.625Z</v>
      </c>
      <c r="K1073" s="1"/>
    </row>
    <row r="1074">
      <c r="A1074" s="2" t="str">
        <f>IFERROR(__xludf.DUMMYFUNCTION("""COMPUTED_VALUE"""),"https://www.facebook.com/restituto.mangalindan")</f>
        <v>https://www.facebook.com/restituto.mangalindan</v>
      </c>
      <c r="B1074" s="1" t="str">
        <f>IFERROR(__xludf.DUMMYFUNCTION("""COMPUTED_VALUE"""),"Magaling Na Daan")</f>
        <v>Magaling Na Daan</v>
      </c>
      <c r="C1074" s="1" t="str">
        <f>IFERROR(__xludf.DUMMYFUNCTION("""COMPUTED_VALUE"""),"Magaling")</f>
        <v>Magaling</v>
      </c>
      <c r="D1074" s="1" t="str">
        <f>IFERROR(__xludf.DUMMYFUNCTION("""COMPUTED_VALUE"""),"Na Daan")</f>
        <v>Na Daan</v>
      </c>
      <c r="E1074" s="1" t="str">
        <f>IFERROR(__xludf.DUMMYFUNCTION("""COMPUTED_VALUE"""),"Liwanag sa Dilim💕")</f>
        <v>Liwanag sa Dilim💕</v>
      </c>
      <c r="F1074" s="1"/>
      <c r="G1074" s="1" t="str">
        <f>IFERROR(__xludf.DUMMYFUNCTION("""COMPUTED_VALUE"""),"3 mos")</f>
        <v>3 mos</v>
      </c>
      <c r="H1074" s="1" t="str">
        <f>IFERROR(__xludf.DUMMYFUNCTION("""COMPUTED_VALUE"""),"comment")</f>
        <v>comment</v>
      </c>
      <c r="I1074" s="2" t="str">
        <f>IFERROR(__xludf.DUMMYFUNCTION("""COMPUTED_VALUE"""),"https://www.facebook.com/rapplerdotcom/photos/a.317154781638645/5596022273751843/")</f>
        <v>https://www.facebook.com/rapplerdotcom/photos/a.317154781638645/5596022273751843/</v>
      </c>
      <c r="J1074" s="1" t="str">
        <f>IFERROR(__xludf.DUMMYFUNCTION("""COMPUTED_VALUE"""),"2022-07-04T15:39:36.625Z")</f>
        <v>2022-07-04T15:39:36.625Z</v>
      </c>
      <c r="K1074" s="1"/>
    </row>
    <row r="1075">
      <c r="A1075" s="2" t="str">
        <f>IFERROR(__xludf.DUMMYFUNCTION("""COMPUTED_VALUE"""),"https://www.facebook.com/kap.riegodedios")</f>
        <v>https://www.facebook.com/kap.riegodedios</v>
      </c>
      <c r="B1075" s="1" t="str">
        <f>IFERROR(__xludf.DUMMYFUNCTION("""COMPUTED_VALUE"""),"Kap Riego de Dios")</f>
        <v>Kap Riego de Dios</v>
      </c>
      <c r="C1075" s="1" t="str">
        <f>IFERROR(__xludf.DUMMYFUNCTION("""COMPUTED_VALUE"""),"Kap")</f>
        <v>Kap</v>
      </c>
      <c r="D1075" s="1" t="str">
        <f>IFERROR(__xludf.DUMMYFUNCTION("""COMPUTED_VALUE"""),"Riego de Dios")</f>
        <v>Riego de Dios</v>
      </c>
      <c r="E1075" s="1" t="str">
        <f>IFERROR(__xludf.DUMMYFUNCTION("""COMPUTED_VALUE"""),"Maraming salamat po")</f>
        <v>Maraming salamat po</v>
      </c>
      <c r="F1075" s="1"/>
      <c r="G1075" s="1" t="str">
        <f>IFERROR(__xludf.DUMMYFUNCTION("""COMPUTED_VALUE"""),"3 mos")</f>
        <v>3 mos</v>
      </c>
      <c r="H1075" s="1" t="str">
        <f>IFERROR(__xludf.DUMMYFUNCTION("""COMPUTED_VALUE"""),"comment")</f>
        <v>comment</v>
      </c>
      <c r="I1075" s="2" t="str">
        <f>IFERROR(__xludf.DUMMYFUNCTION("""COMPUTED_VALUE"""),"https://www.facebook.com/rapplerdotcom/photos/a.317154781638645/5596022273751843/")</f>
        <v>https://www.facebook.com/rapplerdotcom/photos/a.317154781638645/5596022273751843/</v>
      </c>
      <c r="J1075" s="1" t="str">
        <f>IFERROR(__xludf.DUMMYFUNCTION("""COMPUTED_VALUE"""),"2022-07-04T15:39:36.625Z")</f>
        <v>2022-07-04T15:39:36.625Z</v>
      </c>
      <c r="K1075" s="1"/>
    </row>
    <row r="1076">
      <c r="A1076" s="2" t="str">
        <f>IFERROR(__xludf.DUMMYFUNCTION("""COMPUTED_VALUE"""),"https://www.facebook.com/uycheskaanne")</f>
        <v>https://www.facebook.com/uycheskaanne</v>
      </c>
      <c r="B1076" s="1" t="str">
        <f>IFERROR(__xludf.DUMMYFUNCTION("""COMPUTED_VALUE"""),"Cheska Uy")</f>
        <v>Cheska Uy</v>
      </c>
      <c r="C1076" s="1" t="str">
        <f>IFERROR(__xludf.DUMMYFUNCTION("""COMPUTED_VALUE"""),"Cheska")</f>
        <v>Cheska</v>
      </c>
      <c r="D1076" s="1" t="str">
        <f>IFERROR(__xludf.DUMMYFUNCTION("""COMPUTED_VALUE"""),"Uy")</f>
        <v>Uy</v>
      </c>
      <c r="E1076" s="1" t="str">
        <f>IFERROR(__xludf.DUMMYFUNCTION("""COMPUTED_VALUE"""),"Liwanag sa dilim ✨")</f>
        <v>Liwanag sa dilim ✨</v>
      </c>
      <c r="F1076" s="1"/>
      <c r="G1076" s="1" t="str">
        <f>IFERROR(__xludf.DUMMYFUNCTION("""COMPUTED_VALUE"""),"3 mos")</f>
        <v>3 mos</v>
      </c>
      <c r="H1076" s="1" t="str">
        <f>IFERROR(__xludf.DUMMYFUNCTION("""COMPUTED_VALUE"""),"comment")</f>
        <v>comment</v>
      </c>
      <c r="I1076" s="2" t="str">
        <f>IFERROR(__xludf.DUMMYFUNCTION("""COMPUTED_VALUE"""),"https://www.facebook.com/rapplerdotcom/photos/a.317154781638645/5596022273751843/")</f>
        <v>https://www.facebook.com/rapplerdotcom/photos/a.317154781638645/5596022273751843/</v>
      </c>
      <c r="J1076" s="1" t="str">
        <f>IFERROR(__xludf.DUMMYFUNCTION("""COMPUTED_VALUE"""),"2022-07-04T15:39:36.625Z")</f>
        <v>2022-07-04T15:39:36.625Z</v>
      </c>
      <c r="K1076" s="1"/>
    </row>
    <row r="1077">
      <c r="A1077" s="2" t="str">
        <f>IFERROR(__xludf.DUMMYFUNCTION("""COMPUTED_VALUE"""),"https://www.facebook.com/mynameis.leagirl")</f>
        <v>https://www.facebook.com/mynameis.leagirl</v>
      </c>
      <c r="B1077" s="1" t="str">
        <f>IFERROR(__xludf.DUMMYFUNCTION("""COMPUTED_VALUE"""),"Lea Lrn")</f>
        <v>Lea Lrn</v>
      </c>
      <c r="C1077" s="1" t="str">
        <f>IFERROR(__xludf.DUMMYFUNCTION("""COMPUTED_VALUE"""),"Lea")</f>
        <v>Lea</v>
      </c>
      <c r="D1077" s="1" t="str">
        <f>IFERROR(__xludf.DUMMYFUNCTION("""COMPUTED_VALUE"""),"Lrn")</f>
        <v>Lrn</v>
      </c>
      <c r="E1077" s="1" t="str">
        <f>IFERROR(__xludf.DUMMYFUNCTION("""COMPUTED_VALUE"""),"Liwanag Sa Dilim! 💗")</f>
        <v>Liwanag Sa Dilim! 💗</v>
      </c>
      <c r="F1077" s="1">
        <f>IFERROR(__xludf.DUMMYFUNCTION("""COMPUTED_VALUE"""),1.0)</f>
        <v>1</v>
      </c>
      <c r="G1077" s="1" t="str">
        <f>IFERROR(__xludf.DUMMYFUNCTION("""COMPUTED_VALUE"""),"3 mos")</f>
        <v>3 mos</v>
      </c>
      <c r="H1077" s="1" t="str">
        <f>IFERROR(__xludf.DUMMYFUNCTION("""COMPUTED_VALUE"""),"comment")</f>
        <v>comment</v>
      </c>
      <c r="I1077" s="2" t="str">
        <f>IFERROR(__xludf.DUMMYFUNCTION("""COMPUTED_VALUE"""),"https://www.facebook.com/rapplerdotcom/photos/a.317154781638645/5596022273751843/")</f>
        <v>https://www.facebook.com/rapplerdotcom/photos/a.317154781638645/5596022273751843/</v>
      </c>
      <c r="J1077" s="1" t="str">
        <f>IFERROR(__xludf.DUMMYFUNCTION("""COMPUTED_VALUE"""),"2022-07-04T15:39:36.625Z")</f>
        <v>2022-07-04T15:39:36.625Z</v>
      </c>
      <c r="K1077" s="1"/>
    </row>
    <row r="1078">
      <c r="A1078" s="2" t="str">
        <f>IFERROR(__xludf.DUMMYFUNCTION("""COMPUTED_VALUE"""),"https://www.facebook.com/joseph.aniversario.9")</f>
        <v>https://www.facebook.com/joseph.aniversario.9</v>
      </c>
      <c r="B1078" s="1" t="str">
        <f>IFERROR(__xludf.DUMMYFUNCTION("""COMPUTED_VALUE"""),"Joseph Aniversario")</f>
        <v>Joseph Aniversario</v>
      </c>
      <c r="C1078" s="1" t="str">
        <f>IFERROR(__xludf.DUMMYFUNCTION("""COMPUTED_VALUE"""),"Joseph")</f>
        <v>Joseph</v>
      </c>
      <c r="D1078" s="1" t="str">
        <f>IFERROR(__xludf.DUMMYFUNCTION("""COMPUTED_VALUE"""),"Aniversario")</f>
        <v>Aniversario</v>
      </c>
      <c r="E1078" s="1" t="str">
        <f>IFERROR(__xludf.DUMMYFUNCTION("""COMPUTED_VALUE"""),"Kulay pink")</f>
        <v>Kulay pink</v>
      </c>
      <c r="F1078" s="1"/>
      <c r="G1078" s="1" t="str">
        <f>IFERROR(__xludf.DUMMYFUNCTION("""COMPUTED_VALUE"""),"3 mos")</f>
        <v>3 mos</v>
      </c>
      <c r="H1078" s="1" t="str">
        <f>IFERROR(__xludf.DUMMYFUNCTION("""COMPUTED_VALUE"""),"comment")</f>
        <v>comment</v>
      </c>
      <c r="I1078" s="2" t="str">
        <f>IFERROR(__xludf.DUMMYFUNCTION("""COMPUTED_VALUE"""),"https://www.facebook.com/rapplerdotcom/photos/a.317154781638645/5596022273751843/")</f>
        <v>https://www.facebook.com/rapplerdotcom/photos/a.317154781638645/5596022273751843/</v>
      </c>
      <c r="J1078" s="1" t="str">
        <f>IFERROR(__xludf.DUMMYFUNCTION("""COMPUTED_VALUE"""),"2022-07-04T15:39:36.625Z")</f>
        <v>2022-07-04T15:39:36.625Z</v>
      </c>
      <c r="K1078" s="1"/>
    </row>
    <row r="1079">
      <c r="A1079" s="2" t="str">
        <f>IFERROR(__xludf.DUMMYFUNCTION("""COMPUTED_VALUE"""),"https://www.facebook.com/gorife.selas")</f>
        <v>https://www.facebook.com/gorife.selas</v>
      </c>
      <c r="B1079" s="1" t="str">
        <f>IFERROR(__xludf.DUMMYFUNCTION("""COMPUTED_VALUE"""),"Gorife Selas")</f>
        <v>Gorife Selas</v>
      </c>
      <c r="C1079" s="1" t="str">
        <f>IFERROR(__xludf.DUMMYFUNCTION("""COMPUTED_VALUE"""),"Gorife")</f>
        <v>Gorife</v>
      </c>
      <c r="D1079" s="1" t="str">
        <f>IFERROR(__xludf.DUMMYFUNCTION("""COMPUTED_VALUE"""),"Selas")</f>
        <v>Selas</v>
      </c>
      <c r="E1079" s="1" t="str">
        <f>IFERROR(__xludf.DUMMYFUNCTION("""COMPUTED_VALUE"""),"Ang ganda tingnan!!!! Laban 💪💪💪💗")</f>
        <v>Ang ganda tingnan!!!! Laban 💪💪💪💗</v>
      </c>
      <c r="F1079" s="1"/>
      <c r="G1079" s="1" t="str">
        <f>IFERROR(__xludf.DUMMYFUNCTION("""COMPUTED_VALUE"""),"3 mos")</f>
        <v>3 mos</v>
      </c>
      <c r="H1079" s="1" t="str">
        <f>IFERROR(__xludf.DUMMYFUNCTION("""COMPUTED_VALUE"""),"comment")</f>
        <v>comment</v>
      </c>
      <c r="I1079" s="2" t="str">
        <f>IFERROR(__xludf.DUMMYFUNCTION("""COMPUTED_VALUE"""),"https://www.facebook.com/rapplerdotcom/photos/a.317154781638645/5596022273751843/")</f>
        <v>https://www.facebook.com/rapplerdotcom/photos/a.317154781638645/5596022273751843/</v>
      </c>
      <c r="J1079" s="1" t="str">
        <f>IFERROR(__xludf.DUMMYFUNCTION("""COMPUTED_VALUE"""),"2022-07-04T15:39:36.625Z")</f>
        <v>2022-07-04T15:39:36.625Z</v>
      </c>
      <c r="K1079" s="1"/>
    </row>
    <row r="1080">
      <c r="A1080" s="2" t="str">
        <f>IFERROR(__xludf.DUMMYFUNCTION("""COMPUTED_VALUE"""),"https://www.facebook.com/joviegee")</f>
        <v>https://www.facebook.com/joviegee</v>
      </c>
      <c r="B1080" s="1" t="str">
        <f>IFERROR(__xludf.DUMMYFUNCTION("""COMPUTED_VALUE"""),"Jovie Gratuito")</f>
        <v>Jovie Gratuito</v>
      </c>
      <c r="C1080" s="1" t="str">
        <f>IFERROR(__xludf.DUMMYFUNCTION("""COMPUTED_VALUE"""),"Jovie")</f>
        <v>Jovie</v>
      </c>
      <c r="D1080" s="1" t="str">
        <f>IFERROR(__xludf.DUMMYFUNCTION("""COMPUTED_VALUE"""),"Gratuito")</f>
        <v>Gratuito</v>
      </c>
      <c r="E1080" s="1" t="str">
        <f>IFERROR(__xludf.DUMMYFUNCTION("""COMPUTED_VALUE"""),"#LeniKiko  Mahal tayo at mahal ang mundo! 💡🌍🌷")</f>
        <v>#LeniKiko  Mahal tayo at mahal ang mundo! 💡🌍🌷</v>
      </c>
      <c r="F1080" s="1">
        <f>IFERROR(__xludf.DUMMYFUNCTION("""COMPUTED_VALUE"""),8.0)</f>
        <v>8</v>
      </c>
      <c r="G1080" s="1" t="str">
        <f>IFERROR(__xludf.DUMMYFUNCTION("""COMPUTED_VALUE"""),"3 mos")</f>
        <v>3 mos</v>
      </c>
      <c r="H1080" s="1" t="str">
        <f>IFERROR(__xludf.DUMMYFUNCTION("""COMPUTED_VALUE"""),"comment")</f>
        <v>comment</v>
      </c>
      <c r="I1080" s="2" t="str">
        <f>IFERROR(__xludf.DUMMYFUNCTION("""COMPUTED_VALUE"""),"https://www.facebook.com/rapplerdotcom/photos/a.317154781638645/5596022273751843/")</f>
        <v>https://www.facebook.com/rapplerdotcom/photos/a.317154781638645/5596022273751843/</v>
      </c>
      <c r="J1080" s="1" t="str">
        <f>IFERROR(__xludf.DUMMYFUNCTION("""COMPUTED_VALUE"""),"2022-07-04T15:39:36.625Z")</f>
        <v>2022-07-04T15:39:36.625Z</v>
      </c>
      <c r="K1080" s="1"/>
    </row>
    <row r="1081">
      <c r="A1081" s="2" t="str">
        <f>IFERROR(__xludf.DUMMYFUNCTION("""COMPUTED_VALUE"""),"https://www.facebook.com/everayo")</f>
        <v>https://www.facebook.com/everayo</v>
      </c>
      <c r="B1081" s="1" t="str">
        <f>IFERROR(__xludf.DUMMYFUNCTION("""COMPUTED_VALUE"""),"Emily Verayo")</f>
        <v>Emily Verayo</v>
      </c>
      <c r="C1081" s="1" t="str">
        <f>IFERROR(__xludf.DUMMYFUNCTION("""COMPUTED_VALUE"""),"Emily")</f>
        <v>Emily</v>
      </c>
      <c r="D1081" s="1" t="str">
        <f>IFERROR(__xludf.DUMMYFUNCTION("""COMPUTED_VALUE"""),"Verayo")</f>
        <v>Verayo</v>
      </c>
      <c r="E1081" s="1" t="str">
        <f>IFERROR(__xludf.DUMMYFUNCTION("""COMPUTED_VALUE"""),"Alitaptap sa dilim😊🌸")</f>
        <v>Alitaptap sa dilim😊🌸</v>
      </c>
      <c r="F1081" s="1">
        <f>IFERROR(__xludf.DUMMYFUNCTION("""COMPUTED_VALUE"""),1.0)</f>
        <v>1</v>
      </c>
      <c r="G1081" s="1" t="str">
        <f>IFERROR(__xludf.DUMMYFUNCTION("""COMPUTED_VALUE"""),"3 mos")</f>
        <v>3 mos</v>
      </c>
      <c r="H1081" s="1" t="str">
        <f>IFERROR(__xludf.DUMMYFUNCTION("""COMPUTED_VALUE"""),"comment")</f>
        <v>comment</v>
      </c>
      <c r="I1081" s="2" t="str">
        <f>IFERROR(__xludf.DUMMYFUNCTION("""COMPUTED_VALUE"""),"https://www.facebook.com/rapplerdotcom/photos/a.317154781638645/5596022273751843/")</f>
        <v>https://www.facebook.com/rapplerdotcom/photos/a.317154781638645/5596022273751843/</v>
      </c>
      <c r="J1081" s="1" t="str">
        <f>IFERROR(__xludf.DUMMYFUNCTION("""COMPUTED_VALUE"""),"2022-07-04T15:39:36.625Z")</f>
        <v>2022-07-04T15:39:36.625Z</v>
      </c>
      <c r="K1081" s="1"/>
    </row>
    <row r="1082">
      <c r="A1082" s="2" t="str">
        <f>IFERROR(__xludf.DUMMYFUNCTION("""COMPUTED_VALUE"""),"https://www.facebook.com/yonehl.inasor")</f>
        <v>https://www.facebook.com/yonehl.inasor</v>
      </c>
      <c r="B1082" s="1" t="str">
        <f>IFERROR(__xludf.DUMMYFUNCTION("""COMPUTED_VALUE"""),"Inasor Acosta")</f>
        <v>Inasor Acosta</v>
      </c>
      <c r="C1082" s="1" t="str">
        <f>IFERROR(__xludf.DUMMYFUNCTION("""COMPUTED_VALUE"""),"Inasor")</f>
        <v>Inasor</v>
      </c>
      <c r="D1082" s="1" t="str">
        <f>IFERROR(__xludf.DUMMYFUNCTION("""COMPUTED_VALUE"""),"Acosta")</f>
        <v>Acosta</v>
      </c>
      <c r="E1082" s="1" t="str">
        <f>IFERROR(__xludf.DUMMYFUNCTION("""COMPUTED_VALUE"""),"Salamat camanava...")</f>
        <v>Salamat camanava...</v>
      </c>
      <c r="F1082" s="1"/>
      <c r="G1082" s="1" t="str">
        <f>IFERROR(__xludf.DUMMYFUNCTION("""COMPUTED_VALUE"""),"3 mos")</f>
        <v>3 mos</v>
      </c>
      <c r="H1082" s="1" t="str">
        <f>IFERROR(__xludf.DUMMYFUNCTION("""COMPUTED_VALUE"""),"comment")</f>
        <v>comment</v>
      </c>
      <c r="I1082" s="2" t="str">
        <f>IFERROR(__xludf.DUMMYFUNCTION("""COMPUTED_VALUE"""),"https://www.facebook.com/rapplerdotcom/photos/a.317154781638645/5596022273751843/")</f>
        <v>https://www.facebook.com/rapplerdotcom/photos/a.317154781638645/5596022273751843/</v>
      </c>
      <c r="J1082" s="1" t="str">
        <f>IFERROR(__xludf.DUMMYFUNCTION("""COMPUTED_VALUE"""),"2022-07-04T15:39:36.625Z")</f>
        <v>2022-07-04T15:39:36.625Z</v>
      </c>
      <c r="K1082" s="1"/>
    </row>
    <row r="1083">
      <c r="A1083" s="2" t="str">
        <f>IFERROR(__xludf.DUMMYFUNCTION("""COMPUTED_VALUE"""),"https://www.facebook.com/egaythessa.resurreccion")</f>
        <v>https://www.facebook.com/egaythessa.resurreccion</v>
      </c>
      <c r="B1083" s="1" t="str">
        <f>IFERROR(__xludf.DUMMYFUNCTION("""COMPUTED_VALUE"""),"EgayThessa Resurreccion")</f>
        <v>EgayThessa Resurreccion</v>
      </c>
      <c r="C1083" s="1" t="str">
        <f>IFERROR(__xludf.DUMMYFUNCTION("""COMPUTED_VALUE"""),"EgayThessa")</f>
        <v>EgayThessa</v>
      </c>
      <c r="D1083" s="1" t="str">
        <f>IFERROR(__xludf.DUMMYFUNCTION("""COMPUTED_VALUE"""),"Resurreccion")</f>
        <v>Resurreccion</v>
      </c>
      <c r="E1083" s="1" t="str">
        <f>IFERROR(__xludf.DUMMYFUNCTION("""COMPUTED_VALUE"""),"Ang ganda. Yan ang liwanag sa dilim  🌸🤗🎆💗 #KulayRosasAngBukas #LeniKiko2022 #GobyernongTapatAngatBuhayLahat")</f>
        <v>Ang ganda. Yan ang liwanag sa dilim  🌸🤗🎆💗 #KulayRosasAngBukas #LeniKiko2022 #GobyernongTapatAngatBuhayLahat</v>
      </c>
      <c r="F1083" s="1">
        <f>IFERROR(__xludf.DUMMYFUNCTION("""COMPUTED_VALUE"""),5.0)</f>
        <v>5</v>
      </c>
      <c r="G1083" s="1" t="str">
        <f>IFERROR(__xludf.DUMMYFUNCTION("""COMPUTED_VALUE"""),"3 mos")</f>
        <v>3 mos</v>
      </c>
      <c r="H1083" s="1" t="str">
        <f>IFERROR(__xludf.DUMMYFUNCTION("""COMPUTED_VALUE"""),"comment")</f>
        <v>comment</v>
      </c>
      <c r="I1083" s="2" t="str">
        <f>IFERROR(__xludf.DUMMYFUNCTION("""COMPUTED_VALUE"""),"https://www.facebook.com/rapplerdotcom/photos/a.317154781638645/5596022273751843/")</f>
        <v>https://www.facebook.com/rapplerdotcom/photos/a.317154781638645/5596022273751843/</v>
      </c>
      <c r="J1083" s="1" t="str">
        <f>IFERROR(__xludf.DUMMYFUNCTION("""COMPUTED_VALUE"""),"2022-07-04T15:39:36.625Z")</f>
        <v>2022-07-04T15:39:36.625Z</v>
      </c>
      <c r="K1083" s="1"/>
    </row>
    <row r="1084">
      <c r="A1084" s="2" t="str">
        <f>IFERROR(__xludf.DUMMYFUNCTION("""COMPUTED_VALUE"""),"https://www.facebook.com/joyjoy.montenegro.71")</f>
        <v>https://www.facebook.com/joyjoy.montenegro.71</v>
      </c>
      <c r="B1084" s="1" t="str">
        <f>IFERROR(__xludf.DUMMYFUNCTION("""COMPUTED_VALUE"""),"Yaj Montenegro")</f>
        <v>Yaj Montenegro</v>
      </c>
      <c r="C1084" s="1" t="str">
        <f>IFERROR(__xludf.DUMMYFUNCTION("""COMPUTED_VALUE"""),"Yaj")</f>
        <v>Yaj</v>
      </c>
      <c r="D1084" s="1" t="str">
        <f>IFERROR(__xludf.DUMMYFUNCTION("""COMPUTED_VALUE"""),"Montenegro")</f>
        <v>Montenegro</v>
      </c>
      <c r="E1084" s="1" t="str">
        <f>IFERROR(__xludf.DUMMYFUNCTION("""COMPUTED_VALUE"""),"may malasakit💕🌷❤️")</f>
        <v>may malasakit💕🌷❤️</v>
      </c>
      <c r="F1084" s="1"/>
      <c r="G1084" s="1" t="str">
        <f>IFERROR(__xludf.DUMMYFUNCTION("""COMPUTED_VALUE"""),"3 mos")</f>
        <v>3 mos</v>
      </c>
      <c r="H1084" s="1" t="str">
        <f>IFERROR(__xludf.DUMMYFUNCTION("""COMPUTED_VALUE"""),"comment")</f>
        <v>comment</v>
      </c>
      <c r="I1084" s="2" t="str">
        <f>IFERROR(__xludf.DUMMYFUNCTION("""COMPUTED_VALUE"""),"https://www.facebook.com/rapplerdotcom/photos/a.317154781638645/5596022273751843/")</f>
        <v>https://www.facebook.com/rapplerdotcom/photos/a.317154781638645/5596022273751843/</v>
      </c>
      <c r="J1084" s="1" t="str">
        <f>IFERROR(__xludf.DUMMYFUNCTION("""COMPUTED_VALUE"""),"2022-07-04T15:39:36.625Z")</f>
        <v>2022-07-04T15:39:36.625Z</v>
      </c>
      <c r="K1084" s="1"/>
    </row>
    <row r="1085">
      <c r="A1085" s="2" t="str">
        <f>IFERROR(__xludf.DUMMYFUNCTION("""COMPUTED_VALUE"""),"https://www.facebook.com/moana.minerva.39")</f>
        <v>https://www.facebook.com/moana.minerva.39</v>
      </c>
      <c r="B1085" s="1" t="str">
        <f>IFERROR(__xludf.DUMMYFUNCTION("""COMPUTED_VALUE"""),"Ma Rî Car")</f>
        <v>Ma Rî Car</v>
      </c>
      <c r="C1085" s="1" t="str">
        <f>IFERROR(__xludf.DUMMYFUNCTION("""COMPUTED_VALUE"""),"Ma")</f>
        <v>Ma</v>
      </c>
      <c r="D1085" s="1" t="str">
        <f>IFERROR(__xludf.DUMMYFUNCTION("""COMPUTED_VALUE"""),"Rî Car")</f>
        <v>Rî Car</v>
      </c>
      <c r="E1085" s="1" t="str">
        <f>IFERROR(__xludf.DUMMYFUNCTION("""COMPUTED_VALUE"""),"Nice! I was actually wondering kung makikiisa sila sa Earth hour.  Ang sarap maging #kakampink!")</f>
        <v>Nice! I was actually wondering kung makikiisa sila sa Earth hour.  Ang sarap maging #kakampink!</v>
      </c>
      <c r="F1085" s="1">
        <f>IFERROR(__xludf.DUMMYFUNCTION("""COMPUTED_VALUE"""),2.0)</f>
        <v>2</v>
      </c>
      <c r="G1085" s="1" t="str">
        <f>IFERROR(__xludf.DUMMYFUNCTION("""COMPUTED_VALUE"""),"3 mos")</f>
        <v>3 mos</v>
      </c>
      <c r="H1085" s="1" t="str">
        <f>IFERROR(__xludf.DUMMYFUNCTION("""COMPUTED_VALUE"""),"comment")</f>
        <v>comment</v>
      </c>
      <c r="I1085" s="2" t="str">
        <f>IFERROR(__xludf.DUMMYFUNCTION("""COMPUTED_VALUE"""),"https://www.facebook.com/rapplerdotcom/photos/a.317154781638645/5596022273751843/")</f>
        <v>https://www.facebook.com/rapplerdotcom/photos/a.317154781638645/5596022273751843/</v>
      </c>
      <c r="J1085" s="1" t="str">
        <f>IFERROR(__xludf.DUMMYFUNCTION("""COMPUTED_VALUE"""),"2022-07-04T15:39:36.625Z")</f>
        <v>2022-07-04T15:39:36.625Z</v>
      </c>
      <c r="K1085" s="1"/>
    </row>
    <row r="1086">
      <c r="A1086" s="2" t="str">
        <f>IFERROR(__xludf.DUMMYFUNCTION("""COMPUTED_VALUE"""),"https://www.facebook.com/aye.rentoy.73")</f>
        <v>https://www.facebook.com/aye.rentoy.73</v>
      </c>
      <c r="B1086" s="1" t="str">
        <f>IFERROR(__xludf.DUMMYFUNCTION("""COMPUTED_VALUE"""),"Aye Rentoy")</f>
        <v>Aye Rentoy</v>
      </c>
      <c r="C1086" s="1" t="str">
        <f>IFERROR(__xludf.DUMMYFUNCTION("""COMPUTED_VALUE"""),"Aye")</f>
        <v>Aye</v>
      </c>
      <c r="D1086" s="1" t="str">
        <f>IFERROR(__xludf.DUMMYFUNCTION("""COMPUTED_VALUE"""),"Rentoy")</f>
        <v>Rentoy</v>
      </c>
      <c r="E1086" s="1" t="str">
        <f>IFERROR(__xludf.DUMMYFUNCTION("""COMPUTED_VALUE"""),"Galing nyu CAMANAVA.")</f>
        <v>Galing nyu CAMANAVA.</v>
      </c>
      <c r="F1086" s="1"/>
      <c r="G1086" s="1" t="str">
        <f>IFERROR(__xludf.DUMMYFUNCTION("""COMPUTED_VALUE"""),"3 mos")</f>
        <v>3 mos</v>
      </c>
      <c r="H1086" s="1" t="str">
        <f>IFERROR(__xludf.DUMMYFUNCTION("""COMPUTED_VALUE"""),"comment")</f>
        <v>comment</v>
      </c>
      <c r="I1086" s="2" t="str">
        <f>IFERROR(__xludf.DUMMYFUNCTION("""COMPUTED_VALUE"""),"https://www.facebook.com/rapplerdotcom/photos/a.317154781638645/5596022273751843/")</f>
        <v>https://www.facebook.com/rapplerdotcom/photos/a.317154781638645/5596022273751843/</v>
      </c>
      <c r="J1086" s="1" t="str">
        <f>IFERROR(__xludf.DUMMYFUNCTION("""COMPUTED_VALUE"""),"2022-07-04T15:39:36.625Z")</f>
        <v>2022-07-04T15:39:36.625Z</v>
      </c>
      <c r="K1086" s="1"/>
    </row>
    <row r="1087">
      <c r="A1087" s="2" t="str">
        <f>IFERROR(__xludf.DUMMYFUNCTION("""COMPUTED_VALUE"""),"https://www.facebook.com/haidi.lim")</f>
        <v>https://www.facebook.com/haidi.lim</v>
      </c>
      <c r="B1087" s="1" t="str">
        <f>IFERROR(__xludf.DUMMYFUNCTION("""COMPUTED_VALUE"""),"Haidi Lim")</f>
        <v>Haidi Lim</v>
      </c>
      <c r="C1087" s="1" t="str">
        <f>IFERROR(__xludf.DUMMYFUNCTION("""COMPUTED_VALUE"""),"Haidi")</f>
        <v>Haidi</v>
      </c>
      <c r="D1087" s="1" t="str">
        <f>IFERROR(__xludf.DUMMYFUNCTION("""COMPUTED_VALUE"""),"Lim")</f>
        <v>Lim</v>
      </c>
      <c r="E1087" s="1" t="str">
        <f>IFERROR(__xludf.DUMMYFUNCTION("""COMPUTED_VALUE"""),"Ang Ganda  Sa rosas tayo tiyak gaganda ang bukas")</f>
        <v>Ang Ganda  Sa rosas tayo tiyak gaganda ang bukas</v>
      </c>
      <c r="F1087" s="1"/>
      <c r="G1087" s="1" t="str">
        <f>IFERROR(__xludf.DUMMYFUNCTION("""COMPUTED_VALUE"""),"3 mos")</f>
        <v>3 mos</v>
      </c>
      <c r="H1087" s="1" t="str">
        <f>IFERROR(__xludf.DUMMYFUNCTION("""COMPUTED_VALUE"""),"comment")</f>
        <v>comment</v>
      </c>
      <c r="I1087" s="2" t="str">
        <f>IFERROR(__xludf.DUMMYFUNCTION("""COMPUTED_VALUE"""),"https://www.facebook.com/rapplerdotcom/photos/a.317154781638645/5596022273751843/")</f>
        <v>https://www.facebook.com/rapplerdotcom/photos/a.317154781638645/5596022273751843/</v>
      </c>
      <c r="J1087" s="1" t="str">
        <f>IFERROR(__xludf.DUMMYFUNCTION("""COMPUTED_VALUE"""),"2022-07-04T15:39:36.625Z")</f>
        <v>2022-07-04T15:39:36.625Z</v>
      </c>
      <c r="K1087" s="1"/>
    </row>
    <row r="1088">
      <c r="A1088" s="2" t="str">
        <f>IFERROR(__xludf.DUMMYFUNCTION("""COMPUTED_VALUE"""),"https://www.facebook.com/annruth.bolisaygochingco")</f>
        <v>https://www.facebook.com/annruth.bolisaygochingco</v>
      </c>
      <c r="B1088" s="1" t="str">
        <f>IFERROR(__xludf.DUMMYFUNCTION("""COMPUTED_VALUE"""),"Ann Ruth Bolisay-Gochingco")</f>
        <v>Ann Ruth Bolisay-Gochingco</v>
      </c>
      <c r="C1088" s="1" t="str">
        <f>IFERROR(__xludf.DUMMYFUNCTION("""COMPUTED_VALUE"""),"Ann")</f>
        <v>Ann</v>
      </c>
      <c r="D1088" s="1" t="str">
        <f>IFERROR(__xludf.DUMMYFUNCTION("""COMPUTED_VALUE"""),"Ruth Bolisay-Gochingco")</f>
        <v>Ruth Bolisay-Gochingco</v>
      </c>
      <c r="E1088" s="1" t="str">
        <f>IFERROR(__xludf.DUMMYFUNCTION("""COMPUTED_VALUE"""),"Ang ganda!!! Wow!!! 💖💖💖")</f>
        <v>Ang ganda!!! Wow!!! 💖💖💖</v>
      </c>
      <c r="F1088" s="1"/>
      <c r="G1088" s="1" t="str">
        <f>IFERROR(__xludf.DUMMYFUNCTION("""COMPUTED_VALUE"""),"3 mos")</f>
        <v>3 mos</v>
      </c>
      <c r="H1088" s="1" t="str">
        <f>IFERROR(__xludf.DUMMYFUNCTION("""COMPUTED_VALUE"""),"comment")</f>
        <v>comment</v>
      </c>
      <c r="I1088" s="2" t="str">
        <f>IFERROR(__xludf.DUMMYFUNCTION("""COMPUTED_VALUE"""),"https://www.facebook.com/rapplerdotcom/photos/a.317154781638645/5596022273751843/")</f>
        <v>https://www.facebook.com/rapplerdotcom/photos/a.317154781638645/5596022273751843/</v>
      </c>
      <c r="J1088" s="1" t="str">
        <f>IFERROR(__xludf.DUMMYFUNCTION("""COMPUTED_VALUE"""),"2022-07-04T15:39:36.625Z")</f>
        <v>2022-07-04T15:39:36.625Z</v>
      </c>
      <c r="K1088" s="1"/>
    </row>
    <row r="1089">
      <c r="A1089" s="2" t="str">
        <f>IFERROR(__xludf.DUMMYFUNCTION("""COMPUTED_VALUE"""),"https://www.facebook.com/johnmark.maclang")</f>
        <v>https://www.facebook.com/johnmark.maclang</v>
      </c>
      <c r="B1089" s="1" t="str">
        <f>IFERROR(__xludf.DUMMYFUNCTION("""COMPUTED_VALUE"""),"John Mark Maclang")</f>
        <v>John Mark Maclang</v>
      </c>
      <c r="C1089" s="1" t="str">
        <f>IFERROR(__xludf.DUMMYFUNCTION("""COMPUTED_VALUE"""),"John")</f>
        <v>John</v>
      </c>
      <c r="D1089" s="1" t="str">
        <f>IFERROR(__xludf.DUMMYFUNCTION("""COMPUTED_VALUE"""),"Mark Maclang")</f>
        <v>Mark Maclang</v>
      </c>
      <c r="E1089" s="1" t="str">
        <f>IFERROR(__xludf.DUMMYFUNCTION("""COMPUTED_VALUE"""),"Malinis, matino, at mahusay 🌸🌸🌸  Trabaho, kalusugan, at edukasyon 🌸🌸🌸  Sa gobyernong tapat, angat buhay lahat 🇵🇭🇵🇭🇵🇭  www.lenirobredo.com  #KulayRosasAngBukas  #AngatBuhayLahat  #LetLeniLead  #LeniKiko2022")</f>
        <v>Malinis, matino, at mahusay 🌸🌸🌸  Trabaho, kalusugan, at edukasyon 🌸🌸🌸  Sa gobyernong tapat, angat buhay lahat 🇵🇭🇵🇭🇵🇭  www.lenirobredo.com  #KulayRosasAngBukas  #AngatBuhayLahat  #LetLeniLead  #LeniKiko2022</v>
      </c>
      <c r="F1089" s="1">
        <f>IFERROR(__xludf.DUMMYFUNCTION("""COMPUTED_VALUE"""),7.0)</f>
        <v>7</v>
      </c>
      <c r="G1089" s="1" t="str">
        <f>IFERROR(__xludf.DUMMYFUNCTION("""COMPUTED_VALUE"""),"3 mos")</f>
        <v>3 mos</v>
      </c>
      <c r="H1089" s="1" t="str">
        <f>IFERROR(__xludf.DUMMYFUNCTION("""COMPUTED_VALUE"""),"comment")</f>
        <v>comment</v>
      </c>
      <c r="I1089" s="2" t="str">
        <f>IFERROR(__xludf.DUMMYFUNCTION("""COMPUTED_VALUE"""),"https://www.facebook.com/rapplerdotcom/photos/a.317154781638645/5596022273751843/")</f>
        <v>https://www.facebook.com/rapplerdotcom/photos/a.317154781638645/5596022273751843/</v>
      </c>
      <c r="J1089" s="1" t="str">
        <f>IFERROR(__xludf.DUMMYFUNCTION("""COMPUTED_VALUE"""),"2022-07-04T15:39:36.625Z")</f>
        <v>2022-07-04T15:39:36.625Z</v>
      </c>
      <c r="K1089" s="1"/>
    </row>
    <row r="1090">
      <c r="A1090" s="2" t="str">
        <f>IFERROR(__xludf.DUMMYFUNCTION("""COMPUTED_VALUE"""),"https://www.facebook.com/dynah.ferrer.1")</f>
        <v>https://www.facebook.com/dynah.ferrer.1</v>
      </c>
      <c r="B1090" s="1" t="str">
        <f>IFERROR(__xludf.DUMMYFUNCTION("""COMPUTED_VALUE"""),"Dynah Ann Valles Ferrer")</f>
        <v>Dynah Ann Valles Ferrer</v>
      </c>
      <c r="C1090" s="1" t="str">
        <f>IFERROR(__xludf.DUMMYFUNCTION("""COMPUTED_VALUE"""),"Dynah")</f>
        <v>Dynah</v>
      </c>
      <c r="D1090" s="1" t="str">
        <f>IFERROR(__xludf.DUMMYFUNCTION("""COMPUTED_VALUE"""),"Ann Valles Ferrer")</f>
        <v>Ann Valles Ferrer</v>
      </c>
      <c r="E1090" s="1" t="str">
        <f>IFERROR(__xludf.DUMMYFUNCTION("""COMPUTED_VALUE"""),"May pag-asa dahil sa liwanag na taglay ng #LeniKikoTeam2022🌸🌸🌸")</f>
        <v>May pag-asa dahil sa liwanag na taglay ng #LeniKikoTeam2022🌸🌸🌸</v>
      </c>
      <c r="F1090" s="1">
        <f>IFERROR(__xludf.DUMMYFUNCTION("""COMPUTED_VALUE"""),1.0)</f>
        <v>1</v>
      </c>
      <c r="G1090" s="1" t="str">
        <f>IFERROR(__xludf.DUMMYFUNCTION("""COMPUTED_VALUE"""),"3 mos")</f>
        <v>3 mos</v>
      </c>
      <c r="H1090" s="1" t="str">
        <f>IFERROR(__xludf.DUMMYFUNCTION("""COMPUTED_VALUE"""),"comment")</f>
        <v>comment</v>
      </c>
      <c r="I1090" s="2" t="str">
        <f>IFERROR(__xludf.DUMMYFUNCTION("""COMPUTED_VALUE"""),"https://www.facebook.com/rapplerdotcom/photos/a.317154781638645/5596022273751843/")</f>
        <v>https://www.facebook.com/rapplerdotcom/photos/a.317154781638645/5596022273751843/</v>
      </c>
      <c r="J1090" s="1" t="str">
        <f>IFERROR(__xludf.DUMMYFUNCTION("""COMPUTED_VALUE"""),"2022-07-04T15:39:36.625Z")</f>
        <v>2022-07-04T15:39:36.625Z</v>
      </c>
      <c r="K1090" s="1"/>
    </row>
    <row r="1091">
      <c r="A1091" s="2" t="str">
        <f>IFERROR(__xludf.DUMMYFUNCTION("""COMPUTED_VALUE"""),"https://www.facebook.com/ofelia.guimbaolibot")</f>
        <v>https://www.facebook.com/ofelia.guimbaolibot</v>
      </c>
      <c r="B1091" s="1" t="str">
        <f>IFERROR(__xludf.DUMMYFUNCTION("""COMPUTED_VALUE"""),"Ofelia Guimbaolibot")</f>
        <v>Ofelia Guimbaolibot</v>
      </c>
      <c r="C1091" s="1" t="str">
        <f>IFERROR(__xludf.DUMMYFUNCTION("""COMPUTED_VALUE"""),"Ofelia")</f>
        <v>Ofelia</v>
      </c>
      <c r="D1091" s="1" t="str">
        <f>IFERROR(__xludf.DUMMYFUNCTION("""COMPUTED_VALUE"""),"Guimbaolibot")</f>
        <v>Guimbaolibot</v>
      </c>
      <c r="E1091" s="1" t="str">
        <f>IFERROR(__xludf.DUMMYFUNCTION("""COMPUTED_VALUE"""),"ganda")</f>
        <v>ganda</v>
      </c>
      <c r="F1091" s="1"/>
      <c r="G1091" s="1" t="str">
        <f>IFERROR(__xludf.DUMMYFUNCTION("""COMPUTED_VALUE"""),"3 mos")</f>
        <v>3 mos</v>
      </c>
      <c r="H1091" s="1" t="str">
        <f>IFERROR(__xludf.DUMMYFUNCTION("""COMPUTED_VALUE"""),"comment")</f>
        <v>comment</v>
      </c>
      <c r="I1091" s="2" t="str">
        <f>IFERROR(__xludf.DUMMYFUNCTION("""COMPUTED_VALUE"""),"https://www.facebook.com/rapplerdotcom/photos/a.317154781638645/5596022273751843/")</f>
        <v>https://www.facebook.com/rapplerdotcom/photos/a.317154781638645/5596022273751843/</v>
      </c>
      <c r="J1091" s="1" t="str">
        <f>IFERROR(__xludf.DUMMYFUNCTION("""COMPUTED_VALUE"""),"2022-07-04T15:39:36.625Z")</f>
        <v>2022-07-04T15:39:36.625Z</v>
      </c>
      <c r="K1091" s="1"/>
    </row>
    <row r="1092">
      <c r="A1092" s="2" t="str">
        <f>IFERROR(__xludf.DUMMYFUNCTION("""COMPUTED_VALUE"""),"https://www.facebook.com/almher.manalo")</f>
        <v>https://www.facebook.com/almher.manalo</v>
      </c>
      <c r="B1092" s="1" t="str">
        <f>IFERROR(__xludf.DUMMYFUNCTION("""COMPUTED_VALUE"""),"Almher Macosme Manalo")</f>
        <v>Almher Macosme Manalo</v>
      </c>
      <c r="C1092" s="1" t="str">
        <f>IFERROR(__xludf.DUMMYFUNCTION("""COMPUTED_VALUE"""),"Almher")</f>
        <v>Almher</v>
      </c>
      <c r="D1092" s="1" t="str">
        <f>IFERROR(__xludf.DUMMYFUNCTION("""COMPUTED_VALUE"""),"Macosme Manalo")</f>
        <v>Macosme Manalo</v>
      </c>
      <c r="E1092" s="1" t="str">
        <f>IFERROR(__xludf.DUMMYFUNCTION("""COMPUTED_VALUE"""),"CaMaNaVa Rock n Rosas!  Welcome dito ang lahat!   #CaMaNaVabeybeh  #CaMaNaVaIsPink  #CaMaNaVaForLeniKiko  #CaMaNaVaRockNRosas")</f>
        <v>CaMaNaVa Rock n Rosas!  Welcome dito ang lahat!   #CaMaNaVabeybeh  #CaMaNaVaIsPink  #CaMaNaVaForLeniKiko  #CaMaNaVaRockNRosas</v>
      </c>
      <c r="F1092" s="1">
        <f>IFERROR(__xludf.DUMMYFUNCTION("""COMPUTED_VALUE"""),3.0)</f>
        <v>3</v>
      </c>
      <c r="G1092" s="1" t="str">
        <f>IFERROR(__xludf.DUMMYFUNCTION("""COMPUTED_VALUE"""),"3 mos")</f>
        <v>3 mos</v>
      </c>
      <c r="H1092" s="1" t="str">
        <f>IFERROR(__xludf.DUMMYFUNCTION("""COMPUTED_VALUE"""),"comment")</f>
        <v>comment</v>
      </c>
      <c r="I1092" s="2" t="str">
        <f>IFERROR(__xludf.DUMMYFUNCTION("""COMPUTED_VALUE"""),"https://www.facebook.com/rapplerdotcom/photos/a.317154781638645/5596022273751843/")</f>
        <v>https://www.facebook.com/rapplerdotcom/photos/a.317154781638645/5596022273751843/</v>
      </c>
      <c r="J1092" s="1" t="str">
        <f>IFERROR(__xludf.DUMMYFUNCTION("""COMPUTED_VALUE"""),"2022-07-04T15:39:36.625Z")</f>
        <v>2022-07-04T15:39:36.625Z</v>
      </c>
      <c r="K1092" s="1"/>
    </row>
    <row r="1093">
      <c r="A1093" s="2" t="str">
        <f>IFERROR(__xludf.DUMMYFUNCTION("""COMPUTED_VALUE"""),"https://www.facebook.com/marygracie.tamayo")</f>
        <v>https://www.facebook.com/marygracie.tamayo</v>
      </c>
      <c r="B1093" s="1" t="str">
        <f>IFERROR(__xludf.DUMMYFUNCTION("""COMPUTED_VALUE"""),"Maria Gracia Oyamat")</f>
        <v>Maria Gracia Oyamat</v>
      </c>
      <c r="C1093" s="1" t="str">
        <f>IFERROR(__xludf.DUMMYFUNCTION("""COMPUTED_VALUE"""),"Maria")</f>
        <v>Maria</v>
      </c>
      <c r="D1093" s="1" t="str">
        <f>IFERROR(__xludf.DUMMYFUNCTION("""COMPUTED_VALUE"""),"Gracia Oyamat")</f>
        <v>Gracia Oyamat</v>
      </c>
      <c r="E1093" s="1" t="str">
        <f>IFERROR(__xludf.DUMMYFUNCTION("""COMPUTED_VALUE"""),"Gusto Sana caravan  puro kau venue✌️✌️✌️😱😱😱😱😱😱✌️✌️✌️")</f>
        <v>Gusto Sana caravan  puro kau venue✌️✌️✌️😱😱😱😱😱😱✌️✌️✌️</v>
      </c>
      <c r="F1093" s="1">
        <f>IFERROR(__xludf.DUMMYFUNCTION("""COMPUTED_VALUE"""),2.0)</f>
        <v>2</v>
      </c>
      <c r="G1093" s="1" t="str">
        <f>IFERROR(__xludf.DUMMYFUNCTION("""COMPUTED_VALUE"""),"3 mos")</f>
        <v>3 mos</v>
      </c>
      <c r="H1093" s="1" t="str">
        <f>IFERROR(__xludf.DUMMYFUNCTION("""COMPUTED_VALUE"""),"comment")</f>
        <v>comment</v>
      </c>
      <c r="I1093" s="2" t="str">
        <f>IFERROR(__xludf.DUMMYFUNCTION("""COMPUTED_VALUE"""),"https://www.facebook.com/rapplerdotcom/photos/a.317154781638645/5596022273751843/")</f>
        <v>https://www.facebook.com/rapplerdotcom/photos/a.317154781638645/5596022273751843/</v>
      </c>
      <c r="J1093" s="1" t="str">
        <f>IFERROR(__xludf.DUMMYFUNCTION("""COMPUTED_VALUE"""),"2022-07-04T15:39:36.625Z")</f>
        <v>2022-07-04T15:39:36.625Z</v>
      </c>
      <c r="K1093" s="1"/>
    </row>
    <row r="1094">
      <c r="A1094" s="2" t="str">
        <f>IFERROR(__xludf.DUMMYFUNCTION("""COMPUTED_VALUE"""),"https://www.facebook.com/arlene.buela.9")</f>
        <v>https://www.facebook.com/arlene.buela.9</v>
      </c>
      <c r="B1094" s="1" t="str">
        <f>IFERROR(__xludf.DUMMYFUNCTION("""COMPUTED_VALUE"""),"Arlene Buela")</f>
        <v>Arlene Buela</v>
      </c>
      <c r="C1094" s="1" t="str">
        <f>IFERROR(__xludf.DUMMYFUNCTION("""COMPUTED_VALUE"""),"Arlene")</f>
        <v>Arlene</v>
      </c>
      <c r="D1094" s="1" t="str">
        <f>IFERROR(__xludf.DUMMYFUNCTION("""COMPUTED_VALUE"""),"Buela")</f>
        <v>Buela</v>
      </c>
      <c r="E1094" s="1" t="str">
        <f>IFERROR(__xludf.DUMMYFUNCTION("""COMPUTED_VALUE"""),"Maria Gracia Oyamat mahal ang gasolina wala kaming budget sa pang full tank at 500p 😂")</f>
        <v>Maria Gracia Oyamat mahal ang gasolina wala kaming budget sa pang full tank at 500p 😂</v>
      </c>
      <c r="F1094" s="1">
        <f>IFERROR(__xludf.DUMMYFUNCTION("""COMPUTED_VALUE"""),2.0)</f>
        <v>2</v>
      </c>
      <c r="G1094" s="1" t="str">
        <f>IFERROR(__xludf.DUMMYFUNCTION("""COMPUTED_VALUE"""),"3 mos")</f>
        <v>3 mos</v>
      </c>
      <c r="H1094" s="1" t="str">
        <f>IFERROR(__xludf.DUMMYFUNCTION("""COMPUTED_VALUE"""),"reply")</f>
        <v>reply</v>
      </c>
      <c r="I1094" s="2" t="str">
        <f>IFERROR(__xludf.DUMMYFUNCTION("""COMPUTED_VALUE"""),"https://www.facebook.com/rapplerdotcom/photos/a.317154781638645/5596022273751843/")</f>
        <v>https://www.facebook.com/rapplerdotcom/photos/a.317154781638645/5596022273751843/</v>
      </c>
      <c r="J1094" s="1" t="str">
        <f>IFERROR(__xludf.DUMMYFUNCTION("""COMPUTED_VALUE"""),"2022-07-04T15:39:36.625Z")</f>
        <v>2022-07-04T15:39:36.625Z</v>
      </c>
      <c r="K1094" s="1"/>
    </row>
    <row r="1095">
      <c r="A1095" s="2" t="str">
        <f>IFERROR(__xludf.DUMMYFUNCTION("""COMPUTED_VALUE"""),"https://www.facebook.com/marygracie.tamayo")</f>
        <v>https://www.facebook.com/marygracie.tamayo</v>
      </c>
      <c r="B1095" s="1" t="str">
        <f>IFERROR(__xludf.DUMMYFUNCTION("""COMPUTED_VALUE"""),"Maria Gracia Oyamat")</f>
        <v>Maria Gracia Oyamat</v>
      </c>
      <c r="C1095" s="1" t="str">
        <f>IFERROR(__xludf.DUMMYFUNCTION("""COMPUTED_VALUE"""),"Maria")</f>
        <v>Maria</v>
      </c>
      <c r="D1095" s="1" t="str">
        <f>IFERROR(__xludf.DUMMYFUNCTION("""COMPUTED_VALUE"""),"Gracia Oyamat")</f>
        <v>Gracia Oyamat</v>
      </c>
      <c r="E1095" s="1" t="str">
        <f>IFERROR(__xludf.DUMMYFUNCTION("""COMPUTED_VALUE"""),"Arlene Buela langaw kasi caravan kaya ganun reason pero venue bigla Dami🤣🤣🤣🤣🤣🤣tank nga kau hakot bus✌️✌️✌️✌️✌️")</f>
        <v>Arlene Buela langaw kasi caravan kaya ganun reason pero venue bigla Dami🤣🤣🤣🤣🤣🤣tank nga kau hakot bus✌️✌️✌️✌️✌️</v>
      </c>
      <c r="F1095" s="1"/>
      <c r="G1095" s="1" t="str">
        <f>IFERROR(__xludf.DUMMYFUNCTION("""COMPUTED_VALUE"""),"3 mos")</f>
        <v>3 mos</v>
      </c>
      <c r="H1095" s="1" t="str">
        <f>IFERROR(__xludf.DUMMYFUNCTION("""COMPUTED_VALUE"""),"reply")</f>
        <v>reply</v>
      </c>
      <c r="I1095" s="2" t="str">
        <f>IFERROR(__xludf.DUMMYFUNCTION("""COMPUTED_VALUE"""),"https://www.facebook.com/rapplerdotcom/photos/a.317154781638645/5596022273751843/")</f>
        <v>https://www.facebook.com/rapplerdotcom/photos/a.317154781638645/5596022273751843/</v>
      </c>
      <c r="J1095" s="1" t="str">
        <f>IFERROR(__xludf.DUMMYFUNCTION("""COMPUTED_VALUE"""),"2022-07-04T15:39:36.625Z")</f>
        <v>2022-07-04T15:39:36.625Z</v>
      </c>
      <c r="K1095" s="1"/>
    </row>
    <row r="1096">
      <c r="A1096" s="2" t="str">
        <f>IFERROR(__xludf.DUMMYFUNCTION("""COMPUTED_VALUE"""),"https://www.facebook.com/arlene.buela.9")</f>
        <v>https://www.facebook.com/arlene.buela.9</v>
      </c>
      <c r="B1096" s="1" t="str">
        <f>IFERROR(__xludf.DUMMYFUNCTION("""COMPUTED_VALUE"""),"Arlene Buela")</f>
        <v>Arlene Buela</v>
      </c>
      <c r="C1096" s="1" t="str">
        <f>IFERROR(__xludf.DUMMYFUNCTION("""COMPUTED_VALUE"""),"Arlene")</f>
        <v>Arlene</v>
      </c>
      <c r="D1096" s="1" t="str">
        <f>IFERROR(__xludf.DUMMYFUNCTION("""COMPUTED_VALUE"""),"Buela")</f>
        <v>Buela</v>
      </c>
      <c r="E1096" s="1" t="str">
        <f>IFERROR(__xludf.DUMMYFUNCTION("""COMPUTED_VALUE"""),"Maria Gracia Oyamat political strategy yan.. Strategy nyo ang Caravan, sa amin Grand Rally.. Hindi pa mag cause ng traffic, perwisyo yan sa daan. At wala kaming budget pang full tank at 500p eh.. At masyadong mahal ang gasolina ngayon..sa Rally sama sama "&amp;"ang mga supporters nagkakasiyahan!")</f>
        <v>Maria Gracia Oyamat political strategy yan.. Strategy nyo ang Caravan, sa amin Grand Rally.. Hindi pa mag cause ng traffic, perwisyo yan sa daan. At wala kaming budget pang full tank at 500p eh.. At masyadong mahal ang gasolina ngayon..sa Rally sama sama ang mga supporters nagkakasiyahan!</v>
      </c>
      <c r="F1096" s="1"/>
      <c r="G1096" s="1" t="str">
        <f>IFERROR(__xludf.DUMMYFUNCTION("""COMPUTED_VALUE"""),"3 mos")</f>
        <v>3 mos</v>
      </c>
      <c r="H1096" s="1" t="str">
        <f>IFERROR(__xludf.DUMMYFUNCTION("""COMPUTED_VALUE"""),"reply")</f>
        <v>reply</v>
      </c>
      <c r="I1096" s="2" t="str">
        <f>IFERROR(__xludf.DUMMYFUNCTION("""COMPUTED_VALUE"""),"https://www.facebook.com/rapplerdotcom/photos/a.317154781638645/5596022273751843/")</f>
        <v>https://www.facebook.com/rapplerdotcom/photos/a.317154781638645/5596022273751843/</v>
      </c>
      <c r="J1096" s="1" t="str">
        <f>IFERROR(__xludf.DUMMYFUNCTION("""COMPUTED_VALUE"""),"2022-07-04T15:39:36.625Z")</f>
        <v>2022-07-04T15:39:36.625Z</v>
      </c>
      <c r="K1096" s="1"/>
    </row>
    <row r="1097">
      <c r="A1097" s="2" t="str">
        <f>IFERROR(__xludf.DUMMYFUNCTION("""COMPUTED_VALUE"""),"https://www.facebook.com/marygracie.tamayo")</f>
        <v>https://www.facebook.com/marygracie.tamayo</v>
      </c>
      <c r="B1097" s="1" t="str">
        <f>IFERROR(__xludf.DUMMYFUNCTION("""COMPUTED_VALUE"""),"Maria Gracia Oyamat")</f>
        <v>Maria Gracia Oyamat</v>
      </c>
      <c r="C1097" s="1" t="str">
        <f>IFERROR(__xludf.DUMMYFUNCTION("""COMPUTED_VALUE"""),"Maria")</f>
        <v>Maria</v>
      </c>
      <c r="D1097" s="1" t="str">
        <f>IFERROR(__xludf.DUMMYFUNCTION("""COMPUTED_VALUE"""),"Gracia Oyamat")</f>
        <v>Gracia Oyamat</v>
      </c>
      <c r="E1097" s="1" t="str">
        <f>IFERROR(__xludf.DUMMYFUNCTION("""COMPUTED_VALUE"""),"Arlene Buela hahahahah hiya  kasi kau langaw lang talaga caravan kasi Dyan talaga kita tao gusto kandidato kusa lalabas Bahay nila🤣🤣🤣🤣🤣🤣🤣cge yabang venue ninyo pero sa caravan Wala laban🤣🤣🤣🤣🤣pakita kau caravan para Makita talaga Dami tao supor"&amp;"ta✌️✌️✌️✌️")</f>
        <v>Arlene Buela hahahahah hiya  kasi kau langaw lang talaga caravan kasi Dyan talaga kita tao gusto kandidato kusa lalabas Bahay nila🤣🤣🤣🤣🤣🤣🤣cge yabang venue ninyo pero sa caravan Wala laban🤣🤣🤣🤣🤣pakita kau caravan para Makita talaga Dami tao suporta✌️✌️✌️✌️</v>
      </c>
      <c r="F1097" s="1"/>
      <c r="G1097" s="1" t="str">
        <f>IFERROR(__xludf.DUMMYFUNCTION("""COMPUTED_VALUE"""),"3 mos")</f>
        <v>3 mos</v>
      </c>
      <c r="H1097" s="1" t="str">
        <f>IFERROR(__xludf.DUMMYFUNCTION("""COMPUTED_VALUE"""),"reply")</f>
        <v>reply</v>
      </c>
      <c r="I1097" s="2" t="str">
        <f>IFERROR(__xludf.DUMMYFUNCTION("""COMPUTED_VALUE"""),"https://www.facebook.com/rapplerdotcom/photos/a.317154781638645/5596022273751843/")</f>
        <v>https://www.facebook.com/rapplerdotcom/photos/a.317154781638645/5596022273751843/</v>
      </c>
      <c r="J1097" s="1" t="str">
        <f>IFERROR(__xludf.DUMMYFUNCTION("""COMPUTED_VALUE"""),"2022-07-04T15:39:36.625Z")</f>
        <v>2022-07-04T15:39:36.625Z</v>
      </c>
      <c r="K1097" s="1"/>
    </row>
    <row r="1098">
      <c r="A1098" s="2" t="str">
        <f>IFERROR(__xludf.DUMMYFUNCTION("""COMPUTED_VALUE"""),"https://www.facebook.com/litomn")</f>
        <v>https://www.facebook.com/litomn</v>
      </c>
      <c r="B1098" s="1" t="str">
        <f>IFERROR(__xludf.DUMMYFUNCTION("""COMPUTED_VALUE"""),"Lito Nartéa")</f>
        <v>Lito Nartéa</v>
      </c>
      <c r="C1098" s="1" t="str">
        <f>IFERROR(__xludf.DUMMYFUNCTION("""COMPUTED_VALUE"""),"Lito")</f>
        <v>Lito</v>
      </c>
      <c r="D1098" s="1" t="str">
        <f>IFERROR(__xludf.DUMMYFUNCTION("""COMPUTED_VALUE"""),"Nartéa")</f>
        <v>Nartéa</v>
      </c>
      <c r="E1098" s="1" t="str">
        <f>IFERROR(__xludf.DUMMYFUNCTION("""COMPUTED_VALUE"""),"Liwanag sa Dilim")</f>
        <v>Liwanag sa Dilim</v>
      </c>
      <c r="F1098" s="1">
        <f>IFERROR(__xludf.DUMMYFUNCTION("""COMPUTED_VALUE"""),21.0)</f>
        <v>21</v>
      </c>
      <c r="G1098" s="1" t="str">
        <f>IFERROR(__xludf.DUMMYFUNCTION("""COMPUTED_VALUE"""),"3 mos")</f>
        <v>3 mos</v>
      </c>
      <c r="H1098" s="1" t="str">
        <f>IFERROR(__xludf.DUMMYFUNCTION("""COMPUTED_VALUE"""),"comment")</f>
        <v>comment</v>
      </c>
      <c r="I1098" s="2" t="str">
        <f>IFERROR(__xludf.DUMMYFUNCTION("""COMPUTED_VALUE"""),"https://www.facebook.com/rapplerdotcom/photos/a.317154781638645/5596022273751843/")</f>
        <v>https://www.facebook.com/rapplerdotcom/photos/a.317154781638645/5596022273751843/</v>
      </c>
      <c r="J1098" s="1" t="str">
        <f>IFERROR(__xludf.DUMMYFUNCTION("""COMPUTED_VALUE"""),"2022-07-04T15:39:36.625Z")</f>
        <v>2022-07-04T15:39:36.625Z</v>
      </c>
      <c r="K1098" s="1"/>
    </row>
    <row r="1099">
      <c r="A1099" s="2" t="str">
        <f>IFERROR(__xludf.DUMMYFUNCTION("""COMPUTED_VALUE"""),"https://www.facebook.com/faithjoan.gaerlan.5")</f>
        <v>https://www.facebook.com/faithjoan.gaerlan.5</v>
      </c>
      <c r="B1099" s="1" t="str">
        <f>IFERROR(__xludf.DUMMYFUNCTION("""COMPUTED_VALUE"""),"Faith Joan Gaerlan")</f>
        <v>Faith Joan Gaerlan</v>
      </c>
      <c r="C1099" s="1" t="str">
        <f>IFERROR(__xludf.DUMMYFUNCTION("""COMPUTED_VALUE"""),"Faith")</f>
        <v>Faith</v>
      </c>
      <c r="D1099" s="1" t="str">
        <f>IFERROR(__xludf.DUMMYFUNCTION("""COMPUTED_VALUE"""),"Joan Gaerlan")</f>
        <v>Joan Gaerlan</v>
      </c>
      <c r="E1099" s="1" t="str">
        <f>IFERROR(__xludf.DUMMYFUNCTION("""COMPUTED_VALUE"""),"May pag-asa na sa CAMANAVA.")</f>
        <v>May pag-asa na sa CAMANAVA.</v>
      </c>
      <c r="F1099" s="1"/>
      <c r="G1099" s="1" t="str">
        <f>IFERROR(__xludf.DUMMYFUNCTION("""COMPUTED_VALUE"""),"3 mos")</f>
        <v>3 mos</v>
      </c>
      <c r="H1099" s="1" t="str">
        <f>IFERROR(__xludf.DUMMYFUNCTION("""COMPUTED_VALUE"""),"comment")</f>
        <v>comment</v>
      </c>
      <c r="I1099" s="2" t="str">
        <f>IFERROR(__xludf.DUMMYFUNCTION("""COMPUTED_VALUE"""),"https://www.facebook.com/rapplerdotcom/photos/a.317154781638645/5596022273751843/")</f>
        <v>https://www.facebook.com/rapplerdotcom/photos/a.317154781638645/5596022273751843/</v>
      </c>
      <c r="J1099" s="1" t="str">
        <f>IFERROR(__xludf.DUMMYFUNCTION("""COMPUTED_VALUE"""),"2022-07-04T15:39:36.625Z")</f>
        <v>2022-07-04T15:39:36.625Z</v>
      </c>
      <c r="K1099" s="1"/>
    </row>
    <row r="1100">
      <c r="A1100" s="2" t="str">
        <f>IFERROR(__xludf.DUMMYFUNCTION("""COMPUTED_VALUE"""),"https://www.facebook.com/helen.pesquisa")</f>
        <v>https://www.facebook.com/helen.pesquisa</v>
      </c>
      <c r="B1100" s="1" t="str">
        <f>IFERROR(__xludf.DUMMYFUNCTION("""COMPUTED_VALUE"""),"Helen Pesquisa")</f>
        <v>Helen Pesquisa</v>
      </c>
      <c r="C1100" s="1" t="str">
        <f>IFERROR(__xludf.DUMMYFUNCTION("""COMPUTED_VALUE"""),"Helen")</f>
        <v>Helen</v>
      </c>
      <c r="D1100" s="1" t="str">
        <f>IFERROR(__xludf.DUMMYFUNCTION("""COMPUTED_VALUE"""),"Pesquisa")</f>
        <v>Pesquisa</v>
      </c>
      <c r="E1100" s="1" t="str">
        <f>IFERROR(__xludf.DUMMYFUNCTION("""COMPUTED_VALUE"""),"Proud to be kakampink ...liwanag sa,dilim")</f>
        <v>Proud to be kakampink ...liwanag sa,dilim</v>
      </c>
      <c r="F1100" s="1"/>
      <c r="G1100" s="1" t="str">
        <f>IFERROR(__xludf.DUMMYFUNCTION("""COMPUTED_VALUE"""),"3 mos")</f>
        <v>3 mos</v>
      </c>
      <c r="H1100" s="1" t="str">
        <f>IFERROR(__xludf.DUMMYFUNCTION("""COMPUTED_VALUE"""),"comment")</f>
        <v>comment</v>
      </c>
      <c r="I1100" s="2" t="str">
        <f>IFERROR(__xludf.DUMMYFUNCTION("""COMPUTED_VALUE"""),"https://www.facebook.com/rapplerdotcom/photos/a.317154781638645/5596022273751843/")</f>
        <v>https://www.facebook.com/rapplerdotcom/photos/a.317154781638645/5596022273751843/</v>
      </c>
      <c r="J1100" s="1" t="str">
        <f>IFERROR(__xludf.DUMMYFUNCTION("""COMPUTED_VALUE"""),"2022-07-04T15:39:36.625Z")</f>
        <v>2022-07-04T15:39:36.625Z</v>
      </c>
      <c r="K1100" s="1"/>
    </row>
    <row r="1101">
      <c r="A1101" s="2" t="str">
        <f>IFERROR(__xludf.DUMMYFUNCTION("""COMPUTED_VALUE"""),"https://www.facebook.com/finkvarna")</f>
        <v>https://www.facebook.com/finkvarna</v>
      </c>
      <c r="B1101" s="1" t="str">
        <f>IFERROR(__xludf.DUMMYFUNCTION("""COMPUTED_VALUE"""),"Jean Centeno")</f>
        <v>Jean Centeno</v>
      </c>
      <c r="C1101" s="1" t="str">
        <f>IFERROR(__xludf.DUMMYFUNCTION("""COMPUTED_VALUE"""),"Jean")</f>
        <v>Jean</v>
      </c>
      <c r="D1101" s="1" t="str">
        <f>IFERROR(__xludf.DUMMYFUNCTION("""COMPUTED_VALUE"""),"Centeno")</f>
        <v>Centeno</v>
      </c>
      <c r="E1101" s="1" t="str">
        <f>IFERROR(__xludf.DUMMYFUNCTION("""COMPUTED_VALUE"""),"Ang gandaaaa!!!  #GobyernongTapatAngatBuhayLahat #CaMaNaVaRockNRosas #camanavaispink #CaMaNavaForLeniKiko")</f>
        <v>Ang gandaaaa!!!  #GobyernongTapatAngatBuhayLahat #CaMaNaVaRockNRosas #camanavaispink #CaMaNavaForLeniKiko</v>
      </c>
      <c r="F1101" s="1"/>
      <c r="G1101" s="1" t="str">
        <f>IFERROR(__xludf.DUMMYFUNCTION("""COMPUTED_VALUE"""),"3 mos")</f>
        <v>3 mos</v>
      </c>
      <c r="H1101" s="1" t="str">
        <f>IFERROR(__xludf.DUMMYFUNCTION("""COMPUTED_VALUE"""),"comment")</f>
        <v>comment</v>
      </c>
      <c r="I1101" s="2" t="str">
        <f>IFERROR(__xludf.DUMMYFUNCTION("""COMPUTED_VALUE"""),"https://www.facebook.com/rapplerdotcom/photos/a.317154781638645/5596022273751843/")</f>
        <v>https://www.facebook.com/rapplerdotcom/photos/a.317154781638645/5596022273751843/</v>
      </c>
      <c r="J1101" s="1" t="str">
        <f>IFERROR(__xludf.DUMMYFUNCTION("""COMPUTED_VALUE"""),"2022-07-04T15:39:36.625Z")</f>
        <v>2022-07-04T15:39:36.625Z</v>
      </c>
      <c r="K1101" s="1"/>
    </row>
    <row r="1102">
      <c r="A1102" s="2" t="str">
        <f>IFERROR(__xludf.DUMMYFUNCTION("""COMPUTED_VALUE"""),"https://www.facebook.com/nhienyanz14")</f>
        <v>https://www.facebook.com/nhienyanz14</v>
      </c>
      <c r="B1102" s="1" t="str">
        <f>IFERROR(__xludf.DUMMYFUNCTION("""COMPUTED_VALUE"""),"Laarns Floralde")</f>
        <v>Laarns Floralde</v>
      </c>
      <c r="C1102" s="1" t="str">
        <f>IFERROR(__xludf.DUMMYFUNCTION("""COMPUTED_VALUE"""),"Laarns")</f>
        <v>Laarns</v>
      </c>
      <c r="D1102" s="1" t="str">
        <f>IFERROR(__xludf.DUMMYFUNCTION("""COMPUTED_VALUE"""),"Floralde")</f>
        <v>Floralde</v>
      </c>
      <c r="E1102" s="1" t="str">
        <f>IFERROR(__xludf.DUMMYFUNCTION("""COMPUTED_VALUE"""),"#LetLeniLead2022 sa pagsoli sa ninakaw na iphone ng pamangkin kong senior high lang. Pati bata ninanakawan nyo. 🤬🤬🤬")</f>
        <v>#LetLeniLead2022 sa pagsoli sa ninakaw na iphone ng pamangkin kong senior high lang. Pati bata ninanakawan nyo. 🤬🤬🤬</v>
      </c>
      <c r="F1102" s="1"/>
      <c r="G1102" s="1" t="str">
        <f>IFERROR(__xludf.DUMMYFUNCTION("""COMPUTED_VALUE"""),"3 mos")</f>
        <v>3 mos</v>
      </c>
      <c r="H1102" s="1" t="str">
        <f>IFERROR(__xludf.DUMMYFUNCTION("""COMPUTED_VALUE"""),"comment")</f>
        <v>comment</v>
      </c>
      <c r="I1102" s="2" t="str">
        <f>IFERROR(__xludf.DUMMYFUNCTION("""COMPUTED_VALUE"""),"https://www.facebook.com/rapplerdotcom/photos/a.317154781638645/5596022273751843/")</f>
        <v>https://www.facebook.com/rapplerdotcom/photos/a.317154781638645/5596022273751843/</v>
      </c>
      <c r="J1102" s="1" t="str">
        <f>IFERROR(__xludf.DUMMYFUNCTION("""COMPUTED_VALUE"""),"2022-07-04T15:39:36.625Z")</f>
        <v>2022-07-04T15:39:36.625Z</v>
      </c>
      <c r="K1102" s="1"/>
    </row>
    <row r="1103">
      <c r="A1103" s="2" t="str">
        <f>IFERROR(__xludf.DUMMYFUNCTION("""COMPUTED_VALUE"""),"https://www.facebook.com/dez.delmundosamson")</f>
        <v>https://www.facebook.com/dez.delmundosamson</v>
      </c>
      <c r="B1103" s="1" t="str">
        <f>IFERROR(__xludf.DUMMYFUNCTION("""COMPUTED_VALUE"""),"Theysee Theearth Samson")</f>
        <v>Theysee Theearth Samson</v>
      </c>
      <c r="C1103" s="1" t="str">
        <f>IFERROR(__xludf.DUMMYFUNCTION("""COMPUTED_VALUE"""),"Theysee")</f>
        <v>Theysee</v>
      </c>
      <c r="D1103" s="1" t="str">
        <f>IFERROR(__xludf.DUMMYFUNCTION("""COMPUTED_VALUE"""),"Theearth Samson")</f>
        <v>Theearth Samson</v>
      </c>
      <c r="E1103" s="1" t="str">
        <f>IFERROR(__xludf.DUMMYFUNCTION("""COMPUTED_VALUE"""),"Ipanalo na natin ito. #CaMaNaVaIsPink  #CaMaNavaForLeniKiko  #GobyernongTapatAngatBuhayLahat #KulayRosasAngBukas #LeniKiko2022")</f>
        <v>Ipanalo na natin ito. #CaMaNaVaIsPink  #CaMaNavaForLeniKiko  #GobyernongTapatAngatBuhayLahat #KulayRosasAngBukas #LeniKiko2022</v>
      </c>
      <c r="F1103" s="1"/>
      <c r="G1103" s="1" t="str">
        <f>IFERROR(__xludf.DUMMYFUNCTION("""COMPUTED_VALUE"""),"3 mos")</f>
        <v>3 mos</v>
      </c>
      <c r="H1103" s="1" t="str">
        <f>IFERROR(__xludf.DUMMYFUNCTION("""COMPUTED_VALUE"""),"comment")</f>
        <v>comment</v>
      </c>
      <c r="I1103" s="2" t="str">
        <f>IFERROR(__xludf.DUMMYFUNCTION("""COMPUTED_VALUE"""),"https://www.facebook.com/rapplerdotcom/photos/a.317154781638645/5596022273751843/")</f>
        <v>https://www.facebook.com/rapplerdotcom/photos/a.317154781638645/5596022273751843/</v>
      </c>
      <c r="J1103" s="1" t="str">
        <f>IFERROR(__xludf.DUMMYFUNCTION("""COMPUTED_VALUE"""),"2022-07-04T15:39:36.625Z")</f>
        <v>2022-07-04T15:39:36.625Z</v>
      </c>
      <c r="K1103" s="1"/>
    </row>
    <row r="1104">
      <c r="A1104" s="2" t="str">
        <f>IFERROR(__xludf.DUMMYFUNCTION("""COMPUTED_VALUE"""),"https://www.facebook.com/raquel.timones")</f>
        <v>https://www.facebook.com/raquel.timones</v>
      </c>
      <c r="B1104" s="1" t="str">
        <f>IFERROR(__xludf.DUMMYFUNCTION("""COMPUTED_VALUE"""),"Raquel Timones")</f>
        <v>Raquel Timones</v>
      </c>
      <c r="C1104" s="1" t="str">
        <f>IFERROR(__xludf.DUMMYFUNCTION("""COMPUTED_VALUE"""),"Raquel")</f>
        <v>Raquel</v>
      </c>
      <c r="D1104" s="1" t="str">
        <f>IFERROR(__xludf.DUMMYFUNCTION("""COMPUTED_VALUE"""),"Timones")</f>
        <v>Timones</v>
      </c>
      <c r="E1104" s="1" t="str">
        <f>IFERROR(__xludf.DUMMYFUNCTION("""COMPUTED_VALUE"""),"Ang ganda, liwanag sa dilim. Basta kakampink rally iba talaga.")</f>
        <v>Ang ganda, liwanag sa dilim. Basta kakampink rally iba talaga.</v>
      </c>
      <c r="F1104" s="1">
        <f>IFERROR(__xludf.DUMMYFUNCTION("""COMPUTED_VALUE"""),3.0)</f>
        <v>3</v>
      </c>
      <c r="G1104" s="1" t="str">
        <f>IFERROR(__xludf.DUMMYFUNCTION("""COMPUTED_VALUE"""),"3 mos")</f>
        <v>3 mos</v>
      </c>
      <c r="H1104" s="1" t="str">
        <f>IFERROR(__xludf.DUMMYFUNCTION("""COMPUTED_VALUE"""),"comment")</f>
        <v>comment</v>
      </c>
      <c r="I1104" s="2" t="str">
        <f>IFERROR(__xludf.DUMMYFUNCTION("""COMPUTED_VALUE"""),"https://www.facebook.com/rapplerdotcom/photos/a.317154781638645/5596022273751843/")</f>
        <v>https://www.facebook.com/rapplerdotcom/photos/a.317154781638645/5596022273751843/</v>
      </c>
      <c r="J1104" s="1" t="str">
        <f>IFERROR(__xludf.DUMMYFUNCTION("""COMPUTED_VALUE"""),"2022-07-04T15:39:36.625Z")</f>
        <v>2022-07-04T15:39:36.625Z</v>
      </c>
      <c r="K1104" s="1"/>
    </row>
    <row r="1105">
      <c r="A1105" s="2" t="str">
        <f>IFERROR(__xludf.DUMMYFUNCTION("""COMPUTED_VALUE"""),"https://www.facebook.com/mariatheresa.cabantog")</f>
        <v>https://www.facebook.com/mariatheresa.cabantog</v>
      </c>
      <c r="B1105" s="1" t="str">
        <f>IFERROR(__xludf.DUMMYFUNCTION("""COMPUTED_VALUE"""),"Theresa Cabantog")</f>
        <v>Theresa Cabantog</v>
      </c>
      <c r="C1105" s="1" t="str">
        <f>IFERROR(__xludf.DUMMYFUNCTION("""COMPUTED_VALUE"""),"Theresa")</f>
        <v>Theresa</v>
      </c>
      <c r="D1105" s="1" t="str">
        <f>IFERROR(__xludf.DUMMYFUNCTION("""COMPUTED_VALUE"""),"Cabantog")</f>
        <v>Cabantog</v>
      </c>
      <c r="E1105" s="1" t="str">
        <f>IFERROR(__xludf.DUMMYFUNCTION("""COMPUTED_VALUE"""),"Crying coz umuwi na ako")</f>
        <v>Crying coz umuwi na ako</v>
      </c>
      <c r="F1105" s="1"/>
      <c r="G1105" s="1" t="str">
        <f>IFERROR(__xludf.DUMMYFUNCTION("""COMPUTED_VALUE"""),"3 mos")</f>
        <v>3 mos</v>
      </c>
      <c r="H1105" s="1" t="str">
        <f>IFERROR(__xludf.DUMMYFUNCTION("""COMPUTED_VALUE"""),"comment")</f>
        <v>comment</v>
      </c>
      <c r="I1105" s="2" t="str">
        <f>IFERROR(__xludf.DUMMYFUNCTION("""COMPUTED_VALUE"""),"https://www.facebook.com/rapplerdotcom/photos/a.317154781638645/5596022273751843/")</f>
        <v>https://www.facebook.com/rapplerdotcom/photos/a.317154781638645/5596022273751843/</v>
      </c>
      <c r="J1105" s="1" t="str">
        <f>IFERROR(__xludf.DUMMYFUNCTION("""COMPUTED_VALUE"""),"2022-07-04T15:39:36.625Z")</f>
        <v>2022-07-04T15:39:36.625Z</v>
      </c>
      <c r="K1105" s="1"/>
    </row>
    <row r="1106">
      <c r="A1106" s="2" t="str">
        <f>IFERROR(__xludf.DUMMYFUNCTION("""COMPUTED_VALUE"""),"https://www.facebook.com/arlene.buela.9")</f>
        <v>https://www.facebook.com/arlene.buela.9</v>
      </c>
      <c r="B1106" s="1" t="str">
        <f>IFERROR(__xludf.DUMMYFUNCTION("""COMPUTED_VALUE"""),"Arlene Buela")</f>
        <v>Arlene Buela</v>
      </c>
      <c r="C1106" s="1" t="str">
        <f>IFERROR(__xludf.DUMMYFUNCTION("""COMPUTED_VALUE"""),"Arlene")</f>
        <v>Arlene</v>
      </c>
      <c r="D1106" s="1" t="str">
        <f>IFERROR(__xludf.DUMMYFUNCTION("""COMPUTED_VALUE"""),"Buela")</f>
        <v>Buela</v>
      </c>
      <c r="E1106" s="1" t="str">
        <f>IFERROR(__xludf.DUMMYFUNCTION("""COMPUTED_VALUE"""),"Theresa Cabantog sayang ganda pa nung mga banda sa Rally nyo.. Swerte nyo kayo pinaka marami performers.. Si Ben&amp;Ben ginanahan pa sa crowd.")</f>
        <v>Theresa Cabantog sayang ganda pa nung mga banda sa Rally nyo.. Swerte nyo kayo pinaka marami performers.. Si Ben&amp;Ben ginanahan pa sa crowd.</v>
      </c>
      <c r="F1106" s="1"/>
      <c r="G1106" s="1" t="str">
        <f>IFERROR(__xludf.DUMMYFUNCTION("""COMPUTED_VALUE"""),"3 mos")</f>
        <v>3 mos</v>
      </c>
      <c r="H1106" s="1" t="str">
        <f>IFERROR(__xludf.DUMMYFUNCTION("""COMPUTED_VALUE"""),"reply")</f>
        <v>reply</v>
      </c>
      <c r="I1106" s="2" t="str">
        <f>IFERROR(__xludf.DUMMYFUNCTION("""COMPUTED_VALUE"""),"https://www.facebook.com/rapplerdotcom/photos/a.317154781638645/5596022273751843/")</f>
        <v>https://www.facebook.com/rapplerdotcom/photos/a.317154781638645/5596022273751843/</v>
      </c>
      <c r="J1106" s="1" t="str">
        <f>IFERROR(__xludf.DUMMYFUNCTION("""COMPUTED_VALUE"""),"2022-07-04T15:39:36.625Z")</f>
        <v>2022-07-04T15:39:36.625Z</v>
      </c>
      <c r="K1106" s="1"/>
    </row>
    <row r="1107">
      <c r="A1107" s="2" t="str">
        <f>IFERROR(__xludf.DUMMYFUNCTION("""COMPUTED_VALUE"""),"https://www.facebook.com/lourdeseleanor.miranda")</f>
        <v>https://www.facebook.com/lourdeseleanor.miranda</v>
      </c>
      <c r="B1107" s="1" t="str">
        <f>IFERROR(__xludf.DUMMYFUNCTION("""COMPUTED_VALUE"""),"Lourdes Eleanor Miranda")</f>
        <v>Lourdes Eleanor Miranda</v>
      </c>
      <c r="C1107" s="1" t="str">
        <f>IFERROR(__xludf.DUMMYFUNCTION("""COMPUTED_VALUE"""),"Lourdes")</f>
        <v>Lourdes</v>
      </c>
      <c r="D1107" s="1" t="str">
        <f>IFERROR(__xludf.DUMMYFUNCTION("""COMPUTED_VALUE"""),"Eleanor Miranda")</f>
        <v>Eleanor Miranda</v>
      </c>
      <c r="E1107" s="1" t="str">
        <f>IFERROR(__xludf.DUMMYFUNCTION("""COMPUTED_VALUE"""),"Wow 🌸🌸🌸👏👏👏")</f>
        <v>Wow 🌸🌸🌸👏👏👏</v>
      </c>
      <c r="F1107" s="1">
        <f>IFERROR(__xludf.DUMMYFUNCTION("""COMPUTED_VALUE"""),2.0)</f>
        <v>2</v>
      </c>
      <c r="G1107" s="1" t="str">
        <f>IFERROR(__xludf.DUMMYFUNCTION("""COMPUTED_VALUE"""),"3 mos")</f>
        <v>3 mos</v>
      </c>
      <c r="H1107" s="1" t="str">
        <f>IFERROR(__xludf.DUMMYFUNCTION("""COMPUTED_VALUE"""),"comment")</f>
        <v>comment</v>
      </c>
      <c r="I1107" s="2" t="str">
        <f>IFERROR(__xludf.DUMMYFUNCTION("""COMPUTED_VALUE"""),"https://www.facebook.com/rapplerdotcom/photos/a.317154781638645/5596022273751843/")</f>
        <v>https://www.facebook.com/rapplerdotcom/photos/a.317154781638645/5596022273751843/</v>
      </c>
      <c r="J1107" s="1" t="str">
        <f>IFERROR(__xludf.DUMMYFUNCTION("""COMPUTED_VALUE"""),"2022-07-04T15:39:36.625Z")</f>
        <v>2022-07-04T15:39:36.625Z</v>
      </c>
      <c r="K1107" s="1"/>
    </row>
    <row r="1108">
      <c r="A1108" s="2" t="str">
        <f>IFERROR(__xludf.DUMMYFUNCTION("""COMPUTED_VALUE"""),"https://www.facebook.com/roberto.sembrano")</f>
        <v>https://www.facebook.com/roberto.sembrano</v>
      </c>
      <c r="B1108" s="1" t="str">
        <f>IFERROR(__xludf.DUMMYFUNCTION("""COMPUTED_VALUE"""),"Roberto Sembrano")</f>
        <v>Roberto Sembrano</v>
      </c>
      <c r="C1108" s="1" t="str">
        <f>IFERROR(__xludf.DUMMYFUNCTION("""COMPUTED_VALUE"""),"Roberto")</f>
        <v>Roberto</v>
      </c>
      <c r="D1108" s="1" t="str">
        <f>IFERROR(__xludf.DUMMYFUNCTION("""COMPUTED_VALUE"""),"Sembrano")</f>
        <v>Sembrano</v>
      </c>
      <c r="E1108" s="1" t="str">
        <f>IFERROR(__xludf.DUMMYFUNCTION("""COMPUTED_VALUE"""),"Go go go #LeniKikoTeam2022 ipanalo natin ito para sa ating mga anak!")</f>
        <v>Go go go #LeniKikoTeam2022 ipanalo natin ito para sa ating mga anak!</v>
      </c>
      <c r="F1108" s="1"/>
      <c r="G1108" s="1" t="str">
        <f>IFERROR(__xludf.DUMMYFUNCTION("""COMPUTED_VALUE"""),"3 mos")</f>
        <v>3 mos</v>
      </c>
      <c r="H1108" s="1" t="str">
        <f>IFERROR(__xludf.DUMMYFUNCTION("""COMPUTED_VALUE"""),"comment")</f>
        <v>comment</v>
      </c>
      <c r="I1108" s="2" t="str">
        <f>IFERROR(__xludf.DUMMYFUNCTION("""COMPUTED_VALUE"""),"https://www.facebook.com/rapplerdotcom/photos/a.317154781638645/5596022273751843/")</f>
        <v>https://www.facebook.com/rapplerdotcom/photos/a.317154781638645/5596022273751843/</v>
      </c>
      <c r="J1108" s="1" t="str">
        <f>IFERROR(__xludf.DUMMYFUNCTION("""COMPUTED_VALUE"""),"2022-07-04T15:39:36.625Z")</f>
        <v>2022-07-04T15:39:36.625Z</v>
      </c>
      <c r="K1108" s="1"/>
    </row>
    <row r="1109">
      <c r="A1109" s="2" t="str">
        <f>IFERROR(__xludf.DUMMYFUNCTION("""COMPUTED_VALUE"""),"https://www.facebook.com/noel.ahadan")</f>
        <v>https://www.facebook.com/noel.ahadan</v>
      </c>
      <c r="B1109" s="1" t="str">
        <f>IFERROR(__xludf.DUMMYFUNCTION("""COMPUTED_VALUE"""),"Norway S Dan")</f>
        <v>Norway S Dan</v>
      </c>
      <c r="C1109" s="1" t="str">
        <f>IFERROR(__xludf.DUMMYFUNCTION("""COMPUTED_VALUE"""),"Norway")</f>
        <v>Norway</v>
      </c>
      <c r="D1109" s="1" t="str">
        <f>IFERROR(__xludf.DUMMYFUNCTION("""COMPUTED_VALUE"""),"S Dan")</f>
        <v>S Dan</v>
      </c>
      <c r="E1109" s="1" t="str">
        <f>IFERROR(__xludf.DUMMYFUNCTION("""COMPUTED_VALUE"""),"Lokal da.")</f>
        <v>Lokal da.</v>
      </c>
      <c r="F1109" s="1"/>
      <c r="G1109" s="1" t="str">
        <f>IFERROR(__xludf.DUMMYFUNCTION("""COMPUTED_VALUE"""),"3 mos")</f>
        <v>3 mos</v>
      </c>
      <c r="H1109" s="1" t="str">
        <f>IFERROR(__xludf.DUMMYFUNCTION("""COMPUTED_VALUE"""),"comment")</f>
        <v>comment</v>
      </c>
      <c r="I1109" s="2" t="str">
        <f>IFERROR(__xludf.DUMMYFUNCTION("""COMPUTED_VALUE"""),"https://www.facebook.com/rapplerdotcom/photos/a.317154781638645/5596022273751843/")</f>
        <v>https://www.facebook.com/rapplerdotcom/photos/a.317154781638645/5596022273751843/</v>
      </c>
      <c r="J1109" s="1" t="str">
        <f>IFERROR(__xludf.DUMMYFUNCTION("""COMPUTED_VALUE"""),"2022-07-04T15:39:36.625Z")</f>
        <v>2022-07-04T15:39:36.625Z</v>
      </c>
      <c r="K1109" s="1"/>
    </row>
    <row r="1110">
      <c r="A1110" s="2" t="str">
        <f>IFERROR(__xludf.DUMMYFUNCTION("""COMPUTED_VALUE"""),"https://www.facebook.com/johnraffy.patrocinio")</f>
        <v>https://www.facebook.com/johnraffy.patrocinio</v>
      </c>
      <c r="B1110" s="1" t="str">
        <f>IFERROR(__xludf.DUMMYFUNCTION("""COMPUTED_VALUE"""),"Raffy Patrocinio")</f>
        <v>Raffy Patrocinio</v>
      </c>
      <c r="C1110" s="1" t="str">
        <f>IFERROR(__xludf.DUMMYFUNCTION("""COMPUTED_VALUE"""),"Raffy")</f>
        <v>Raffy</v>
      </c>
      <c r="D1110" s="1" t="str">
        <f>IFERROR(__xludf.DUMMYFUNCTION("""COMPUTED_VALUE"""),"Patrocinio")</f>
        <v>Patrocinio</v>
      </c>
      <c r="E1110" s="1" t="str">
        <f>IFERROR(__xludf.DUMMYFUNCTION("""COMPUTED_VALUE"""),"yung kabilang kampo, libag na sa dilim😆😆")</f>
        <v>yung kabilang kampo, libag na sa dilim😆😆</v>
      </c>
      <c r="F1110" s="1"/>
      <c r="G1110" s="1" t="str">
        <f>IFERROR(__xludf.DUMMYFUNCTION("""COMPUTED_VALUE"""),"3 mos")</f>
        <v>3 mos</v>
      </c>
      <c r="H1110" s="1" t="str">
        <f>IFERROR(__xludf.DUMMYFUNCTION("""COMPUTED_VALUE"""),"comment")</f>
        <v>comment</v>
      </c>
      <c r="I1110" s="2" t="str">
        <f>IFERROR(__xludf.DUMMYFUNCTION("""COMPUTED_VALUE"""),"https://www.facebook.com/rapplerdotcom/photos/a.317154781638645/5596022273751843/")</f>
        <v>https://www.facebook.com/rapplerdotcom/photos/a.317154781638645/5596022273751843/</v>
      </c>
      <c r="J1110" s="1" t="str">
        <f>IFERROR(__xludf.DUMMYFUNCTION("""COMPUTED_VALUE"""),"2022-07-04T15:39:36.625Z")</f>
        <v>2022-07-04T15:39:36.625Z</v>
      </c>
      <c r="K1110" s="1"/>
    </row>
    <row r="1111">
      <c r="A1111" s="2" t="str">
        <f>IFERROR(__xludf.DUMMYFUNCTION("""COMPUTED_VALUE"""),"https://www.facebook.com/rmdsierra")</f>
        <v>https://www.facebook.com/rmdsierra</v>
      </c>
      <c r="B1111" s="1" t="str">
        <f>IFERROR(__xludf.DUMMYFUNCTION("""COMPUTED_VALUE"""),"Rmd Arreis")</f>
        <v>Rmd Arreis</v>
      </c>
      <c r="C1111" s="1" t="str">
        <f>IFERROR(__xludf.DUMMYFUNCTION("""COMPUTED_VALUE"""),"Rmd")</f>
        <v>Rmd</v>
      </c>
      <c r="D1111" s="1" t="str">
        <f>IFERROR(__xludf.DUMMYFUNCTION("""COMPUTED_VALUE"""),"Arreis")</f>
        <v>Arreis</v>
      </c>
      <c r="E1111" s="1" t="str">
        <f>IFERROR(__xludf.DUMMYFUNCTION("""COMPUTED_VALUE"""),"Raffy Patrocinio woww kaya pala ayaw nyo na ng caravan🤦‍♂️😂")</f>
        <v>Raffy Patrocinio woww kaya pala ayaw nyo na ng caravan🤦‍♂️😂</v>
      </c>
      <c r="F1111" s="1"/>
      <c r="G1111" s="1" t="str">
        <f>IFERROR(__xludf.DUMMYFUNCTION("""COMPUTED_VALUE"""),"3 mos")</f>
        <v>3 mos</v>
      </c>
      <c r="H1111" s="1" t="str">
        <f>IFERROR(__xludf.DUMMYFUNCTION("""COMPUTED_VALUE"""),"reply")</f>
        <v>reply</v>
      </c>
      <c r="I1111" s="2" t="str">
        <f>IFERROR(__xludf.DUMMYFUNCTION("""COMPUTED_VALUE"""),"https://www.facebook.com/rapplerdotcom/photos/a.317154781638645/5596022273751843/")</f>
        <v>https://www.facebook.com/rapplerdotcom/photos/a.317154781638645/5596022273751843/</v>
      </c>
      <c r="J1111" s="1" t="str">
        <f>IFERROR(__xludf.DUMMYFUNCTION("""COMPUTED_VALUE"""),"2022-07-04T15:39:36.625Z")</f>
        <v>2022-07-04T15:39:36.625Z</v>
      </c>
      <c r="K1111" s="1"/>
    </row>
    <row r="1112">
      <c r="A1112" s="2" t="str">
        <f>IFERROR(__xludf.DUMMYFUNCTION("""COMPUTED_VALUE"""),"https://www.facebook.com/johnraffy.patrocinio")</f>
        <v>https://www.facebook.com/johnraffy.patrocinio</v>
      </c>
      <c r="B1112" s="1" t="str">
        <f>IFERROR(__xludf.DUMMYFUNCTION("""COMPUTED_VALUE"""),"Raffy Patrocinio")</f>
        <v>Raffy Patrocinio</v>
      </c>
      <c r="C1112" s="1" t="str">
        <f>IFERROR(__xludf.DUMMYFUNCTION("""COMPUTED_VALUE"""),"Raffy")</f>
        <v>Raffy</v>
      </c>
      <c r="D1112" s="1" t="str">
        <f>IFERROR(__xludf.DUMMYFUNCTION("""COMPUTED_VALUE"""),"Patrocinio")</f>
        <v>Patrocinio</v>
      </c>
      <c r="E1112" s="1" t="str">
        <f>IFERROR(__xludf.DUMMYFUNCTION("""COMPUTED_VALUE"""),"Rmd Arreis huh? kakagaling ko lang kahapon, pag sabog, i2log")</f>
        <v>Rmd Arreis huh? kakagaling ko lang kahapon, pag sabog, i2log</v>
      </c>
      <c r="F1112" s="1"/>
      <c r="G1112" s="1" t="str">
        <f>IFERROR(__xludf.DUMMYFUNCTION("""COMPUTED_VALUE"""),"3 mos")</f>
        <v>3 mos</v>
      </c>
      <c r="H1112" s="1" t="str">
        <f>IFERROR(__xludf.DUMMYFUNCTION("""COMPUTED_VALUE"""),"reply")</f>
        <v>reply</v>
      </c>
      <c r="I1112" s="2" t="str">
        <f>IFERROR(__xludf.DUMMYFUNCTION("""COMPUTED_VALUE"""),"https://www.facebook.com/rapplerdotcom/photos/a.317154781638645/5596022273751843/")</f>
        <v>https://www.facebook.com/rapplerdotcom/photos/a.317154781638645/5596022273751843/</v>
      </c>
      <c r="J1112" s="1" t="str">
        <f>IFERROR(__xludf.DUMMYFUNCTION("""COMPUTED_VALUE"""),"2022-07-04T15:39:36.625Z")</f>
        <v>2022-07-04T15:39:36.625Z</v>
      </c>
      <c r="K1112" s="1"/>
    </row>
    <row r="1113">
      <c r="A1113" s="2" t="str">
        <f>IFERROR(__xludf.DUMMYFUNCTION("""COMPUTED_VALUE"""),"https://www.facebook.com/rmdsierra")</f>
        <v>https://www.facebook.com/rmdsierra</v>
      </c>
      <c r="B1113" s="1" t="str">
        <f>IFERROR(__xludf.DUMMYFUNCTION("""COMPUTED_VALUE"""),"Rmd Arreis")</f>
        <v>Rmd Arreis</v>
      </c>
      <c r="C1113" s="1" t="str">
        <f>IFERROR(__xludf.DUMMYFUNCTION("""COMPUTED_VALUE"""),"Rmd")</f>
        <v>Rmd</v>
      </c>
      <c r="D1113" s="1" t="str">
        <f>IFERROR(__xludf.DUMMYFUNCTION("""COMPUTED_VALUE"""),"Arreis")</f>
        <v>Arreis</v>
      </c>
      <c r="E1113" s="1" t="str">
        <f>IFERROR(__xludf.DUMMYFUNCTION("""COMPUTED_VALUE"""),"Tigil tigilan mo, kaya ka single eh, kabobohan mo🤦‍♂️")</f>
        <v>Tigil tigilan mo, kaya ka single eh, kabobohan mo🤦‍♂️</v>
      </c>
      <c r="F1113" s="1"/>
      <c r="G1113" s="1" t="str">
        <f>IFERROR(__xludf.DUMMYFUNCTION("""COMPUTED_VALUE"""),"3 mos")</f>
        <v>3 mos</v>
      </c>
      <c r="H1113" s="1" t="str">
        <f>IFERROR(__xludf.DUMMYFUNCTION("""COMPUTED_VALUE"""),"reply")</f>
        <v>reply</v>
      </c>
      <c r="I1113" s="2" t="str">
        <f>IFERROR(__xludf.DUMMYFUNCTION("""COMPUTED_VALUE"""),"https://www.facebook.com/rapplerdotcom/photos/a.317154781638645/5596022273751843/")</f>
        <v>https://www.facebook.com/rapplerdotcom/photos/a.317154781638645/5596022273751843/</v>
      </c>
      <c r="J1113" s="1" t="str">
        <f>IFERROR(__xludf.DUMMYFUNCTION("""COMPUTED_VALUE"""),"2022-07-04T15:39:36.625Z")</f>
        <v>2022-07-04T15:39:36.625Z</v>
      </c>
      <c r="K1113" s="1"/>
    </row>
    <row r="1114">
      <c r="A1114" s="2" t="str">
        <f>IFERROR(__xludf.DUMMYFUNCTION("""COMPUTED_VALUE"""),"https://www.facebook.com/jbmcaballero")</f>
        <v>https://www.facebook.com/jbmcaballero</v>
      </c>
      <c r="B1114" s="1" t="str">
        <f>IFERROR(__xludf.DUMMYFUNCTION("""COMPUTED_VALUE"""),"Joey Caballero")</f>
        <v>Joey Caballero</v>
      </c>
      <c r="C1114" s="1" t="str">
        <f>IFERROR(__xludf.DUMMYFUNCTION("""COMPUTED_VALUE"""),"Joey")</f>
        <v>Joey</v>
      </c>
      <c r="D1114" s="1" t="str">
        <f>IFERROR(__xludf.DUMMYFUNCTION("""COMPUTED_VALUE"""),"Caballero")</f>
        <v>Caballero</v>
      </c>
      <c r="E1114" s="1" t="str">
        <f>IFERROR(__xludf.DUMMYFUNCTION("""COMPUTED_VALUE"""),"IpapanaloNa10 talaga ito!💕💕💕")</f>
        <v>IpapanaloNa10 talaga ito!💕💕💕</v>
      </c>
      <c r="F1114" s="1">
        <f>IFERROR(__xludf.DUMMYFUNCTION("""COMPUTED_VALUE"""),9.0)</f>
        <v>9</v>
      </c>
      <c r="G1114" s="1" t="str">
        <f>IFERROR(__xludf.DUMMYFUNCTION("""COMPUTED_VALUE"""),"3 mos")</f>
        <v>3 mos</v>
      </c>
      <c r="H1114" s="1" t="str">
        <f>IFERROR(__xludf.DUMMYFUNCTION("""COMPUTED_VALUE"""),"comment")</f>
        <v>comment</v>
      </c>
      <c r="I1114" s="2" t="str">
        <f>IFERROR(__xludf.DUMMYFUNCTION("""COMPUTED_VALUE"""),"https://www.facebook.com/rapplerdotcom/photos/a.317154781638645/5596022273751843/")</f>
        <v>https://www.facebook.com/rapplerdotcom/photos/a.317154781638645/5596022273751843/</v>
      </c>
      <c r="J1114" s="1" t="str">
        <f>IFERROR(__xludf.DUMMYFUNCTION("""COMPUTED_VALUE"""),"2022-07-04T15:39:36.625Z")</f>
        <v>2022-07-04T15:39:36.625Z</v>
      </c>
      <c r="K1114" s="1"/>
    </row>
    <row r="1115">
      <c r="A1115" s="2" t="str">
        <f>IFERROR(__xludf.DUMMYFUNCTION("""COMPUTED_VALUE"""),"https://www.facebook.com/jening.martinez")</f>
        <v>https://www.facebook.com/jening.martinez</v>
      </c>
      <c r="B1115" s="1" t="str">
        <f>IFERROR(__xludf.DUMMYFUNCTION("""COMPUTED_VALUE"""),"Jenine Cayetano Magcalayo Martinez")</f>
        <v>Jenine Cayetano Magcalayo Martinez</v>
      </c>
      <c r="C1115" s="1" t="str">
        <f>IFERROR(__xludf.DUMMYFUNCTION("""COMPUTED_VALUE"""),"Jenine")</f>
        <v>Jenine</v>
      </c>
      <c r="D1115" s="1" t="str">
        <f>IFERROR(__xludf.DUMMYFUNCTION("""COMPUTED_VALUE"""),"Cayetano Magcalayo Martinez")</f>
        <v>Cayetano Magcalayo Martinez</v>
      </c>
      <c r="E1115" s="1" t="str">
        <f>IFERROR(__xludf.DUMMYFUNCTION("""COMPUTED_VALUE"""),"Maliit Ang venue dami pa sa labas n Hindi nkapasok#GobyernongTapatAngatBuhayAngLahat")</f>
        <v>Maliit Ang venue dami pa sa labas n Hindi nkapasok#GobyernongTapatAngatBuhayAngLahat</v>
      </c>
      <c r="F1115" s="1">
        <f>IFERROR(__xludf.DUMMYFUNCTION("""COMPUTED_VALUE"""),34.0)</f>
        <v>34</v>
      </c>
      <c r="G1115" s="1" t="str">
        <f>IFERROR(__xludf.DUMMYFUNCTION("""COMPUTED_VALUE"""),"3 mos")</f>
        <v>3 mos</v>
      </c>
      <c r="H1115" s="1" t="str">
        <f>IFERROR(__xludf.DUMMYFUNCTION("""COMPUTED_VALUE"""),"comment")</f>
        <v>comment</v>
      </c>
      <c r="I1115" s="2" t="str">
        <f>IFERROR(__xludf.DUMMYFUNCTION("""COMPUTED_VALUE"""),"https://www.facebook.com/rapplerdotcom/photos/a.317154781638645/5596022273751843/")</f>
        <v>https://www.facebook.com/rapplerdotcom/photos/a.317154781638645/5596022273751843/</v>
      </c>
      <c r="J1115" s="1" t="str">
        <f>IFERROR(__xludf.DUMMYFUNCTION("""COMPUTED_VALUE"""),"2022-07-04T15:39:36.625Z")</f>
        <v>2022-07-04T15:39:36.625Z</v>
      </c>
      <c r="K1115" s="1"/>
    </row>
    <row r="1116">
      <c r="A1116" s="2" t="str">
        <f>IFERROR(__xludf.DUMMYFUNCTION("""COMPUTED_VALUE"""),"https://www.facebook.com/joelcueno30")</f>
        <v>https://www.facebook.com/joelcueno30</v>
      </c>
      <c r="B1116" s="1" t="str">
        <f>IFERROR(__xludf.DUMMYFUNCTION("""COMPUTED_VALUE"""),"Joel Cueno")</f>
        <v>Joel Cueno</v>
      </c>
      <c r="C1116" s="1" t="str">
        <f>IFERROR(__xludf.DUMMYFUNCTION("""COMPUTED_VALUE"""),"Joel")</f>
        <v>Joel</v>
      </c>
      <c r="D1116" s="1" t="str">
        <f>IFERROR(__xludf.DUMMYFUNCTION("""COMPUTED_VALUE"""),"Cueno")</f>
        <v>Cueno</v>
      </c>
      <c r="E1116" s="1" t="str">
        <f>IFERROR(__xludf.DUMMYFUNCTION("""COMPUTED_VALUE"""),"Jenine Cayetano Magcalayo Martinez thats why camanava is pinakamraming LED na nagamit. Pati sa labas sunod sunod LED screen")</f>
        <v>Jenine Cayetano Magcalayo Martinez thats why camanava is pinakamraming LED na nagamit. Pati sa labas sunod sunod LED screen</v>
      </c>
      <c r="F1116" s="1"/>
      <c r="G1116" s="1" t="str">
        <f>IFERROR(__xludf.DUMMYFUNCTION("""COMPUTED_VALUE"""),"3 mos")</f>
        <v>3 mos</v>
      </c>
      <c r="H1116" s="1" t="str">
        <f>IFERROR(__xludf.DUMMYFUNCTION("""COMPUTED_VALUE"""),"reply")</f>
        <v>reply</v>
      </c>
      <c r="I1116" s="2" t="str">
        <f>IFERROR(__xludf.DUMMYFUNCTION("""COMPUTED_VALUE"""),"https://www.facebook.com/rapplerdotcom/photos/a.317154781638645/5596022273751843/")</f>
        <v>https://www.facebook.com/rapplerdotcom/photos/a.317154781638645/5596022273751843/</v>
      </c>
      <c r="J1116" s="1" t="str">
        <f>IFERROR(__xludf.DUMMYFUNCTION("""COMPUTED_VALUE"""),"2022-07-04T15:39:36.625Z")</f>
        <v>2022-07-04T15:39:36.625Z</v>
      </c>
      <c r="K1116" s="1"/>
    </row>
    <row r="1117">
      <c r="A1117" s="2" t="str">
        <f>IFERROR(__xludf.DUMMYFUNCTION("""COMPUTED_VALUE"""),"https://www.facebook.com/remzi.onal.9")</f>
        <v>https://www.facebook.com/remzi.onal.9</v>
      </c>
      <c r="B1117" s="1" t="str">
        <f>IFERROR(__xludf.DUMMYFUNCTION("""COMPUTED_VALUE"""),"Remzi Onal")</f>
        <v>Remzi Onal</v>
      </c>
      <c r="C1117" s="1" t="str">
        <f>IFERROR(__xludf.DUMMYFUNCTION("""COMPUTED_VALUE"""),"Remzi")</f>
        <v>Remzi</v>
      </c>
      <c r="D1117" s="1" t="str">
        <f>IFERROR(__xludf.DUMMYFUNCTION("""COMPUTED_VALUE"""),"Onal")</f>
        <v>Onal</v>
      </c>
      <c r="E1117" s="1" t="str">
        <f>IFERROR(__xludf.DUMMYFUNCTION("""COMPUTED_VALUE"""),"Napakagandang tignan🌸🌸🌸  #CAMANAVAisPink #EarthHour")</f>
        <v>Napakagandang tignan🌸🌸🌸  #CAMANAVAisPink #EarthHour</v>
      </c>
      <c r="F1117" s="1"/>
      <c r="G1117" s="1" t="str">
        <f>IFERROR(__xludf.DUMMYFUNCTION("""COMPUTED_VALUE"""),"3 mos")</f>
        <v>3 mos</v>
      </c>
      <c r="H1117" s="1" t="str">
        <f>IFERROR(__xludf.DUMMYFUNCTION("""COMPUTED_VALUE"""),"comment")</f>
        <v>comment</v>
      </c>
      <c r="I1117" s="2" t="str">
        <f>IFERROR(__xludf.DUMMYFUNCTION("""COMPUTED_VALUE"""),"https://www.facebook.com/rapplerdotcom/photos/a.317154781638645/5596022273751843/")</f>
        <v>https://www.facebook.com/rapplerdotcom/photos/a.317154781638645/5596022273751843/</v>
      </c>
      <c r="J1117" s="1" t="str">
        <f>IFERROR(__xludf.DUMMYFUNCTION("""COMPUTED_VALUE"""),"2022-07-04T15:39:36.625Z")</f>
        <v>2022-07-04T15:39:36.625Z</v>
      </c>
      <c r="K1117" s="1"/>
    </row>
    <row r="1118">
      <c r="A1118" s="2" t="str">
        <f>IFERROR(__xludf.DUMMYFUNCTION("""COMPUTED_VALUE"""),"https://www.facebook.com/chabbykitz")</f>
        <v>https://www.facebook.com/chabbykitz</v>
      </c>
      <c r="B1118" s="1" t="str">
        <f>IFERROR(__xludf.DUMMYFUNCTION("""COMPUTED_VALUE"""),"乔迪")</f>
        <v>乔迪</v>
      </c>
      <c r="C1118" s="1" t="str">
        <f>IFERROR(__xludf.DUMMYFUNCTION("""COMPUTED_VALUE"""),"乔迪")</f>
        <v>乔迪</v>
      </c>
      <c r="D1118" s="1"/>
      <c r="E1118" s="1" t="str">
        <f>IFERROR(__xludf.DUMMYFUNCTION("""COMPUTED_VALUE"""),"Kulay pula")</f>
        <v>Kulay pula</v>
      </c>
      <c r="F1118" s="1"/>
      <c r="G1118" s="1" t="str">
        <f>IFERROR(__xludf.DUMMYFUNCTION("""COMPUTED_VALUE"""),"3 mos")</f>
        <v>3 mos</v>
      </c>
      <c r="H1118" s="1" t="str">
        <f>IFERROR(__xludf.DUMMYFUNCTION("""COMPUTED_VALUE"""),"comment")</f>
        <v>comment</v>
      </c>
      <c r="I1118" s="2" t="str">
        <f>IFERROR(__xludf.DUMMYFUNCTION("""COMPUTED_VALUE"""),"https://www.facebook.com/rapplerdotcom/photos/a.317154781638645/5596022273751843/")</f>
        <v>https://www.facebook.com/rapplerdotcom/photos/a.317154781638645/5596022273751843/</v>
      </c>
      <c r="J1118" s="1" t="str">
        <f>IFERROR(__xludf.DUMMYFUNCTION("""COMPUTED_VALUE"""),"2022-07-04T15:39:36.625Z")</f>
        <v>2022-07-04T15:39:36.625Z</v>
      </c>
      <c r="K1118" s="1"/>
    </row>
    <row r="1119">
      <c r="A1119" s="2" t="str">
        <f>IFERROR(__xludf.DUMMYFUNCTION("""COMPUTED_VALUE"""),"https://www.facebook.com/rueven.cuizon")</f>
        <v>https://www.facebook.com/rueven.cuizon</v>
      </c>
      <c r="B1119" s="1" t="str">
        <f>IFERROR(__xludf.DUMMYFUNCTION("""COMPUTED_VALUE"""),"Ven Cuizon")</f>
        <v>Ven Cuizon</v>
      </c>
      <c r="C1119" s="1" t="str">
        <f>IFERROR(__xludf.DUMMYFUNCTION("""COMPUTED_VALUE"""),"Ven")</f>
        <v>Ven</v>
      </c>
      <c r="D1119" s="1" t="str">
        <f>IFERROR(__xludf.DUMMYFUNCTION("""COMPUTED_VALUE"""),"Cuizon")</f>
        <v>Cuizon</v>
      </c>
      <c r="E1119" s="1" t="str">
        <f>IFERROR(__xludf.DUMMYFUNCTION("""COMPUTED_VALUE"""),"Liwanag sa dilim!!!!")</f>
        <v>Liwanag sa dilim!!!!</v>
      </c>
      <c r="F1119" s="1">
        <f>IFERROR(__xludf.DUMMYFUNCTION("""COMPUTED_VALUE"""),1.0)</f>
        <v>1</v>
      </c>
      <c r="G1119" s="1" t="str">
        <f>IFERROR(__xludf.DUMMYFUNCTION("""COMPUTED_VALUE"""),"3 mos")</f>
        <v>3 mos</v>
      </c>
      <c r="H1119" s="1" t="str">
        <f>IFERROR(__xludf.DUMMYFUNCTION("""COMPUTED_VALUE"""),"comment")</f>
        <v>comment</v>
      </c>
      <c r="I1119" s="2" t="str">
        <f>IFERROR(__xludf.DUMMYFUNCTION("""COMPUTED_VALUE"""),"https://www.facebook.com/rapplerdotcom/photos/a.317154781638645/5596022273751843/")</f>
        <v>https://www.facebook.com/rapplerdotcom/photos/a.317154781638645/5596022273751843/</v>
      </c>
      <c r="J1119" s="1" t="str">
        <f>IFERROR(__xludf.DUMMYFUNCTION("""COMPUTED_VALUE"""),"2022-07-04T15:39:36.626Z")</f>
        <v>2022-07-04T15:39:36.626Z</v>
      </c>
      <c r="K1119" s="1"/>
    </row>
    <row r="1120">
      <c r="A1120" s="2" t="str">
        <f>IFERROR(__xludf.DUMMYFUNCTION("""COMPUTED_VALUE"""),"https://www.facebook.com/ferdinand.arellano.92")</f>
        <v>https://www.facebook.com/ferdinand.arellano.92</v>
      </c>
      <c r="B1120" s="1" t="str">
        <f>IFERROR(__xludf.DUMMYFUNCTION("""COMPUTED_VALUE"""),"Ferdz Arellano")</f>
        <v>Ferdz Arellano</v>
      </c>
      <c r="C1120" s="1" t="str">
        <f>IFERROR(__xludf.DUMMYFUNCTION("""COMPUTED_VALUE"""),"Ferdz")</f>
        <v>Ferdz</v>
      </c>
      <c r="D1120" s="1" t="str">
        <f>IFERROR(__xludf.DUMMYFUNCTION("""COMPUTED_VALUE"""),"Arellano")</f>
        <v>Arellano</v>
      </c>
      <c r="E1120" s="1" t="str">
        <f>IFERROR(__xludf.DUMMYFUNCTION("""COMPUTED_VALUE"""),"I want clean election on May 9 2022  WALANG!!!!!!!!!!!!!!!!!!!!!!!!!!!!!!!! DAYAAN!!!!!!!!!!!!!!!!!!!!!!!!!!!!!!!!!😀 Kagaya nanyari noon 2016  Election")</f>
        <v>I want clean election on May 9 2022  WALANG!!!!!!!!!!!!!!!!!!!!!!!!!!!!!!!! DAYAAN!!!!!!!!!!!!!!!!!!!!!!!!!!!!!!!!!😀 Kagaya nanyari noon 2016  Election</v>
      </c>
      <c r="F1120" s="1">
        <f>IFERROR(__xludf.DUMMYFUNCTION("""COMPUTED_VALUE"""),2.0)</f>
        <v>2</v>
      </c>
      <c r="G1120" s="1" t="str">
        <f>IFERROR(__xludf.DUMMYFUNCTION("""COMPUTED_VALUE"""),"3 mos")</f>
        <v>3 mos</v>
      </c>
      <c r="H1120" s="1" t="str">
        <f>IFERROR(__xludf.DUMMYFUNCTION("""COMPUTED_VALUE"""),"comment")</f>
        <v>comment</v>
      </c>
      <c r="I1120" s="2" t="str">
        <f>IFERROR(__xludf.DUMMYFUNCTION("""COMPUTED_VALUE"""),"https://www.facebook.com/rapplerdotcom/photos/a.317154781638645/5596022273751843/")</f>
        <v>https://www.facebook.com/rapplerdotcom/photos/a.317154781638645/5596022273751843/</v>
      </c>
      <c r="J1120" s="1" t="str">
        <f>IFERROR(__xludf.DUMMYFUNCTION("""COMPUTED_VALUE"""),"2022-07-04T15:39:36.626Z")</f>
        <v>2022-07-04T15:39:36.626Z</v>
      </c>
      <c r="K1120" s="1"/>
    </row>
    <row r="1121">
      <c r="A1121" s="2" t="str">
        <f>IFERROR(__xludf.DUMMYFUNCTION("""COMPUTED_VALUE"""),"https://www.facebook.com/lorenzfajardo.amin")</f>
        <v>https://www.facebook.com/lorenzfajardo.amin</v>
      </c>
      <c r="B1121" s="1" t="str">
        <f>IFERROR(__xludf.DUMMYFUNCTION("""COMPUTED_VALUE"""),"John Lorenz")</f>
        <v>John Lorenz</v>
      </c>
      <c r="C1121" s="1" t="str">
        <f>IFERROR(__xludf.DUMMYFUNCTION("""COMPUTED_VALUE"""),"John")</f>
        <v>John</v>
      </c>
      <c r="D1121" s="1" t="str">
        <f>IFERROR(__xludf.DUMMYFUNCTION("""COMPUTED_VALUE"""),"Lorenz")</f>
        <v>Lorenz</v>
      </c>
      <c r="E1121" s="1" t="str">
        <f>IFERROR(__xludf.DUMMYFUNCTION("""COMPUTED_VALUE"""),"Ferdinand O Arellano 3 times po nagparecount")</f>
        <v>Ferdinand O Arellano 3 times po nagparecount</v>
      </c>
      <c r="F1121" s="1">
        <f>IFERROR(__xludf.DUMMYFUNCTION("""COMPUTED_VALUE"""),3.0)</f>
        <v>3</v>
      </c>
      <c r="G1121" s="1" t="str">
        <f>IFERROR(__xludf.DUMMYFUNCTION("""COMPUTED_VALUE"""),"3 mos")</f>
        <v>3 mos</v>
      </c>
      <c r="H1121" s="1" t="str">
        <f>IFERROR(__xludf.DUMMYFUNCTION("""COMPUTED_VALUE"""),"reply")</f>
        <v>reply</v>
      </c>
      <c r="I1121" s="2" t="str">
        <f>IFERROR(__xludf.DUMMYFUNCTION("""COMPUTED_VALUE"""),"https://www.facebook.com/rapplerdotcom/photos/a.317154781638645/5596022273751843/")</f>
        <v>https://www.facebook.com/rapplerdotcom/photos/a.317154781638645/5596022273751843/</v>
      </c>
      <c r="J1121" s="1" t="str">
        <f>IFERROR(__xludf.DUMMYFUNCTION("""COMPUTED_VALUE"""),"2022-07-04T15:39:36.626Z")</f>
        <v>2022-07-04T15:39:36.626Z</v>
      </c>
      <c r="K1121" s="1"/>
    </row>
    <row r="1122">
      <c r="A1122" s="2" t="str">
        <f>IFERROR(__xludf.DUMMYFUNCTION("""COMPUTED_VALUE"""),"https://www.facebook.com/angelica.perig.7")</f>
        <v>https://www.facebook.com/angelica.perig.7</v>
      </c>
      <c r="B1122" s="1" t="str">
        <f>IFERROR(__xludf.DUMMYFUNCTION("""COMPUTED_VALUE"""),"Angelica Perig")</f>
        <v>Angelica Perig</v>
      </c>
      <c r="C1122" s="1" t="str">
        <f>IFERROR(__xludf.DUMMYFUNCTION("""COMPUTED_VALUE"""),"Angelica")</f>
        <v>Angelica</v>
      </c>
      <c r="D1122" s="1" t="str">
        <f>IFERROR(__xludf.DUMMYFUNCTION("""COMPUTED_VALUE"""),"Perig")</f>
        <v>Perig</v>
      </c>
      <c r="E1122" s="1" t="str">
        <f>IFERROR(__xludf.DUMMYFUNCTION("""COMPUTED_VALUE"""),"John Lorenz 3times nga nag parecount pero ..yong iba hinde pinabilang 😂😂")</f>
        <v>John Lorenz 3times nga nag parecount pero ..yong iba hinde pinabilang 😂😂</v>
      </c>
      <c r="F1122" s="1">
        <f>IFERROR(__xludf.DUMMYFUNCTION("""COMPUTED_VALUE"""),4.0)</f>
        <v>4</v>
      </c>
      <c r="G1122" s="1" t="str">
        <f>IFERROR(__xludf.DUMMYFUNCTION("""COMPUTED_VALUE"""),"3 mos")</f>
        <v>3 mos</v>
      </c>
      <c r="H1122" s="1" t="str">
        <f>IFERROR(__xludf.DUMMYFUNCTION("""COMPUTED_VALUE"""),"reply")</f>
        <v>reply</v>
      </c>
      <c r="I1122" s="2" t="str">
        <f>IFERROR(__xludf.DUMMYFUNCTION("""COMPUTED_VALUE"""),"https://www.facebook.com/rapplerdotcom/photos/a.317154781638645/5596022273751843/")</f>
        <v>https://www.facebook.com/rapplerdotcom/photos/a.317154781638645/5596022273751843/</v>
      </c>
      <c r="J1122" s="1" t="str">
        <f>IFERROR(__xludf.DUMMYFUNCTION("""COMPUTED_VALUE"""),"2022-07-04T15:39:36.626Z")</f>
        <v>2022-07-04T15:39:36.626Z</v>
      </c>
      <c r="K1122" s="1"/>
    </row>
    <row r="1123">
      <c r="A1123" s="2" t="str">
        <f>IFERROR(__xludf.DUMMYFUNCTION("""COMPUTED_VALUE"""),"https://www.facebook.com/noel.sison.96")</f>
        <v>https://www.facebook.com/noel.sison.96</v>
      </c>
      <c r="B1123" s="1" t="str">
        <f>IFERROR(__xludf.DUMMYFUNCTION("""COMPUTED_VALUE"""),"Noel Sison")</f>
        <v>Noel Sison</v>
      </c>
      <c r="C1123" s="1" t="str">
        <f>IFERROR(__xludf.DUMMYFUNCTION("""COMPUTED_VALUE"""),"Noel")</f>
        <v>Noel</v>
      </c>
      <c r="D1123" s="1" t="str">
        <f>IFERROR(__xludf.DUMMYFUNCTION("""COMPUTED_VALUE"""),"Sison")</f>
        <v>Sison</v>
      </c>
      <c r="E1123" s="1" t="str">
        <f>IFERROR(__xludf.DUMMYFUNCTION("""COMPUTED_VALUE"""),"Angelica Perig ngayon naman meron nang di nabilang balota? Haha. Walang katapusan talaga yung ilusyon ninyong mga apologists.")</f>
        <v>Angelica Perig ngayon naman meron nang di nabilang balota? Haha. Walang katapusan talaga yung ilusyon ninyong mga apologists.</v>
      </c>
      <c r="F1123" s="1">
        <f>IFERROR(__xludf.DUMMYFUNCTION("""COMPUTED_VALUE"""),1.0)</f>
        <v>1</v>
      </c>
      <c r="G1123" s="1" t="str">
        <f>IFERROR(__xludf.DUMMYFUNCTION("""COMPUTED_VALUE"""),"3 mos")</f>
        <v>3 mos</v>
      </c>
      <c r="H1123" s="1" t="str">
        <f>IFERROR(__xludf.DUMMYFUNCTION("""COMPUTED_VALUE"""),"reply")</f>
        <v>reply</v>
      </c>
      <c r="I1123" s="2" t="str">
        <f>IFERROR(__xludf.DUMMYFUNCTION("""COMPUTED_VALUE"""),"https://www.facebook.com/rapplerdotcom/photos/a.317154781638645/5596022273751843/")</f>
        <v>https://www.facebook.com/rapplerdotcom/photos/a.317154781638645/5596022273751843/</v>
      </c>
      <c r="J1123" s="1" t="str">
        <f>IFERROR(__xludf.DUMMYFUNCTION("""COMPUTED_VALUE"""),"2022-07-04T15:39:36.626Z")</f>
        <v>2022-07-04T15:39:36.626Z</v>
      </c>
      <c r="K1123" s="1"/>
    </row>
    <row r="1124">
      <c r="A1124" s="2" t="str">
        <f>IFERROR(__xludf.DUMMYFUNCTION("""COMPUTED_VALUE"""),"https://www.facebook.com/undress.bonifacio.100")</f>
        <v>https://www.facebook.com/undress.bonifacio.100</v>
      </c>
      <c r="B1124" s="1" t="str">
        <f>IFERROR(__xludf.DUMMYFUNCTION("""COMPUTED_VALUE"""),"Andres Luis")</f>
        <v>Andres Luis</v>
      </c>
      <c r="C1124" s="1" t="str">
        <f>IFERROR(__xludf.DUMMYFUNCTION("""COMPUTED_VALUE"""),"Andres")</f>
        <v>Andres</v>
      </c>
      <c r="D1124" s="1" t="str">
        <f>IFERROR(__xludf.DUMMYFUNCTION("""COMPUTED_VALUE"""),"Luis")</f>
        <v>Luis</v>
      </c>
      <c r="E1124" s="1" t="str">
        <f>IFERROR(__xludf.DUMMYFUNCTION("""COMPUTED_VALUE"""),"Para sa #GobyernongTapat hindi kurap #AngatBuhayLahat #IpanaloNa10To  #LeniKiko2022 po.")</f>
        <v>Para sa #GobyernongTapat hindi kurap #AngatBuhayLahat #IpanaloNa10To  #LeniKiko2022 po.</v>
      </c>
      <c r="F1124" s="1"/>
      <c r="G1124" s="1" t="str">
        <f>IFERROR(__xludf.DUMMYFUNCTION("""COMPUTED_VALUE"""),"3 mos")</f>
        <v>3 mos</v>
      </c>
      <c r="H1124" s="1" t="str">
        <f>IFERROR(__xludf.DUMMYFUNCTION("""COMPUTED_VALUE"""),"comment")</f>
        <v>comment</v>
      </c>
      <c r="I1124" s="2" t="str">
        <f>IFERROR(__xludf.DUMMYFUNCTION("""COMPUTED_VALUE"""),"https://www.facebook.com/rapplerdotcom/photos/a.317154781638645/5596022273751843/")</f>
        <v>https://www.facebook.com/rapplerdotcom/photos/a.317154781638645/5596022273751843/</v>
      </c>
      <c r="J1124" s="1" t="str">
        <f>IFERROR(__xludf.DUMMYFUNCTION("""COMPUTED_VALUE"""),"2022-07-04T15:39:36.626Z")</f>
        <v>2022-07-04T15:39:36.626Z</v>
      </c>
      <c r="K1124" s="1"/>
    </row>
    <row r="1125">
      <c r="A1125" s="2" t="str">
        <f>IFERROR(__xludf.DUMMYFUNCTION("""COMPUTED_VALUE"""),"https://www.facebook.com/kenneth.shinkim")</f>
        <v>https://www.facebook.com/kenneth.shinkim</v>
      </c>
      <c r="B1125" s="1" t="str">
        <f>IFERROR(__xludf.DUMMYFUNCTION("""COMPUTED_VALUE"""),"Kenneth Shin Kim")</f>
        <v>Kenneth Shin Kim</v>
      </c>
      <c r="C1125" s="1" t="str">
        <f>IFERROR(__xludf.DUMMYFUNCTION("""COMPUTED_VALUE"""),"Kenneth")</f>
        <v>Kenneth</v>
      </c>
      <c r="D1125" s="1" t="str">
        <f>IFERROR(__xludf.DUMMYFUNCTION("""COMPUTED_VALUE"""),"Shin Kim")</f>
        <v>Shin Kim</v>
      </c>
      <c r="E1125" s="1" t="str">
        <f>IFERROR(__xludf.DUMMYFUNCTION("""COMPUTED_VALUE"""),"Parami na ng parami ang gusto ng #GobyerongTapat para #AngatBuhayLahat ng mga Pilipino sa Pilipinas at sa buong mundo!! 🌷🇵🇭💕   Maraming salamat mga #Kakampink tuloy-tuloy ang laban at tindig natin!  #KulayRosasAngBukas #IbobotoKoSiLeni #10RobredoForPr"&amp;"esident #7PangilinanForVicePresident #LeniRobredoIsMyPresident #KikoPangilinanForVicePresident #ChelDioknoforSenator2022 #AntonioTrillanesforSenator2022. #LeilaDeLimaforSenator2022  #RissaHontiverosforSenator2022.  #TeddyBaguilatforSenator2022. #AlexLacso"&amp;"nforSenator2022. #SonnyMatulaforSenaror2022.  #TROPA2022 #LeniKiko2022")</f>
        <v>Parami na ng parami ang gusto ng #GobyerongTapat para #AngatBuhayLahat ng mga Pilipino sa Pilipinas at sa buong mundo!! 🌷🇵🇭💕   Maraming salamat mga #Kakampink tuloy-tuloy ang laban at tindig natin!  #KulayRosasAngBukas #IbobotoKoSiLeni #10RobredoForPresident #7PangilinanForVicePresident #LeniRobredoIsMyPresident #KikoPangilinanForVicePresident #ChelDioknoforSenator2022 #AntonioTrillanesforSenator2022. #LeilaDeLimaforSenator2022  #RissaHontiverosforSenator2022.  #TeddyBaguilatforSenator2022. #AlexLacsonforSenator2022. #SonnyMatulaforSenaror2022.  #TROPA2022 #LeniKiko2022</v>
      </c>
      <c r="F1125" s="1">
        <f>IFERROR(__xludf.DUMMYFUNCTION("""COMPUTED_VALUE"""),31.0)</f>
        <v>31</v>
      </c>
      <c r="G1125" s="1" t="str">
        <f>IFERROR(__xludf.DUMMYFUNCTION("""COMPUTED_VALUE"""),"3 mos")</f>
        <v>3 mos</v>
      </c>
      <c r="H1125" s="1" t="str">
        <f>IFERROR(__xludf.DUMMYFUNCTION("""COMPUTED_VALUE"""),"comment")</f>
        <v>comment</v>
      </c>
      <c r="I1125" s="2" t="str">
        <f>IFERROR(__xludf.DUMMYFUNCTION("""COMPUTED_VALUE"""),"https://www.facebook.com/rapplerdotcom/photos/a.317154781638645/5596022273751843/")</f>
        <v>https://www.facebook.com/rapplerdotcom/photos/a.317154781638645/5596022273751843/</v>
      </c>
      <c r="J1125" s="1" t="str">
        <f>IFERROR(__xludf.DUMMYFUNCTION("""COMPUTED_VALUE"""),"2022-07-04T15:39:36.626Z")</f>
        <v>2022-07-04T15:39:36.626Z</v>
      </c>
      <c r="K1125" s="1"/>
    </row>
    <row r="1126">
      <c r="A1126" s="2" t="str">
        <f>IFERROR(__xludf.DUMMYFUNCTION("""COMPUTED_VALUE"""),"https://www.facebook.com/totskie.alkhan")</f>
        <v>https://www.facebook.com/totskie.alkhan</v>
      </c>
      <c r="B1126" s="1" t="str">
        <f>IFERROR(__xludf.DUMMYFUNCTION("""COMPUTED_VALUE"""),"Alphy Bandojo Amil")</f>
        <v>Alphy Bandojo Amil</v>
      </c>
      <c r="C1126" s="1" t="str">
        <f>IFERROR(__xludf.DUMMYFUNCTION("""COMPUTED_VALUE"""),"Alphy")</f>
        <v>Alphy</v>
      </c>
      <c r="D1126" s="1" t="str">
        <f>IFERROR(__xludf.DUMMYFUNCTION("""COMPUTED_VALUE"""),"Bandojo Amil")</f>
        <v>Bandojo Amil</v>
      </c>
      <c r="E1126" s="1" t="str">
        <f>IFERROR(__xludf.DUMMYFUNCTION("""COMPUTED_VALUE"""),"Kenneth Shin Kim pero ung 20% nyo naging 15% na lng😂")</f>
        <v>Kenneth Shin Kim pero ung 20% nyo naging 15% na lng😂</v>
      </c>
      <c r="F1126" s="1"/>
      <c r="G1126" s="1" t="str">
        <f>IFERROR(__xludf.DUMMYFUNCTION("""COMPUTED_VALUE"""),"3 mos")</f>
        <v>3 mos</v>
      </c>
      <c r="H1126" s="1" t="str">
        <f>IFERROR(__xludf.DUMMYFUNCTION("""COMPUTED_VALUE"""),"reply")</f>
        <v>reply</v>
      </c>
      <c r="I1126" s="2" t="str">
        <f>IFERROR(__xludf.DUMMYFUNCTION("""COMPUTED_VALUE"""),"https://www.facebook.com/rapplerdotcom/photos/a.317154781638645/5596022273751843/")</f>
        <v>https://www.facebook.com/rapplerdotcom/photos/a.317154781638645/5596022273751843/</v>
      </c>
      <c r="J1126" s="1" t="str">
        <f>IFERROR(__xludf.DUMMYFUNCTION("""COMPUTED_VALUE"""),"2022-07-04T15:39:36.626Z")</f>
        <v>2022-07-04T15:39:36.626Z</v>
      </c>
      <c r="K1126" s="1"/>
    </row>
    <row r="1127">
      <c r="A1127" s="2" t="str">
        <f>IFERROR(__xludf.DUMMYFUNCTION("""COMPUTED_VALUE"""),"https://www.facebook.com/vicky.v.quiachon")</f>
        <v>https://www.facebook.com/vicky.v.quiachon</v>
      </c>
      <c r="B1127" s="1" t="str">
        <f>IFERROR(__xludf.DUMMYFUNCTION("""COMPUTED_VALUE"""),"Inday Vicvic")</f>
        <v>Inday Vicvic</v>
      </c>
      <c r="C1127" s="1" t="str">
        <f>IFERROR(__xludf.DUMMYFUNCTION("""COMPUTED_VALUE"""),"Inday")</f>
        <v>Inday</v>
      </c>
      <c r="D1127" s="1" t="str">
        <f>IFERROR(__xludf.DUMMYFUNCTION("""COMPUTED_VALUE"""),"Vicvic")</f>
        <v>Vicvic</v>
      </c>
      <c r="E1127" s="1" t="str">
        <f>IFERROR(__xludf.DUMMYFUNCTION("""COMPUTED_VALUE"""),"Ang ganda! Kumukuti-kutitap! Parang kinabukasan natin kapag si Leninat Kiko ang manalo! #LeniKikoAllTheWay  #CaMaNaVaIsPink  #CaMaNavaForLeniKiko  #CaMaNaVaRockAndRosas")</f>
        <v>Ang ganda! Kumukuti-kutitap! Parang kinabukasan natin kapag si Leninat Kiko ang manalo! #LeniKikoAllTheWay  #CaMaNaVaIsPink  #CaMaNavaForLeniKiko  #CaMaNaVaRockAndRosas</v>
      </c>
      <c r="F1127" s="1"/>
      <c r="G1127" s="1" t="str">
        <f>IFERROR(__xludf.DUMMYFUNCTION("""COMPUTED_VALUE"""),"3 mos")</f>
        <v>3 mos</v>
      </c>
      <c r="H1127" s="1" t="str">
        <f>IFERROR(__xludf.DUMMYFUNCTION("""COMPUTED_VALUE"""),"comment")</f>
        <v>comment</v>
      </c>
      <c r="I1127" s="2" t="str">
        <f>IFERROR(__xludf.DUMMYFUNCTION("""COMPUTED_VALUE"""),"https://www.facebook.com/rapplerdotcom/photos/a.317154781638645/5596022273751843/")</f>
        <v>https://www.facebook.com/rapplerdotcom/photos/a.317154781638645/5596022273751843/</v>
      </c>
      <c r="J1127" s="1" t="str">
        <f>IFERROR(__xludf.DUMMYFUNCTION("""COMPUTED_VALUE"""),"2022-07-04T15:39:36.626Z")</f>
        <v>2022-07-04T15:39:36.626Z</v>
      </c>
      <c r="K1127" s="1"/>
    </row>
    <row r="1128">
      <c r="A1128" s="2" t="str">
        <f>IFERROR(__xludf.DUMMYFUNCTION("""COMPUTED_VALUE"""),"https://www.facebook.com/profile.php?id=100009501826063")</f>
        <v>https://www.facebook.com/profile.php?id=100009501826063</v>
      </c>
      <c r="B1128" s="1" t="str">
        <f>IFERROR(__xludf.DUMMYFUNCTION("""COMPUTED_VALUE"""),"Bing Rebite")</f>
        <v>Bing Rebite</v>
      </c>
      <c r="C1128" s="1" t="str">
        <f>IFERROR(__xludf.DUMMYFUNCTION("""COMPUTED_VALUE"""),"Bing")</f>
        <v>Bing</v>
      </c>
      <c r="D1128" s="1" t="str">
        <f>IFERROR(__xludf.DUMMYFUNCTION("""COMPUTED_VALUE"""),"Rebite")</f>
        <v>Rebite</v>
      </c>
      <c r="E1128" s="1" t="str">
        <f>IFERROR(__xludf.DUMMYFUNCTION("""COMPUTED_VALUE"""),"Galing Ng nag edit Ng picture")</f>
        <v>Galing Ng nag edit Ng picture</v>
      </c>
      <c r="F1128" s="1"/>
      <c r="G1128" s="1" t="str">
        <f>IFERROR(__xludf.DUMMYFUNCTION("""COMPUTED_VALUE"""),"3 mos")</f>
        <v>3 mos</v>
      </c>
      <c r="H1128" s="1" t="str">
        <f>IFERROR(__xludf.DUMMYFUNCTION("""COMPUTED_VALUE"""),"comment")</f>
        <v>comment</v>
      </c>
      <c r="I1128" s="2" t="str">
        <f>IFERROR(__xludf.DUMMYFUNCTION("""COMPUTED_VALUE"""),"https://www.facebook.com/rapplerdotcom/photos/a.317154781638645/5596022273751843/")</f>
        <v>https://www.facebook.com/rapplerdotcom/photos/a.317154781638645/5596022273751843/</v>
      </c>
      <c r="J1128" s="1" t="str">
        <f>IFERROR(__xludf.DUMMYFUNCTION("""COMPUTED_VALUE"""),"2022-07-04T15:39:36.626Z")</f>
        <v>2022-07-04T15:39:36.626Z</v>
      </c>
      <c r="K1128" s="1"/>
    </row>
    <row r="1129">
      <c r="A1129" s="2" t="str">
        <f>IFERROR(__xludf.DUMMYFUNCTION("""COMPUTED_VALUE"""),"https://www.facebook.com/kylie.azure")</f>
        <v>https://www.facebook.com/kylie.azure</v>
      </c>
      <c r="B1129" s="1" t="str">
        <f>IFERROR(__xludf.DUMMYFUNCTION("""COMPUTED_VALUE"""),"Kyle Mendoza")</f>
        <v>Kyle Mendoza</v>
      </c>
      <c r="C1129" s="1" t="str">
        <f>IFERROR(__xludf.DUMMYFUNCTION("""COMPUTED_VALUE"""),"Kyle")</f>
        <v>Kyle</v>
      </c>
      <c r="D1129" s="1" t="str">
        <f>IFERROR(__xludf.DUMMYFUNCTION("""COMPUTED_VALUE"""),"Mendoza")</f>
        <v>Mendoza</v>
      </c>
      <c r="E1129" s="1" t="str">
        <f>IFERROR(__xludf.DUMMYFUNCTION("""COMPUTED_VALUE"""),"Gaya gaya")</f>
        <v>Gaya gaya</v>
      </c>
      <c r="F1129" s="1">
        <f>IFERROR(__xludf.DUMMYFUNCTION("""COMPUTED_VALUE"""),1.0)</f>
        <v>1</v>
      </c>
      <c r="G1129" s="1" t="str">
        <f>IFERROR(__xludf.DUMMYFUNCTION("""COMPUTED_VALUE"""),"3 mos")</f>
        <v>3 mos</v>
      </c>
      <c r="H1129" s="1" t="str">
        <f>IFERROR(__xludf.DUMMYFUNCTION("""COMPUTED_VALUE"""),"comment")</f>
        <v>comment</v>
      </c>
      <c r="I1129" s="2" t="str">
        <f>IFERROR(__xludf.DUMMYFUNCTION("""COMPUTED_VALUE"""),"https://www.facebook.com/rapplerdotcom/photos/a.317154781638645/5596022273751843/")</f>
        <v>https://www.facebook.com/rapplerdotcom/photos/a.317154781638645/5596022273751843/</v>
      </c>
      <c r="J1129" s="1" t="str">
        <f>IFERROR(__xludf.DUMMYFUNCTION("""COMPUTED_VALUE"""),"2022-07-04T15:39:36.626Z")</f>
        <v>2022-07-04T15:39:36.626Z</v>
      </c>
      <c r="K1129" s="1"/>
    </row>
    <row r="1130">
      <c r="A1130" s="2" t="str">
        <f>IFERROR(__xludf.DUMMYFUNCTION("""COMPUTED_VALUE"""),"https://www.facebook.com/marlene.delacruz.5602")</f>
        <v>https://www.facebook.com/marlene.delacruz.5602</v>
      </c>
      <c r="B1130" s="1" t="str">
        <f>IFERROR(__xludf.DUMMYFUNCTION("""COMPUTED_VALUE"""),"Marlene Caurel Dela Cruz")</f>
        <v>Marlene Caurel Dela Cruz</v>
      </c>
      <c r="C1130" s="1" t="str">
        <f>IFERROR(__xludf.DUMMYFUNCTION("""COMPUTED_VALUE"""),"Marlene")</f>
        <v>Marlene</v>
      </c>
      <c r="D1130" s="1" t="str">
        <f>IFERROR(__xludf.DUMMYFUNCTION("""COMPUTED_VALUE"""),"Caurel Dela Cruz")</f>
        <v>Caurel Dela Cruz</v>
      </c>
      <c r="E1130" s="1" t="str">
        <f>IFERROR(__xludf.DUMMYFUNCTION("""COMPUTED_VALUE"""),"Kyle Mendoza True inilawan din Ang cp.parang sa UNITEAM sa Marikina")</f>
        <v>Kyle Mendoza True inilawan din Ang cp.parang sa UNITEAM sa Marikina</v>
      </c>
      <c r="F1130" s="1"/>
      <c r="G1130" s="1" t="str">
        <f>IFERROR(__xludf.DUMMYFUNCTION("""COMPUTED_VALUE"""),"3 mos")</f>
        <v>3 mos</v>
      </c>
      <c r="H1130" s="1" t="str">
        <f>IFERROR(__xludf.DUMMYFUNCTION("""COMPUTED_VALUE"""),"reply")</f>
        <v>reply</v>
      </c>
      <c r="I1130" s="2" t="str">
        <f>IFERROR(__xludf.DUMMYFUNCTION("""COMPUTED_VALUE"""),"https://www.facebook.com/rapplerdotcom/photos/a.317154781638645/5596022273751843/")</f>
        <v>https://www.facebook.com/rapplerdotcom/photos/a.317154781638645/5596022273751843/</v>
      </c>
      <c r="J1130" s="1" t="str">
        <f>IFERROR(__xludf.DUMMYFUNCTION("""COMPUTED_VALUE"""),"2022-07-04T15:39:36.626Z")</f>
        <v>2022-07-04T15:39:36.626Z</v>
      </c>
      <c r="K1130" s="1"/>
    </row>
    <row r="1131">
      <c r="A1131" s="2" t="str">
        <f>IFERROR(__xludf.DUMMYFUNCTION("""COMPUTED_VALUE"""),"https://www.facebook.com/NelvieParilla")</f>
        <v>https://www.facebook.com/NelvieParilla</v>
      </c>
      <c r="B1131" s="1" t="str">
        <f>IFERROR(__xludf.DUMMYFUNCTION("""COMPUTED_VALUE"""),"Nelvie")</f>
        <v>Nelvie</v>
      </c>
      <c r="C1131" s="1" t="str">
        <f>IFERROR(__xludf.DUMMYFUNCTION("""COMPUTED_VALUE"""),"Nelvie")</f>
        <v>Nelvie</v>
      </c>
      <c r="D1131" s="1"/>
      <c r="E1131" s="1" t="str">
        <f>IFERROR(__xludf.DUMMYFUNCTION("""COMPUTED_VALUE"""),"Marlene Caurel Dela Cruz alam niyo yung earth hour? 🤦")</f>
        <v>Marlene Caurel Dela Cruz alam niyo yung earth hour? 🤦</v>
      </c>
      <c r="F1131" s="1">
        <f>IFERROR(__xludf.DUMMYFUNCTION("""COMPUTED_VALUE"""),1.0)</f>
        <v>1</v>
      </c>
      <c r="G1131" s="1" t="str">
        <f>IFERROR(__xludf.DUMMYFUNCTION("""COMPUTED_VALUE"""),"3 mos")</f>
        <v>3 mos</v>
      </c>
      <c r="H1131" s="1" t="str">
        <f>IFERROR(__xludf.DUMMYFUNCTION("""COMPUTED_VALUE"""),"reply")</f>
        <v>reply</v>
      </c>
      <c r="I1131" s="2" t="str">
        <f>IFERROR(__xludf.DUMMYFUNCTION("""COMPUTED_VALUE"""),"https://www.facebook.com/rapplerdotcom/photos/a.317154781638645/5596022273751843/")</f>
        <v>https://www.facebook.com/rapplerdotcom/photos/a.317154781638645/5596022273751843/</v>
      </c>
      <c r="J1131" s="1" t="str">
        <f>IFERROR(__xludf.DUMMYFUNCTION("""COMPUTED_VALUE"""),"2022-07-04T15:39:36.626Z")</f>
        <v>2022-07-04T15:39:36.626Z</v>
      </c>
      <c r="K1131" s="1"/>
    </row>
    <row r="1132">
      <c r="A1132" s="2" t="str">
        <f>IFERROR(__xludf.DUMMYFUNCTION("""COMPUTED_VALUE"""),"https://www.facebook.com/yonehl.inasor")</f>
        <v>https://www.facebook.com/yonehl.inasor</v>
      </c>
      <c r="B1132" s="1" t="str">
        <f>IFERROR(__xludf.DUMMYFUNCTION("""COMPUTED_VALUE"""),"Inasor Acosta")</f>
        <v>Inasor Acosta</v>
      </c>
      <c r="C1132" s="1" t="str">
        <f>IFERROR(__xludf.DUMMYFUNCTION("""COMPUTED_VALUE"""),"Inasor")</f>
        <v>Inasor</v>
      </c>
      <c r="D1132" s="1" t="str">
        <f>IFERROR(__xludf.DUMMYFUNCTION("""COMPUTED_VALUE"""),"Acosta")</f>
        <v>Acosta</v>
      </c>
      <c r="E1132" s="1" t="str">
        <f>IFERROR(__xludf.DUMMYFUNCTION("""COMPUTED_VALUE"""),"Nelvie di sila inform kaya nga Earth hour hihihi...")</f>
        <v>Nelvie di sila inform kaya nga Earth hour hihihi...</v>
      </c>
      <c r="F1132" s="1"/>
      <c r="G1132" s="1" t="str">
        <f>IFERROR(__xludf.DUMMYFUNCTION("""COMPUTED_VALUE"""),"3 mos")</f>
        <v>3 mos</v>
      </c>
      <c r="H1132" s="1" t="str">
        <f>IFERROR(__xludf.DUMMYFUNCTION("""COMPUTED_VALUE"""),"reply")</f>
        <v>reply</v>
      </c>
      <c r="I1132" s="2" t="str">
        <f>IFERROR(__xludf.DUMMYFUNCTION("""COMPUTED_VALUE"""),"https://www.facebook.com/rapplerdotcom/photos/a.317154781638645/5596022273751843/")</f>
        <v>https://www.facebook.com/rapplerdotcom/photos/a.317154781638645/5596022273751843/</v>
      </c>
      <c r="J1132" s="1" t="str">
        <f>IFERROR(__xludf.DUMMYFUNCTION("""COMPUTED_VALUE"""),"2022-07-04T15:39:36.626Z")</f>
        <v>2022-07-04T15:39:36.626Z</v>
      </c>
      <c r="K1132" s="1"/>
    </row>
    <row r="1133">
      <c r="A1133" s="2" t="str">
        <f>IFERROR(__xludf.DUMMYFUNCTION("""COMPUTED_VALUE"""),"https://www.facebook.com/senpaiz09")</f>
        <v>https://www.facebook.com/senpaiz09</v>
      </c>
      <c r="B1133" s="1" t="str">
        <f>IFERROR(__xludf.DUMMYFUNCTION("""COMPUTED_VALUE"""),"Paul Hedrick Virtudez")</f>
        <v>Paul Hedrick Virtudez</v>
      </c>
      <c r="C1133" s="1" t="str">
        <f>IFERROR(__xludf.DUMMYFUNCTION("""COMPUTED_VALUE"""),"Paul")</f>
        <v>Paul</v>
      </c>
      <c r="D1133" s="1" t="str">
        <f>IFERROR(__xludf.DUMMYFUNCTION("""COMPUTED_VALUE"""),"Hedrick Virtudez")</f>
        <v>Hedrick Virtudez</v>
      </c>
      <c r="E1133" s="1" t="str">
        <f>IFERROR(__xludf.DUMMYFUNCTION("""COMPUTED_VALUE"""),"Kyle Mendoza kuya alam niyo po ba yung EARTH HOUR???")</f>
        <v>Kyle Mendoza kuya alam niyo po ba yung EARTH HOUR???</v>
      </c>
      <c r="F1133" s="1"/>
      <c r="G1133" s="1" t="str">
        <f>IFERROR(__xludf.DUMMYFUNCTION("""COMPUTED_VALUE"""),"3 mos")</f>
        <v>3 mos</v>
      </c>
      <c r="H1133" s="1" t="str">
        <f>IFERROR(__xludf.DUMMYFUNCTION("""COMPUTED_VALUE"""),"reply")</f>
        <v>reply</v>
      </c>
      <c r="I1133" s="2" t="str">
        <f>IFERROR(__xludf.DUMMYFUNCTION("""COMPUTED_VALUE"""),"https://www.facebook.com/rapplerdotcom/photos/a.317154781638645/5596022273751843/")</f>
        <v>https://www.facebook.com/rapplerdotcom/photos/a.317154781638645/5596022273751843/</v>
      </c>
      <c r="J1133" s="1" t="str">
        <f>IFERROR(__xludf.DUMMYFUNCTION("""COMPUTED_VALUE"""),"2022-07-04T15:39:36.626Z")</f>
        <v>2022-07-04T15:39:36.626Z</v>
      </c>
      <c r="K1133" s="1"/>
    </row>
    <row r="1134">
      <c r="A1134" s="2" t="str">
        <f>IFERROR(__xludf.DUMMYFUNCTION("""COMPUTED_VALUE"""),"https://www.facebook.com/ronnie.mangaoang.1")</f>
        <v>https://www.facebook.com/ronnie.mangaoang.1</v>
      </c>
      <c r="B1134" s="1" t="str">
        <f>IFERROR(__xludf.DUMMYFUNCTION("""COMPUTED_VALUE"""),"Ronnie Mangaoang")</f>
        <v>Ronnie Mangaoang</v>
      </c>
      <c r="C1134" s="1" t="str">
        <f>IFERROR(__xludf.DUMMYFUNCTION("""COMPUTED_VALUE"""),"Ronnie")</f>
        <v>Ronnie</v>
      </c>
      <c r="D1134" s="1" t="str">
        <f>IFERROR(__xludf.DUMMYFUNCTION("""COMPUTED_VALUE"""),"Mangaoang")</f>
        <v>Mangaoang</v>
      </c>
      <c r="E1134" s="1" t="str">
        <f>IFERROR(__xludf.DUMMYFUNCTION("""COMPUTED_VALUE"""),"Malinaw na ang may kakayahan")</f>
        <v>Malinaw na ang may kakayahan</v>
      </c>
      <c r="F1134" s="1"/>
      <c r="G1134" s="1" t="str">
        <f>IFERROR(__xludf.DUMMYFUNCTION("""COMPUTED_VALUE"""),"3 mos")</f>
        <v>3 mos</v>
      </c>
      <c r="H1134" s="1" t="str">
        <f>IFERROR(__xludf.DUMMYFUNCTION("""COMPUTED_VALUE"""),"comment")</f>
        <v>comment</v>
      </c>
      <c r="I1134" s="2" t="str">
        <f>IFERROR(__xludf.DUMMYFUNCTION("""COMPUTED_VALUE"""),"https://www.facebook.com/rapplerdotcom/photos/a.317154781638645/5596022273751843/")</f>
        <v>https://www.facebook.com/rapplerdotcom/photos/a.317154781638645/5596022273751843/</v>
      </c>
      <c r="J1134" s="1" t="str">
        <f>IFERROR(__xludf.DUMMYFUNCTION("""COMPUTED_VALUE"""),"2022-07-04T15:39:36.626Z")</f>
        <v>2022-07-04T15:39:36.626Z</v>
      </c>
      <c r="K1134" s="1"/>
    </row>
    <row r="1135">
      <c r="A1135" s="2" t="str">
        <f>IFERROR(__xludf.DUMMYFUNCTION("""COMPUTED_VALUE"""),"https://www.facebook.com/jianson")</f>
        <v>https://www.facebook.com/jianson</v>
      </c>
      <c r="B1135" s="1" t="str">
        <f>IFERROR(__xludf.DUMMYFUNCTION("""COMPUTED_VALUE"""),"Ian Tiao")</f>
        <v>Ian Tiao</v>
      </c>
      <c r="C1135" s="1" t="str">
        <f>IFERROR(__xludf.DUMMYFUNCTION("""COMPUTED_VALUE"""),"Ian")</f>
        <v>Ian</v>
      </c>
      <c r="D1135" s="1" t="str">
        <f>IFERROR(__xludf.DUMMYFUNCTION("""COMPUTED_VALUE"""),"Tiao")</f>
        <v>Tiao</v>
      </c>
      <c r="E1135" s="1" t="str">
        <f>IFERROR(__xludf.DUMMYFUNCTION("""COMPUTED_VALUE"""),"Wow daming kakampink. #LetLeniLead")</f>
        <v>Wow daming kakampink. #LetLeniLead</v>
      </c>
      <c r="F1135" s="1">
        <f>IFERROR(__xludf.DUMMYFUNCTION("""COMPUTED_VALUE"""),1.0)</f>
        <v>1</v>
      </c>
      <c r="G1135" s="1" t="str">
        <f>IFERROR(__xludf.DUMMYFUNCTION("""COMPUTED_VALUE"""),"3 mos")</f>
        <v>3 mos</v>
      </c>
      <c r="H1135" s="1" t="str">
        <f>IFERROR(__xludf.DUMMYFUNCTION("""COMPUTED_VALUE"""),"comment")</f>
        <v>comment</v>
      </c>
      <c r="I1135" s="2" t="str">
        <f>IFERROR(__xludf.DUMMYFUNCTION("""COMPUTED_VALUE"""),"https://www.facebook.com/rapplerdotcom/photos/a.317154781638645/5596022273751843/")</f>
        <v>https://www.facebook.com/rapplerdotcom/photos/a.317154781638645/5596022273751843/</v>
      </c>
      <c r="J1135" s="1" t="str">
        <f>IFERROR(__xludf.DUMMYFUNCTION("""COMPUTED_VALUE"""),"2022-07-04T15:39:36.626Z")</f>
        <v>2022-07-04T15:39:36.626Z</v>
      </c>
      <c r="K1135" s="1"/>
    </row>
    <row r="1136">
      <c r="A1136" s="2" t="str">
        <f>IFERROR(__xludf.DUMMYFUNCTION("""COMPUTED_VALUE"""),"https://www.facebook.com/profile.php?id=100009111409816")</f>
        <v>https://www.facebook.com/profile.php?id=100009111409816</v>
      </c>
      <c r="B1136" s="1" t="str">
        <f>IFERROR(__xludf.DUMMYFUNCTION("""COMPUTED_VALUE"""),"Nida Saldivia")</f>
        <v>Nida Saldivia</v>
      </c>
      <c r="C1136" s="1" t="str">
        <f>IFERROR(__xludf.DUMMYFUNCTION("""COMPUTED_VALUE"""),"Nida")</f>
        <v>Nida</v>
      </c>
      <c r="D1136" s="1" t="str">
        <f>IFERROR(__xludf.DUMMYFUNCTION("""COMPUTED_VALUE"""),"Saldivia")</f>
        <v>Saldivia</v>
      </c>
      <c r="E1136" s="1" t="str">
        <f>IFERROR(__xludf.DUMMYFUNCTION("""COMPUTED_VALUE"""),"Ian Tiao wow!! DAMI MINOR D Pa pede makaboto😯")</f>
        <v>Ian Tiao wow!! DAMI MINOR D Pa pede makaboto😯</v>
      </c>
      <c r="F1136" s="1">
        <f>IFERROR(__xludf.DUMMYFUNCTION("""COMPUTED_VALUE"""),1.0)</f>
        <v>1</v>
      </c>
      <c r="G1136" s="1" t="str">
        <f>IFERROR(__xludf.DUMMYFUNCTION("""COMPUTED_VALUE"""),"3 mos")</f>
        <v>3 mos</v>
      </c>
      <c r="H1136" s="1" t="str">
        <f>IFERROR(__xludf.DUMMYFUNCTION("""COMPUTED_VALUE"""),"reply")</f>
        <v>reply</v>
      </c>
      <c r="I1136" s="2" t="str">
        <f>IFERROR(__xludf.DUMMYFUNCTION("""COMPUTED_VALUE"""),"https://www.facebook.com/rapplerdotcom/photos/a.317154781638645/5596022273751843/")</f>
        <v>https://www.facebook.com/rapplerdotcom/photos/a.317154781638645/5596022273751843/</v>
      </c>
      <c r="J1136" s="1" t="str">
        <f>IFERROR(__xludf.DUMMYFUNCTION("""COMPUTED_VALUE"""),"2022-07-04T15:39:36.626Z")</f>
        <v>2022-07-04T15:39:36.626Z</v>
      </c>
      <c r="K1136" s="1"/>
    </row>
    <row r="1137">
      <c r="A1137" s="2" t="str">
        <f>IFERROR(__xludf.DUMMYFUNCTION("""COMPUTED_VALUE"""),"https://www.facebook.com/mikhail.maslog")</f>
        <v>https://www.facebook.com/mikhail.maslog</v>
      </c>
      <c r="B1137" s="1" t="str">
        <f>IFERROR(__xludf.DUMMYFUNCTION("""COMPUTED_VALUE"""),"Mikha'El Maslog")</f>
        <v>Mikha'El Maslog</v>
      </c>
      <c r="C1137" s="1" t="str">
        <f>IFERROR(__xludf.DUMMYFUNCTION("""COMPUTED_VALUE"""),"Mikha'El")</f>
        <v>Mikha'El</v>
      </c>
      <c r="D1137" s="1" t="str">
        <f>IFERROR(__xludf.DUMMYFUNCTION("""COMPUTED_VALUE"""),"Maslog")</f>
        <v>Maslog</v>
      </c>
      <c r="E1137" s="1" t="str">
        <f>IFERROR(__xludf.DUMMYFUNCTION("""COMPUTED_VALUE"""),"Thank you CAMANAVA!! Shabay shabay HINDI KAMI ALITAPTAP! HINDI KAMI ALITAPTAP 🙃")</f>
        <v>Thank you CAMANAVA!! Shabay shabay HINDI KAMI ALITAPTAP! HINDI KAMI ALITAPTAP 🙃</v>
      </c>
      <c r="F1137" s="1"/>
      <c r="G1137" s="1" t="str">
        <f>IFERROR(__xludf.DUMMYFUNCTION("""COMPUTED_VALUE"""),"3 mos")</f>
        <v>3 mos</v>
      </c>
      <c r="H1137" s="1" t="str">
        <f>IFERROR(__xludf.DUMMYFUNCTION("""COMPUTED_VALUE"""),"comment")</f>
        <v>comment</v>
      </c>
      <c r="I1137" s="2" t="str">
        <f>IFERROR(__xludf.DUMMYFUNCTION("""COMPUTED_VALUE"""),"https://www.facebook.com/rapplerdotcom/photos/a.317154781638645/5596022273751843/")</f>
        <v>https://www.facebook.com/rapplerdotcom/photos/a.317154781638645/5596022273751843/</v>
      </c>
      <c r="J1137" s="1" t="str">
        <f>IFERROR(__xludf.DUMMYFUNCTION("""COMPUTED_VALUE"""),"2022-07-04T15:39:36.626Z")</f>
        <v>2022-07-04T15:39:36.626Z</v>
      </c>
      <c r="K1137" s="1"/>
    </row>
    <row r="1138">
      <c r="A1138" s="2" t="str">
        <f>IFERROR(__xludf.DUMMYFUNCTION("""COMPUTED_VALUE"""),"https://www.facebook.com/nissan.urvan.779")</f>
        <v>https://www.facebook.com/nissan.urvan.779</v>
      </c>
      <c r="B1138" s="1" t="str">
        <f>IFERROR(__xludf.DUMMYFUNCTION("""COMPUTED_VALUE"""),"Ryndell Bustonera Serafines")</f>
        <v>Ryndell Bustonera Serafines</v>
      </c>
      <c r="C1138" s="1" t="str">
        <f>IFERROR(__xludf.DUMMYFUNCTION("""COMPUTED_VALUE"""),"Ryndell")</f>
        <v>Ryndell</v>
      </c>
      <c r="D1138" s="1" t="str">
        <f>IFERROR(__xludf.DUMMYFUNCTION("""COMPUTED_VALUE"""),"Bustonera Serafines")</f>
        <v>Bustonera Serafines</v>
      </c>
      <c r="E1138" s="1" t="str">
        <f>IFERROR(__xludf.DUMMYFUNCTION("""COMPUTED_VALUE"""),"Mga alitaptap para sa BAYAN. 🇵🇭 #GobyernongTapatAngatBuhayLahat")</f>
        <v>Mga alitaptap para sa BAYAN. 🇵🇭 #GobyernongTapatAngatBuhayLahat</v>
      </c>
      <c r="F1138" s="1">
        <f>IFERROR(__xludf.DUMMYFUNCTION("""COMPUTED_VALUE"""),1.0)</f>
        <v>1</v>
      </c>
      <c r="G1138" s="1" t="str">
        <f>IFERROR(__xludf.DUMMYFUNCTION("""COMPUTED_VALUE"""),"3 mos")</f>
        <v>3 mos</v>
      </c>
      <c r="H1138" s="1" t="str">
        <f>IFERROR(__xludf.DUMMYFUNCTION("""COMPUTED_VALUE"""),"comment")</f>
        <v>comment</v>
      </c>
      <c r="I1138" s="2" t="str">
        <f>IFERROR(__xludf.DUMMYFUNCTION("""COMPUTED_VALUE"""),"https://www.facebook.com/rapplerdotcom/photos/a.317154781638645/5596022273751843/")</f>
        <v>https://www.facebook.com/rapplerdotcom/photos/a.317154781638645/5596022273751843/</v>
      </c>
      <c r="J1138" s="1" t="str">
        <f>IFERROR(__xludf.DUMMYFUNCTION("""COMPUTED_VALUE"""),"2022-07-04T15:39:36.626Z")</f>
        <v>2022-07-04T15:39:36.626Z</v>
      </c>
      <c r="K1138" s="1"/>
    </row>
    <row r="1139">
      <c r="A1139" s="2" t="str">
        <f>IFERROR(__xludf.DUMMYFUNCTION("""COMPUTED_VALUE"""),"https://www.facebook.com/carie.tablismaaguila")</f>
        <v>https://www.facebook.com/carie.tablismaaguila</v>
      </c>
      <c r="B1139" s="1" t="str">
        <f>IFERROR(__xludf.DUMMYFUNCTION("""COMPUTED_VALUE"""),"Carie Tablisma Aguila")</f>
        <v>Carie Tablisma Aguila</v>
      </c>
      <c r="C1139" s="1" t="str">
        <f>IFERROR(__xludf.DUMMYFUNCTION("""COMPUTED_VALUE"""),"Carie")</f>
        <v>Carie</v>
      </c>
      <c r="D1139" s="1" t="str">
        <f>IFERROR(__xludf.DUMMYFUNCTION("""COMPUTED_VALUE"""),"Tablisma Aguila")</f>
        <v>Tablisma Aguila</v>
      </c>
      <c r="E1139" s="1" t="str">
        <f>IFERROR(__xludf.DUMMYFUNCTION("""COMPUTED_VALUE"""),"Wala pa dyan yung sa kabila at sa mga screen sa labas")</f>
        <v>Wala pa dyan yung sa kabila at sa mga screen sa labas</v>
      </c>
      <c r="F1139" s="1"/>
      <c r="G1139" s="1" t="str">
        <f>IFERROR(__xludf.DUMMYFUNCTION("""COMPUTED_VALUE"""),"3 mos")</f>
        <v>3 mos</v>
      </c>
      <c r="H1139" s="1" t="str">
        <f>IFERROR(__xludf.DUMMYFUNCTION("""COMPUTED_VALUE"""),"comment")</f>
        <v>comment</v>
      </c>
      <c r="I1139" s="2" t="str">
        <f>IFERROR(__xludf.DUMMYFUNCTION("""COMPUTED_VALUE"""),"https://www.facebook.com/rapplerdotcom/photos/a.317154781638645/5596022273751843/")</f>
        <v>https://www.facebook.com/rapplerdotcom/photos/a.317154781638645/5596022273751843/</v>
      </c>
      <c r="J1139" s="1" t="str">
        <f>IFERROR(__xludf.DUMMYFUNCTION("""COMPUTED_VALUE"""),"2022-07-04T15:39:36.626Z")</f>
        <v>2022-07-04T15:39:36.626Z</v>
      </c>
      <c r="K1139" s="1"/>
    </row>
    <row r="1140">
      <c r="A1140" s="2" t="str">
        <f>IFERROR(__xludf.DUMMYFUNCTION("""COMPUTED_VALUE"""),"https://www.facebook.com/josh.riguer")</f>
        <v>https://www.facebook.com/josh.riguer</v>
      </c>
      <c r="B1140" s="1" t="str">
        <f>IFERROR(__xludf.DUMMYFUNCTION("""COMPUTED_VALUE"""),"Josh Turalba Riguer")</f>
        <v>Josh Turalba Riguer</v>
      </c>
      <c r="C1140" s="1" t="str">
        <f>IFERROR(__xludf.DUMMYFUNCTION("""COMPUTED_VALUE"""),"Josh")</f>
        <v>Josh</v>
      </c>
      <c r="D1140" s="1" t="str">
        <f>IFERROR(__xludf.DUMMYFUNCTION("""COMPUTED_VALUE"""),"Turalba Riguer")</f>
        <v>Turalba Riguer</v>
      </c>
      <c r="E1140" s="1" t="str">
        <f>IFERROR(__xludf.DUMMYFUNCTION("""COMPUTED_VALUE"""),"Para sa #GobyernongTapatAngatBuhayLahat #LeniForPresident2022 #LeniKikoAllTheWay")</f>
        <v>Para sa #GobyernongTapatAngatBuhayLahat #LeniForPresident2022 #LeniKikoAllTheWay</v>
      </c>
      <c r="F1140" s="1"/>
      <c r="G1140" s="1" t="str">
        <f>IFERROR(__xludf.DUMMYFUNCTION("""COMPUTED_VALUE"""),"3 mos")</f>
        <v>3 mos</v>
      </c>
      <c r="H1140" s="1" t="str">
        <f>IFERROR(__xludf.DUMMYFUNCTION("""COMPUTED_VALUE"""),"comment")</f>
        <v>comment</v>
      </c>
      <c r="I1140" s="2" t="str">
        <f>IFERROR(__xludf.DUMMYFUNCTION("""COMPUTED_VALUE"""),"https://www.facebook.com/rapplerdotcom/photos/a.317154781638645/5596022273751843/")</f>
        <v>https://www.facebook.com/rapplerdotcom/photos/a.317154781638645/5596022273751843/</v>
      </c>
      <c r="J1140" s="1" t="str">
        <f>IFERROR(__xludf.DUMMYFUNCTION("""COMPUTED_VALUE"""),"2022-07-04T15:39:36.626Z")</f>
        <v>2022-07-04T15:39:36.626Z</v>
      </c>
      <c r="K1140" s="1"/>
    </row>
    <row r="1141">
      <c r="A1141" s="2" t="str">
        <f>IFERROR(__xludf.DUMMYFUNCTION("""COMPUTED_VALUE"""),"https://www.facebook.com/Agtakhanisla14")</f>
        <v>https://www.facebook.com/Agtakhanisla14</v>
      </c>
      <c r="B1141" s="1" t="str">
        <f>IFERROR(__xludf.DUMMYFUNCTION("""COMPUTED_VALUE"""),"Agta Khan Isla")</f>
        <v>Agta Khan Isla</v>
      </c>
      <c r="C1141" s="1" t="str">
        <f>IFERROR(__xludf.DUMMYFUNCTION("""COMPUTED_VALUE"""),"Agta")</f>
        <v>Agta</v>
      </c>
      <c r="D1141" s="1" t="str">
        <f>IFERROR(__xludf.DUMMYFUNCTION("""COMPUTED_VALUE"""),"Khan Isla")</f>
        <v>Khan Isla</v>
      </c>
      <c r="E1141" s="1" t="str">
        <f>IFERROR(__xludf.DUMMYFUNCTION("""COMPUTED_VALUE"""),"mura na sibuyas ngayon kc an dami na supply ahaha...")</f>
        <v>mura na sibuyas ngayon kc an dami na supply ahaha...</v>
      </c>
      <c r="F1141" s="1"/>
      <c r="G1141" s="1" t="str">
        <f>IFERROR(__xludf.DUMMYFUNCTION("""COMPUTED_VALUE"""),"3 mos")</f>
        <v>3 mos</v>
      </c>
      <c r="H1141" s="1" t="str">
        <f>IFERROR(__xludf.DUMMYFUNCTION("""COMPUTED_VALUE"""),"comment")</f>
        <v>comment</v>
      </c>
      <c r="I1141" s="2" t="str">
        <f>IFERROR(__xludf.DUMMYFUNCTION("""COMPUTED_VALUE"""),"https://www.facebook.com/rapplerdotcom/photos/a.317154781638645/5596022273751843/")</f>
        <v>https://www.facebook.com/rapplerdotcom/photos/a.317154781638645/5596022273751843/</v>
      </c>
      <c r="J1141" s="1" t="str">
        <f>IFERROR(__xludf.DUMMYFUNCTION("""COMPUTED_VALUE"""),"2022-07-04T15:39:36.626Z")</f>
        <v>2022-07-04T15:39:36.626Z</v>
      </c>
      <c r="K1141" s="1"/>
    </row>
    <row r="1142">
      <c r="A1142" s="2" t="str">
        <f>IFERROR(__xludf.DUMMYFUNCTION("""COMPUTED_VALUE"""),"https://www.facebook.com/ferrerantonia")</f>
        <v>https://www.facebook.com/ferrerantonia</v>
      </c>
      <c r="B1142" s="1" t="str">
        <f>IFERROR(__xludf.DUMMYFUNCTION("""COMPUTED_VALUE"""),"Antonia Ferrer")</f>
        <v>Antonia Ferrer</v>
      </c>
      <c r="C1142" s="1" t="str">
        <f>IFERROR(__xludf.DUMMYFUNCTION("""COMPUTED_VALUE"""),"Antonia")</f>
        <v>Antonia</v>
      </c>
      <c r="D1142" s="1" t="str">
        <f>IFERROR(__xludf.DUMMYFUNCTION("""COMPUTED_VALUE"""),"Ferrer")</f>
        <v>Ferrer</v>
      </c>
      <c r="E1142" s="1" t="str">
        <f>IFERROR(__xludf.DUMMYFUNCTION("""COMPUTED_VALUE"""),"ang bagong pag-asa #LeniKiko2022 💗💚")</f>
        <v>ang bagong pag-asa #LeniKiko2022 💗💚</v>
      </c>
      <c r="F1142" s="1"/>
      <c r="G1142" s="1" t="str">
        <f>IFERROR(__xludf.DUMMYFUNCTION("""COMPUTED_VALUE"""),"3 mos")</f>
        <v>3 mos</v>
      </c>
      <c r="H1142" s="1" t="str">
        <f>IFERROR(__xludf.DUMMYFUNCTION("""COMPUTED_VALUE"""),"comment")</f>
        <v>comment</v>
      </c>
      <c r="I1142" s="2" t="str">
        <f>IFERROR(__xludf.DUMMYFUNCTION("""COMPUTED_VALUE"""),"https://www.facebook.com/rapplerdotcom/photos/a.317154781638645/5596022273751843/")</f>
        <v>https://www.facebook.com/rapplerdotcom/photos/a.317154781638645/5596022273751843/</v>
      </c>
      <c r="J1142" s="1" t="str">
        <f>IFERROR(__xludf.DUMMYFUNCTION("""COMPUTED_VALUE"""),"2022-07-04T15:39:36.626Z")</f>
        <v>2022-07-04T15:39:36.626Z</v>
      </c>
      <c r="K1142" s="1"/>
    </row>
    <row r="1143">
      <c r="A1143" s="2" t="str">
        <f>IFERROR(__xludf.DUMMYFUNCTION("""COMPUTED_VALUE"""),"https://www.facebook.com/lmfloralde")</f>
        <v>https://www.facebook.com/lmfloralde</v>
      </c>
      <c r="B1143" s="1" t="str">
        <f>IFERROR(__xludf.DUMMYFUNCTION("""COMPUTED_VALUE"""),"Lorrilyn Floralde")</f>
        <v>Lorrilyn Floralde</v>
      </c>
      <c r="C1143" s="1" t="str">
        <f>IFERROR(__xludf.DUMMYFUNCTION("""COMPUTED_VALUE"""),"Lorrilyn")</f>
        <v>Lorrilyn</v>
      </c>
      <c r="D1143" s="1" t="str">
        <f>IFERROR(__xludf.DUMMYFUNCTION("""COMPUTED_VALUE"""),"Floralde")</f>
        <v>Floralde</v>
      </c>
      <c r="E1143" s="1" t="str">
        <f>IFERROR(__xludf.DUMMYFUNCTION("""COMPUTED_VALUE"""),"yung mga nanjan pa sa notre dame, shout out sa nagnakaw ng cp ng anak ko!!! istudyante lang yung ninakawan mo!!!")</f>
        <v>yung mga nanjan pa sa notre dame, shout out sa nagnakaw ng cp ng anak ko!!! istudyante lang yung ninakawan mo!!!</v>
      </c>
      <c r="F1143" s="1">
        <f>IFERROR(__xludf.DUMMYFUNCTION("""COMPUTED_VALUE"""),2.0)</f>
        <v>2</v>
      </c>
      <c r="G1143" s="1" t="str">
        <f>IFERROR(__xludf.DUMMYFUNCTION("""COMPUTED_VALUE"""),"3 mos")</f>
        <v>3 mos</v>
      </c>
      <c r="H1143" s="1" t="str">
        <f>IFERROR(__xludf.DUMMYFUNCTION("""COMPUTED_VALUE"""),"comment")</f>
        <v>comment</v>
      </c>
      <c r="I1143" s="2" t="str">
        <f>IFERROR(__xludf.DUMMYFUNCTION("""COMPUTED_VALUE"""),"https://www.facebook.com/rapplerdotcom/photos/a.317154781638645/5596022273751843/")</f>
        <v>https://www.facebook.com/rapplerdotcom/photos/a.317154781638645/5596022273751843/</v>
      </c>
      <c r="J1143" s="1" t="str">
        <f>IFERROR(__xludf.DUMMYFUNCTION("""COMPUTED_VALUE"""),"2022-07-04T15:39:36.626Z")</f>
        <v>2022-07-04T15:39:36.626Z</v>
      </c>
      <c r="K1143" s="1"/>
    </row>
    <row r="1144">
      <c r="A1144" s="2" t="str">
        <f>IFERROR(__xludf.DUMMYFUNCTION("""COMPUTED_VALUE"""),"https://www.facebook.com/nigeltan.ph")</f>
        <v>https://www.facebook.com/nigeltan.ph</v>
      </c>
      <c r="B1144" s="1" t="str">
        <f>IFERROR(__xludf.DUMMYFUNCTION("""COMPUTED_VALUE"""),"Rodjun Nigel Tan")</f>
        <v>Rodjun Nigel Tan</v>
      </c>
      <c r="C1144" s="1" t="str">
        <f>IFERROR(__xludf.DUMMYFUNCTION("""COMPUTED_VALUE"""),"Rodjun")</f>
        <v>Rodjun</v>
      </c>
      <c r="D1144" s="1" t="str">
        <f>IFERROR(__xludf.DUMMYFUNCTION("""COMPUTED_VALUE"""),"Nigel Tan")</f>
        <v>Nigel Tan</v>
      </c>
      <c r="E1144" s="1" t="str">
        <f>IFERROR(__xludf.DUMMYFUNCTION("""COMPUTED_VALUE"""),"Lorrilyn Floralde may lost and found corner po dyan. Pwede nya ireport kung nasa area pa.")</f>
        <v>Lorrilyn Floralde may lost and found corner po dyan. Pwede nya ireport kung nasa area pa.</v>
      </c>
      <c r="F1144" s="1">
        <f>IFERROR(__xludf.DUMMYFUNCTION("""COMPUTED_VALUE"""),1.0)</f>
        <v>1</v>
      </c>
      <c r="G1144" s="1" t="str">
        <f>IFERROR(__xludf.DUMMYFUNCTION("""COMPUTED_VALUE"""),"3 mos")</f>
        <v>3 mos</v>
      </c>
      <c r="H1144" s="1" t="str">
        <f>IFERROR(__xludf.DUMMYFUNCTION("""COMPUTED_VALUE"""),"reply")</f>
        <v>reply</v>
      </c>
      <c r="I1144" s="2" t="str">
        <f>IFERROR(__xludf.DUMMYFUNCTION("""COMPUTED_VALUE"""),"https://www.facebook.com/rapplerdotcom/photos/a.317154781638645/5596022273751843/")</f>
        <v>https://www.facebook.com/rapplerdotcom/photos/a.317154781638645/5596022273751843/</v>
      </c>
      <c r="J1144" s="1" t="str">
        <f>IFERROR(__xludf.DUMMYFUNCTION("""COMPUTED_VALUE"""),"2022-07-04T15:39:36.626Z")</f>
        <v>2022-07-04T15:39:36.626Z</v>
      </c>
      <c r="K1144" s="1"/>
    </row>
    <row r="1145">
      <c r="A1145" s="2" t="str">
        <f>IFERROR(__xludf.DUMMYFUNCTION("""COMPUTED_VALUE"""),"https://www.facebook.com/profile.php?id=100005732081750")</f>
        <v>https://www.facebook.com/profile.php?id=100005732081750</v>
      </c>
      <c r="B1145" s="1" t="str">
        <f>IFERROR(__xludf.DUMMYFUNCTION("""COMPUTED_VALUE"""),"Star Sunday")</f>
        <v>Star Sunday</v>
      </c>
      <c r="C1145" s="1" t="str">
        <f>IFERROR(__xludf.DUMMYFUNCTION("""COMPUTED_VALUE"""),"Star")</f>
        <v>Star</v>
      </c>
      <c r="D1145" s="1" t="str">
        <f>IFERROR(__xludf.DUMMYFUNCTION("""COMPUTED_VALUE"""),"Sunday")</f>
        <v>Sunday</v>
      </c>
      <c r="E1145" s="1" t="str">
        <f>IFERROR(__xludf.DUMMYFUNCTION("""COMPUTED_VALUE"""),"Lorrilyn Floralde I watched awhile ago po. May inannounce sa stage na may nadampot na cellphone at sinabihan na kung sino man ung may-Ari ay puntahan daw po ung phone sa back ng stage sa may security area kung saan nandoon ung table ng mga police/pulis.")</f>
        <v>Lorrilyn Floralde I watched awhile ago po. May inannounce sa stage na may nadampot na cellphone at sinabihan na kung sino man ung may-Ari ay puntahan daw po ung phone sa back ng stage sa may security area kung saan nandoon ung table ng mga police/pulis.</v>
      </c>
      <c r="F1145" s="1">
        <f>IFERROR(__xludf.DUMMYFUNCTION("""COMPUTED_VALUE"""),2.0)</f>
        <v>2</v>
      </c>
      <c r="G1145" s="1" t="str">
        <f>IFERROR(__xludf.DUMMYFUNCTION("""COMPUTED_VALUE"""),"3 mos")</f>
        <v>3 mos</v>
      </c>
      <c r="H1145" s="1" t="str">
        <f>IFERROR(__xludf.DUMMYFUNCTION("""COMPUTED_VALUE"""),"reply")</f>
        <v>reply</v>
      </c>
      <c r="I1145" s="2" t="str">
        <f>IFERROR(__xludf.DUMMYFUNCTION("""COMPUTED_VALUE"""),"https://www.facebook.com/rapplerdotcom/photos/a.317154781638645/5596022273751843/")</f>
        <v>https://www.facebook.com/rapplerdotcom/photos/a.317154781638645/5596022273751843/</v>
      </c>
      <c r="J1145" s="1" t="str">
        <f>IFERROR(__xludf.DUMMYFUNCTION("""COMPUTED_VALUE"""),"2022-07-04T15:39:36.626Z")</f>
        <v>2022-07-04T15:39:36.626Z</v>
      </c>
      <c r="K1145" s="1"/>
    </row>
    <row r="1146">
      <c r="A1146" s="2" t="str">
        <f>IFERROR(__xludf.DUMMYFUNCTION("""COMPUTED_VALUE"""),"https://www.facebook.com/lmfloralde")</f>
        <v>https://www.facebook.com/lmfloralde</v>
      </c>
      <c r="B1146" s="1" t="str">
        <f>IFERROR(__xludf.DUMMYFUNCTION("""COMPUTED_VALUE"""),"Lorrilyn Floralde")</f>
        <v>Lorrilyn Floralde</v>
      </c>
      <c r="C1146" s="1" t="str">
        <f>IFERROR(__xludf.DUMMYFUNCTION("""COMPUTED_VALUE"""),"Lorrilyn")</f>
        <v>Lorrilyn</v>
      </c>
      <c r="D1146" s="1" t="str">
        <f>IFERROR(__xludf.DUMMYFUNCTION("""COMPUTED_VALUE"""),"Floralde")</f>
        <v>Floralde</v>
      </c>
      <c r="E1146" s="1" t="str">
        <f>IFERROR(__xludf.DUMMYFUNCTION("""COMPUTED_VALUE"""),"ibang cp po yun, nag iwan n ng contact number yung anak til now wala pa rin")</f>
        <v>ibang cp po yun, nag iwan n ng contact number yung anak til now wala pa rin</v>
      </c>
      <c r="F1146" s="1"/>
      <c r="G1146" s="1" t="str">
        <f>IFERROR(__xludf.DUMMYFUNCTION("""COMPUTED_VALUE"""),"3 mos")</f>
        <v>3 mos</v>
      </c>
      <c r="H1146" s="1" t="str">
        <f>IFERROR(__xludf.DUMMYFUNCTION("""COMPUTED_VALUE"""),"reply")</f>
        <v>reply</v>
      </c>
      <c r="I1146" s="2" t="str">
        <f>IFERROR(__xludf.DUMMYFUNCTION("""COMPUTED_VALUE"""),"https://www.facebook.com/rapplerdotcom/photos/a.317154781638645/5596022273751843/")</f>
        <v>https://www.facebook.com/rapplerdotcom/photos/a.317154781638645/5596022273751843/</v>
      </c>
      <c r="J1146" s="1" t="str">
        <f>IFERROR(__xludf.DUMMYFUNCTION("""COMPUTED_VALUE"""),"2022-07-04T15:39:36.626Z")</f>
        <v>2022-07-04T15:39:36.626Z</v>
      </c>
      <c r="K1146" s="1"/>
    </row>
    <row r="1147">
      <c r="A1147" s="2" t="str">
        <f>IFERROR(__xludf.DUMMYFUNCTION("""COMPUTED_VALUE"""),"https://www.facebook.com/lmfloralde")</f>
        <v>https://www.facebook.com/lmfloralde</v>
      </c>
      <c r="B1147" s="1" t="str">
        <f>IFERROR(__xludf.DUMMYFUNCTION("""COMPUTED_VALUE"""),"Lorrilyn Floralde")</f>
        <v>Lorrilyn Floralde</v>
      </c>
      <c r="C1147" s="1" t="str">
        <f>IFERROR(__xludf.DUMMYFUNCTION("""COMPUTED_VALUE"""),"Lorrilyn")</f>
        <v>Lorrilyn</v>
      </c>
      <c r="D1147" s="1" t="str">
        <f>IFERROR(__xludf.DUMMYFUNCTION("""COMPUTED_VALUE"""),"Floralde")</f>
        <v>Floralde</v>
      </c>
      <c r="E1147" s="1" t="str">
        <f>IFERROR(__xludf.DUMMYFUNCTION("""COMPUTED_VALUE"""),"Angel Coin talaga ba!!! Laarns Floralde nagkunwari lang daw")</f>
        <v>Angel Coin talaga ba!!! Laarns Floralde nagkunwari lang daw</v>
      </c>
      <c r="F1147" s="1"/>
      <c r="G1147" s="1" t="str">
        <f>IFERROR(__xludf.DUMMYFUNCTION("""COMPUTED_VALUE"""),"3 mos")</f>
        <v>3 mos</v>
      </c>
      <c r="H1147" s="1" t="str">
        <f>IFERROR(__xludf.DUMMYFUNCTION("""COMPUTED_VALUE"""),"reply")</f>
        <v>reply</v>
      </c>
      <c r="I1147" s="2" t="str">
        <f>IFERROR(__xludf.DUMMYFUNCTION("""COMPUTED_VALUE"""),"https://www.facebook.com/rapplerdotcom/photos/a.317154781638645/5596022273751843/")</f>
        <v>https://www.facebook.com/rapplerdotcom/photos/a.317154781638645/5596022273751843/</v>
      </c>
      <c r="J1147" s="1" t="str">
        <f>IFERROR(__xludf.DUMMYFUNCTION("""COMPUTED_VALUE"""),"2022-07-04T15:39:36.626Z")</f>
        <v>2022-07-04T15:39:36.626Z</v>
      </c>
      <c r="K1147" s="1"/>
    </row>
    <row r="1148">
      <c r="A1148" s="2" t="str">
        <f>IFERROR(__xludf.DUMMYFUNCTION("""COMPUTED_VALUE"""),"https://www.facebook.com/lmfloralde")</f>
        <v>https://www.facebook.com/lmfloralde</v>
      </c>
      <c r="B1148" s="1" t="str">
        <f>IFERROR(__xludf.DUMMYFUNCTION("""COMPUTED_VALUE"""),"Lorrilyn Floralde")</f>
        <v>Lorrilyn Floralde</v>
      </c>
      <c r="C1148" s="1" t="str">
        <f>IFERROR(__xludf.DUMMYFUNCTION("""COMPUTED_VALUE"""),"Lorrilyn")</f>
        <v>Lorrilyn</v>
      </c>
      <c r="D1148" s="1" t="str">
        <f>IFERROR(__xludf.DUMMYFUNCTION("""COMPUTED_VALUE"""),"Floralde")</f>
        <v>Floralde</v>
      </c>
      <c r="E1148" s="1" t="str">
        <f>IFERROR(__xludf.DUMMYFUNCTION("""COMPUTED_VALUE"""),"Angel Coin pag napatuyang jan nawala sa notre dame cp ng anak, may record jan na nareport, maka husga tlg, ugali nyo yan no!!!")</f>
        <v>Angel Coin pag napatuyang jan nawala sa notre dame cp ng anak, may record jan na nareport, maka husga tlg, ugali nyo yan no!!!</v>
      </c>
      <c r="F1148" s="1"/>
      <c r="G1148" s="1" t="str">
        <f>IFERROR(__xludf.DUMMYFUNCTION("""COMPUTED_VALUE"""),"3 mos")</f>
        <v>3 mos</v>
      </c>
      <c r="H1148" s="1" t="str">
        <f>IFERROR(__xludf.DUMMYFUNCTION("""COMPUTED_VALUE"""),"reply")</f>
        <v>reply</v>
      </c>
      <c r="I1148" s="2" t="str">
        <f>IFERROR(__xludf.DUMMYFUNCTION("""COMPUTED_VALUE"""),"https://www.facebook.com/rapplerdotcom/photos/a.317154781638645/5596022273751843/")</f>
        <v>https://www.facebook.com/rapplerdotcom/photos/a.317154781638645/5596022273751843/</v>
      </c>
      <c r="J1148" s="1" t="str">
        <f>IFERROR(__xludf.DUMMYFUNCTION("""COMPUTED_VALUE"""),"2022-07-04T15:39:36.626Z")</f>
        <v>2022-07-04T15:39:36.626Z</v>
      </c>
      <c r="K1148" s="1"/>
    </row>
    <row r="1149">
      <c r="A1149" s="2" t="str">
        <f>IFERROR(__xludf.DUMMYFUNCTION("""COMPUTED_VALUE"""),"https://www.facebook.com/lmfloralde")</f>
        <v>https://www.facebook.com/lmfloralde</v>
      </c>
      <c r="B1149" s="1" t="str">
        <f>IFERROR(__xludf.DUMMYFUNCTION("""COMPUTED_VALUE"""),"Lorrilyn Floralde")</f>
        <v>Lorrilyn Floralde</v>
      </c>
      <c r="C1149" s="1" t="str">
        <f>IFERROR(__xludf.DUMMYFUNCTION("""COMPUTED_VALUE"""),"Lorrilyn")</f>
        <v>Lorrilyn</v>
      </c>
      <c r="D1149" s="1" t="str">
        <f>IFERROR(__xludf.DUMMYFUNCTION("""COMPUTED_VALUE"""),"Floralde")</f>
        <v>Floralde</v>
      </c>
      <c r="E1149" s="1" t="str">
        <f>IFERROR(__xludf.DUMMYFUNCTION("""COMPUTED_VALUE"""),"Angel Coin nagpunta kc mga kabataan dito sa lugar namin sa paconcert mawawala lng pla cp nya jan")</f>
        <v>Angel Coin nagpunta kc mga kabataan dito sa lugar namin sa paconcert mawawala lng pla cp nya jan</v>
      </c>
      <c r="F1149" s="1"/>
      <c r="G1149" s="1" t="str">
        <f>IFERROR(__xludf.DUMMYFUNCTION("""COMPUTED_VALUE"""),"3 mos")</f>
        <v>3 mos</v>
      </c>
      <c r="H1149" s="1" t="str">
        <f>IFERROR(__xludf.DUMMYFUNCTION("""COMPUTED_VALUE"""),"reply")</f>
        <v>reply</v>
      </c>
      <c r="I1149" s="2" t="str">
        <f>IFERROR(__xludf.DUMMYFUNCTION("""COMPUTED_VALUE"""),"https://www.facebook.com/rapplerdotcom/photos/a.317154781638645/5596022273751843/")</f>
        <v>https://www.facebook.com/rapplerdotcom/photos/a.317154781638645/5596022273751843/</v>
      </c>
      <c r="J1149" s="1" t="str">
        <f>IFERROR(__xludf.DUMMYFUNCTION("""COMPUTED_VALUE"""),"2022-07-04T15:39:36.626Z")</f>
        <v>2022-07-04T15:39:36.626Z</v>
      </c>
      <c r="K1149" s="1"/>
    </row>
    <row r="1150">
      <c r="A1150" s="2" t="str">
        <f>IFERROR(__xludf.DUMMYFUNCTION("""COMPUTED_VALUE"""),"https://www.facebook.com/profile.php?id=100005732081750")</f>
        <v>https://www.facebook.com/profile.php?id=100005732081750</v>
      </c>
      <c r="B1150" s="1" t="str">
        <f>IFERROR(__xludf.DUMMYFUNCTION("""COMPUTED_VALUE"""),"Star Sunday")</f>
        <v>Star Sunday</v>
      </c>
      <c r="C1150" s="1" t="str">
        <f>IFERROR(__xludf.DUMMYFUNCTION("""COMPUTED_VALUE"""),"Star")</f>
        <v>Star</v>
      </c>
      <c r="D1150" s="1" t="str">
        <f>IFERROR(__xludf.DUMMYFUNCTION("""COMPUTED_VALUE"""),"Sunday")</f>
        <v>Sunday</v>
      </c>
      <c r="E1150" s="1" t="str">
        <f>IFERROR(__xludf.DUMMYFUNCTION("""COMPUTED_VALUE"""),"Lorrilyn Floralde May lost and found area po na inorganize ung committee na nag organize ng program. Ipagtanong niyo po muna sa kanila bago po tayo manghusga o kaya magpost dito sa thread. Dahil kung talaga pong ninakaw talaga after niyo tinanong at wala "&amp;"talaga saka niyo po ipa blotter sa police station.")</f>
        <v>Lorrilyn Floralde May lost and found area po na inorganize ung committee na nag organize ng program. Ipagtanong niyo po muna sa kanila bago po tayo manghusga o kaya magpost dito sa thread. Dahil kung talaga pong ninakaw talaga after niyo tinanong at wala talaga saka niyo po ipa blotter sa police station.</v>
      </c>
      <c r="F1150" s="1"/>
      <c r="G1150" s="1" t="str">
        <f>IFERROR(__xludf.DUMMYFUNCTION("""COMPUTED_VALUE"""),"3 mos")</f>
        <v>3 mos</v>
      </c>
      <c r="H1150" s="1" t="str">
        <f>IFERROR(__xludf.DUMMYFUNCTION("""COMPUTED_VALUE"""),"reply")</f>
        <v>reply</v>
      </c>
      <c r="I1150" s="2" t="str">
        <f>IFERROR(__xludf.DUMMYFUNCTION("""COMPUTED_VALUE"""),"https://www.facebook.com/rapplerdotcom/photos/a.317154781638645/5596022273751843/")</f>
        <v>https://www.facebook.com/rapplerdotcom/photos/a.317154781638645/5596022273751843/</v>
      </c>
      <c r="J1150" s="1" t="str">
        <f>IFERROR(__xludf.DUMMYFUNCTION("""COMPUTED_VALUE"""),"2022-07-04T15:39:36.626Z")</f>
        <v>2022-07-04T15:39:36.626Z</v>
      </c>
      <c r="K1150" s="1"/>
    </row>
    <row r="1151">
      <c r="A1151" s="2" t="str">
        <f>IFERROR(__xludf.DUMMYFUNCTION("""COMPUTED_VALUE"""),"https://www.facebook.com/lmfloralde")</f>
        <v>https://www.facebook.com/lmfloralde</v>
      </c>
      <c r="B1151" s="1" t="str">
        <f>IFERROR(__xludf.DUMMYFUNCTION("""COMPUTED_VALUE"""),"Lorrilyn Floralde")</f>
        <v>Lorrilyn Floralde</v>
      </c>
      <c r="C1151" s="1" t="str">
        <f>IFERROR(__xludf.DUMMYFUNCTION("""COMPUTED_VALUE"""),"Lorrilyn")</f>
        <v>Lorrilyn</v>
      </c>
      <c r="D1151" s="1" t="str">
        <f>IFERROR(__xludf.DUMMYFUNCTION("""COMPUTED_VALUE"""),"Floralde")</f>
        <v>Floralde</v>
      </c>
      <c r="E1151" s="1" t="str">
        <f>IFERROR(__xludf.DUMMYFUNCTION("""COMPUTED_VALUE"""),"Star Sunday nareport na lost and found jan, naannounce na rin jan na nawala, nag iwan na rin ng contact number jan. umuwi anak ko ng around 7pm ng umiiyak para lang sabihin na tanghali palang mawawala na cp nya")</f>
        <v>Star Sunday nareport na lost and found jan, naannounce na rin jan na nawala, nag iwan na rin ng contact number jan. umuwi anak ko ng around 7pm ng umiiyak para lang sabihin na tanghali palang mawawala na cp nya</v>
      </c>
      <c r="F1151" s="1"/>
      <c r="G1151" s="1" t="str">
        <f>IFERROR(__xludf.DUMMYFUNCTION("""COMPUTED_VALUE"""),"3 mos")</f>
        <v>3 mos</v>
      </c>
      <c r="H1151" s="1" t="str">
        <f>IFERROR(__xludf.DUMMYFUNCTION("""COMPUTED_VALUE"""),"reply")</f>
        <v>reply</v>
      </c>
      <c r="I1151" s="2" t="str">
        <f>IFERROR(__xludf.DUMMYFUNCTION("""COMPUTED_VALUE"""),"https://www.facebook.com/rapplerdotcom/photos/a.317154781638645/5596022273751843/")</f>
        <v>https://www.facebook.com/rapplerdotcom/photos/a.317154781638645/5596022273751843/</v>
      </c>
      <c r="J1151" s="1" t="str">
        <f>IFERROR(__xludf.DUMMYFUNCTION("""COMPUTED_VALUE"""),"2022-07-04T15:39:36.626Z")</f>
        <v>2022-07-04T15:39:36.626Z</v>
      </c>
      <c r="K1151" s="1"/>
    </row>
    <row r="1152">
      <c r="A1152" s="2" t="str">
        <f>IFERROR(__xludf.DUMMYFUNCTION("""COMPUTED_VALUE"""),"https://www.facebook.com/gerard.abangan.1")</f>
        <v>https://www.facebook.com/gerard.abangan.1</v>
      </c>
      <c r="B1152" s="1" t="str">
        <f>IFERROR(__xludf.DUMMYFUNCTION("""COMPUTED_VALUE"""),"Gerald Siopao Abangan")</f>
        <v>Gerald Siopao Abangan</v>
      </c>
      <c r="C1152" s="1" t="str">
        <f>IFERROR(__xludf.DUMMYFUNCTION("""COMPUTED_VALUE"""),"Gerald")</f>
        <v>Gerald</v>
      </c>
      <c r="D1152" s="1" t="str">
        <f>IFERROR(__xludf.DUMMYFUNCTION("""COMPUTED_VALUE"""),"Siopao Abangan")</f>
        <v>Siopao Abangan</v>
      </c>
      <c r="E1152" s="1" t="str">
        <f>IFERROR(__xludf.DUMMYFUNCTION("""COMPUTED_VALUE"""),"Edit")</f>
        <v>Edit</v>
      </c>
      <c r="F1152" s="1"/>
      <c r="G1152" s="1" t="str">
        <f>IFERROR(__xludf.DUMMYFUNCTION("""COMPUTED_VALUE"""),"3 mos")</f>
        <v>3 mos</v>
      </c>
      <c r="H1152" s="1" t="str">
        <f>IFERROR(__xludf.DUMMYFUNCTION("""COMPUTED_VALUE"""),"comment")</f>
        <v>comment</v>
      </c>
      <c r="I1152" s="2" t="str">
        <f>IFERROR(__xludf.DUMMYFUNCTION("""COMPUTED_VALUE"""),"https://www.facebook.com/rapplerdotcom/photos/a.317154781638645/5596022273751843/")</f>
        <v>https://www.facebook.com/rapplerdotcom/photos/a.317154781638645/5596022273751843/</v>
      </c>
      <c r="J1152" s="1" t="str">
        <f>IFERROR(__xludf.DUMMYFUNCTION("""COMPUTED_VALUE"""),"2022-07-04T15:39:36.626Z")</f>
        <v>2022-07-04T15:39:36.626Z</v>
      </c>
      <c r="K1152" s="1"/>
    </row>
    <row r="1153">
      <c r="A1153" s="2" t="str">
        <f>IFERROR(__xludf.DUMMYFUNCTION("""COMPUTED_VALUE"""),"https://www.facebook.com/rodelmadrid")</f>
        <v>https://www.facebook.com/rodelmadrid</v>
      </c>
      <c r="B1153" s="1" t="str">
        <f>IFERROR(__xludf.DUMMYFUNCTION("""COMPUTED_VALUE"""),"Rodel Madrid")</f>
        <v>Rodel Madrid</v>
      </c>
      <c r="C1153" s="1" t="str">
        <f>IFERROR(__xludf.DUMMYFUNCTION("""COMPUTED_VALUE"""),"Rodel")</f>
        <v>Rodel</v>
      </c>
      <c r="D1153" s="1" t="str">
        <f>IFERROR(__xludf.DUMMYFUNCTION("""COMPUTED_VALUE"""),"Madrid")</f>
        <v>Madrid</v>
      </c>
      <c r="E1153" s="1" t="str">
        <f>IFERROR(__xludf.DUMMYFUNCTION("""COMPUTED_VALUE"""),"Ilaw para sa isang #GobyernongTapat #LeniKikoTeam2022 ang dapat! 💟💟💟")</f>
        <v>Ilaw para sa isang #GobyernongTapat #LeniKikoTeam2022 ang dapat! 💟💟💟</v>
      </c>
      <c r="F1153" s="1">
        <f>IFERROR(__xludf.DUMMYFUNCTION("""COMPUTED_VALUE"""),9.0)</f>
        <v>9</v>
      </c>
      <c r="G1153" s="1" t="str">
        <f>IFERROR(__xludf.DUMMYFUNCTION("""COMPUTED_VALUE"""),"3 mos")</f>
        <v>3 mos</v>
      </c>
      <c r="H1153" s="1" t="str">
        <f>IFERROR(__xludf.DUMMYFUNCTION("""COMPUTED_VALUE"""),"comment")</f>
        <v>comment</v>
      </c>
      <c r="I1153" s="2" t="str">
        <f>IFERROR(__xludf.DUMMYFUNCTION("""COMPUTED_VALUE"""),"https://www.facebook.com/rapplerdotcom/photos/a.317154781638645/5596022273751843/")</f>
        <v>https://www.facebook.com/rapplerdotcom/photos/a.317154781638645/5596022273751843/</v>
      </c>
      <c r="J1153" s="1" t="str">
        <f>IFERROR(__xludf.DUMMYFUNCTION("""COMPUTED_VALUE"""),"2022-07-04T15:39:36.626Z")</f>
        <v>2022-07-04T15:39:36.626Z</v>
      </c>
      <c r="K1153" s="1"/>
    </row>
    <row r="1154">
      <c r="A1154" s="2" t="str">
        <f>IFERROR(__xludf.DUMMYFUNCTION("""COMPUTED_VALUE"""),"https://www.facebook.com/alfredofabro.boking")</f>
        <v>https://www.facebook.com/alfredofabro.boking</v>
      </c>
      <c r="B1154" s="1" t="str">
        <f>IFERROR(__xludf.DUMMYFUNCTION("""COMPUTED_VALUE"""),"Alfredo Fabro Boking")</f>
        <v>Alfredo Fabro Boking</v>
      </c>
      <c r="C1154" s="1" t="str">
        <f>IFERROR(__xludf.DUMMYFUNCTION("""COMPUTED_VALUE"""),"Alfredo")</f>
        <v>Alfredo</v>
      </c>
      <c r="D1154" s="1" t="str">
        <f>IFERROR(__xludf.DUMMYFUNCTION("""COMPUTED_VALUE"""),"Fabro Boking")</f>
        <v>Fabro Boking</v>
      </c>
      <c r="E1154" s="1" t="str">
        <f>IFERROR(__xludf.DUMMYFUNCTION("""COMPUTED_VALUE"""),"Wahahahaha ang daming Hakot na sibuyas at lobo wahahahaha 😂🤣😂🤣😂🤣😂🤣😂🤣😂🤣")</f>
        <v>Wahahahaha ang daming Hakot na sibuyas at lobo wahahahaha 😂🤣😂🤣😂🤣😂🤣😂🤣😂🤣</v>
      </c>
      <c r="F1154" s="1">
        <f>IFERROR(__xludf.DUMMYFUNCTION("""COMPUTED_VALUE"""),1.0)</f>
        <v>1</v>
      </c>
      <c r="G1154" s="1" t="str">
        <f>IFERROR(__xludf.DUMMYFUNCTION("""COMPUTED_VALUE"""),"3 mos")</f>
        <v>3 mos</v>
      </c>
      <c r="H1154" s="1" t="str">
        <f>IFERROR(__xludf.DUMMYFUNCTION("""COMPUTED_VALUE"""),"comment")</f>
        <v>comment</v>
      </c>
      <c r="I1154" s="2" t="str">
        <f>IFERROR(__xludf.DUMMYFUNCTION("""COMPUTED_VALUE"""),"https://www.facebook.com/rapplerdotcom/photos/a.317154781638645/5596022273751843/")</f>
        <v>https://www.facebook.com/rapplerdotcom/photos/a.317154781638645/5596022273751843/</v>
      </c>
      <c r="J1154" s="1" t="str">
        <f>IFERROR(__xludf.DUMMYFUNCTION("""COMPUTED_VALUE"""),"2022-07-04T15:39:36.626Z")</f>
        <v>2022-07-04T15:39:36.626Z</v>
      </c>
      <c r="K1154" s="1"/>
    </row>
    <row r="1155">
      <c r="A1155" s="2" t="str">
        <f>IFERROR(__xludf.DUMMYFUNCTION("""COMPUTED_VALUE"""),"https://www.facebook.com/terrence.co")</f>
        <v>https://www.facebook.com/terrence.co</v>
      </c>
      <c r="B1155" s="1" t="str">
        <f>IFERROR(__xludf.DUMMYFUNCTION("""COMPUTED_VALUE"""),"Terence Co")</f>
        <v>Terence Co</v>
      </c>
      <c r="C1155" s="1" t="str">
        <f>IFERROR(__xludf.DUMMYFUNCTION("""COMPUTED_VALUE"""),"Terence")</f>
        <v>Terence</v>
      </c>
      <c r="D1155" s="1" t="str">
        <f>IFERROR(__xludf.DUMMYFUNCTION("""COMPUTED_VALUE"""),"Co")</f>
        <v>Co</v>
      </c>
      <c r="E1155" s="1" t="str">
        <f>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1155" s="1">
        <f>IFERROR(__xludf.DUMMYFUNCTION("""COMPUTED_VALUE"""),80.0)</f>
        <v>80</v>
      </c>
      <c r="G1155" s="1" t="str">
        <f>IFERROR(__xludf.DUMMYFUNCTION("""COMPUTED_VALUE"""),"3 mos")</f>
        <v>3 mos</v>
      </c>
      <c r="H1155" s="1" t="str">
        <f>IFERROR(__xludf.DUMMYFUNCTION("""COMPUTED_VALUE"""),"comment")</f>
        <v>comment</v>
      </c>
      <c r="I115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55" s="1" t="str">
        <f>IFERROR(__xludf.DUMMYFUNCTION("""COMPUTED_VALUE"""),"2022-07-04T15:40:03.367Z")</f>
        <v>2022-07-04T15:40:03.367Z</v>
      </c>
      <c r="K1155" s="1"/>
    </row>
    <row r="1156">
      <c r="A1156" s="2" t="str">
        <f>IFERROR(__xludf.DUMMYFUNCTION("""COMPUTED_VALUE"""),"https://www.facebook.com/profile.php?id=100078461366052")</f>
        <v>https://www.facebook.com/profile.php?id=100078461366052</v>
      </c>
      <c r="B1156" s="1" t="str">
        <f>IFERROR(__xludf.DUMMYFUNCTION("""COMPUTED_VALUE"""),"Patrick Ramirez")</f>
        <v>Patrick Ramirez</v>
      </c>
      <c r="C1156" s="1" t="str">
        <f>IFERROR(__xludf.DUMMYFUNCTION("""COMPUTED_VALUE"""),"Patrick")</f>
        <v>Patrick</v>
      </c>
      <c r="D1156" s="1" t="str">
        <f>IFERROR(__xludf.DUMMYFUNCTION("""COMPUTED_VALUE"""),"Ramirez")</f>
        <v>Ramirez</v>
      </c>
      <c r="E1156" s="1" t="str">
        <f>IFERROR(__xludf.DUMMYFUNCTION("""COMPUTED_VALUE"""),"Terence Co beautiful sea of kakampinks!")</f>
        <v>Terence Co beautiful sea of kakampinks!</v>
      </c>
      <c r="F1156" s="1">
        <f>IFERROR(__xludf.DUMMYFUNCTION("""COMPUTED_VALUE"""),1.0)</f>
        <v>1</v>
      </c>
      <c r="G1156" s="1" t="str">
        <f>IFERROR(__xludf.DUMMYFUNCTION("""COMPUTED_VALUE"""),"3 mos")</f>
        <v>3 mos</v>
      </c>
      <c r="H1156" s="1" t="str">
        <f>IFERROR(__xludf.DUMMYFUNCTION("""COMPUTED_VALUE"""),"reply")</f>
        <v>reply</v>
      </c>
      <c r="I115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56" s="1" t="str">
        <f>IFERROR(__xludf.DUMMYFUNCTION("""COMPUTED_VALUE"""),"2022-07-04T15:40:03.367Z")</f>
        <v>2022-07-04T15:40:03.367Z</v>
      </c>
      <c r="K1156" s="1"/>
    </row>
    <row r="1157">
      <c r="A1157" s="2" t="str">
        <f>IFERROR(__xludf.DUMMYFUNCTION("""COMPUTED_VALUE"""),"https://www.facebook.com/profile.php?id=100078433647836")</f>
        <v>https://www.facebook.com/profile.php?id=100078433647836</v>
      </c>
      <c r="B1157" s="1" t="str">
        <f>IFERROR(__xludf.DUMMYFUNCTION("""COMPUTED_VALUE"""),"Melinda Rosario")</f>
        <v>Melinda Rosario</v>
      </c>
      <c r="C1157" s="1" t="str">
        <f>IFERROR(__xludf.DUMMYFUNCTION("""COMPUTED_VALUE"""),"Melinda")</f>
        <v>Melinda</v>
      </c>
      <c r="D1157" s="1" t="str">
        <f>IFERROR(__xludf.DUMMYFUNCTION("""COMPUTED_VALUE"""),"Rosario")</f>
        <v>Rosario</v>
      </c>
      <c r="E1157" s="1" t="str">
        <f>IFERROR(__xludf.DUMMYFUNCTION("""COMPUTED_VALUE"""),"Terence Co Mabuhay ang mga kakampink!")</f>
        <v>Terence Co Mabuhay ang mga kakampink!</v>
      </c>
      <c r="F1157" s="1">
        <f>IFERROR(__xludf.DUMMYFUNCTION("""COMPUTED_VALUE"""),1.0)</f>
        <v>1</v>
      </c>
      <c r="G1157" s="1" t="str">
        <f>IFERROR(__xludf.DUMMYFUNCTION("""COMPUTED_VALUE"""),"3 mos")</f>
        <v>3 mos</v>
      </c>
      <c r="H1157" s="1" t="str">
        <f>IFERROR(__xludf.DUMMYFUNCTION("""COMPUTED_VALUE"""),"reply")</f>
        <v>reply</v>
      </c>
      <c r="I115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57" s="1" t="str">
        <f>IFERROR(__xludf.DUMMYFUNCTION("""COMPUTED_VALUE"""),"2022-07-04T15:40:03.367Z")</f>
        <v>2022-07-04T15:40:03.367Z</v>
      </c>
      <c r="K1157" s="1"/>
    </row>
    <row r="1158">
      <c r="A1158" s="2" t="str">
        <f>IFERROR(__xludf.DUMMYFUNCTION("""COMPUTED_VALUE"""),"https://www.facebook.com/profile.php?id=100077975515176")</f>
        <v>https://www.facebook.com/profile.php?id=100077975515176</v>
      </c>
      <c r="B1158" s="1" t="str">
        <f>IFERROR(__xludf.DUMMYFUNCTION("""COMPUTED_VALUE"""),"David Yulinco")</f>
        <v>David Yulinco</v>
      </c>
      <c r="C1158" s="1" t="str">
        <f>IFERROR(__xludf.DUMMYFUNCTION("""COMPUTED_VALUE"""),"David")</f>
        <v>David</v>
      </c>
      <c r="D1158" s="1" t="str">
        <f>IFERROR(__xludf.DUMMYFUNCTION("""COMPUTED_VALUE"""),"Yulinco")</f>
        <v>Yulinco</v>
      </c>
      <c r="E1158" s="1" t="str">
        <f>IFERROR(__xludf.DUMMYFUNCTION("""COMPUTED_VALUE"""),"Terence Co #LetLeniLead")</f>
        <v>Terence Co #LetLeniLead</v>
      </c>
      <c r="F1158" s="1">
        <f>IFERROR(__xludf.DUMMYFUNCTION("""COMPUTED_VALUE"""),1.0)</f>
        <v>1</v>
      </c>
      <c r="G1158" s="1" t="str">
        <f>IFERROR(__xludf.DUMMYFUNCTION("""COMPUTED_VALUE"""),"3 mos")</f>
        <v>3 mos</v>
      </c>
      <c r="H1158" s="1" t="str">
        <f>IFERROR(__xludf.DUMMYFUNCTION("""COMPUTED_VALUE"""),"reply")</f>
        <v>reply</v>
      </c>
      <c r="I115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58" s="1" t="str">
        <f>IFERROR(__xludf.DUMMYFUNCTION("""COMPUTED_VALUE"""),"2022-07-04T15:40:03.367Z")</f>
        <v>2022-07-04T15:40:03.367Z</v>
      </c>
      <c r="K1158" s="1"/>
    </row>
    <row r="1159">
      <c r="A1159" s="2" t="str">
        <f>IFERROR(__xludf.DUMMYFUNCTION("""COMPUTED_VALUE"""),"https://www.facebook.com/leah.leonidas.9")</f>
        <v>https://www.facebook.com/leah.leonidas.9</v>
      </c>
      <c r="B1159" s="1" t="str">
        <f>IFERROR(__xludf.DUMMYFUNCTION("""COMPUTED_VALUE"""),"Leah Leonidas")</f>
        <v>Leah Leonidas</v>
      </c>
      <c r="C1159" s="1" t="str">
        <f>IFERROR(__xludf.DUMMYFUNCTION("""COMPUTED_VALUE"""),"Leah")</f>
        <v>Leah</v>
      </c>
      <c r="D1159" s="1" t="str">
        <f>IFERROR(__xludf.DUMMYFUNCTION("""COMPUTED_VALUE"""),"Leonidas")</f>
        <v>Leonidas</v>
      </c>
      <c r="E1159" s="1" t="str">
        <f>IFERROR(__xludf.DUMMYFUNCTION("""COMPUTED_VALUE"""),"Kapag tumindig ka, may titindig sa tabi mo.. kaya sama sama po tayong tumindig para sa isa MATAPAT AT DISENTENG GOBYERNO 🙏🙏💪💪 #LeniKikoAllTheWay  #10RobredoForPresident #7PangilinanForVicePresident  #CaMaNaVaIsPink   Dito Hindi ka iiwan at Hindi ka pa"&amp;"babayaan 💗💗")</f>
        <v>Kapag tumindig ka, may titindig sa tabi mo.. kaya sama sama po tayong tumindig para sa isa MATAPAT AT DISENTENG GOBYERNO 🙏🙏💪💪 #LeniKikoAllTheWay  #10RobredoForPresident #7PangilinanForVicePresident  #CaMaNaVaIsPink   Dito Hindi ka iiwan at Hindi ka pababayaan 💗💗</v>
      </c>
      <c r="F1159" s="1">
        <f>IFERROR(__xludf.DUMMYFUNCTION("""COMPUTED_VALUE"""),20.0)</f>
        <v>20</v>
      </c>
      <c r="G1159" s="1" t="str">
        <f>IFERROR(__xludf.DUMMYFUNCTION("""COMPUTED_VALUE"""),"3 mos")</f>
        <v>3 mos</v>
      </c>
      <c r="H1159" s="1" t="str">
        <f>IFERROR(__xludf.DUMMYFUNCTION("""COMPUTED_VALUE"""),"comment")</f>
        <v>comment</v>
      </c>
      <c r="I115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59" s="1" t="str">
        <f>IFERROR(__xludf.DUMMYFUNCTION("""COMPUTED_VALUE"""),"2022-07-04T15:40:03.367Z")</f>
        <v>2022-07-04T15:40:03.367Z</v>
      </c>
      <c r="K1159" s="1"/>
    </row>
    <row r="1160">
      <c r="A1160" s="2" t="str">
        <f>IFERROR(__xludf.DUMMYFUNCTION("""COMPUTED_VALUE"""),"https://www.facebook.com/blesilda.bolante")</f>
        <v>https://www.facebook.com/blesilda.bolante</v>
      </c>
      <c r="B1160" s="1" t="str">
        <f>IFERROR(__xludf.DUMMYFUNCTION("""COMPUTED_VALUE"""),"Bles Bolante")</f>
        <v>Bles Bolante</v>
      </c>
      <c r="C1160" s="1" t="str">
        <f>IFERROR(__xludf.DUMMYFUNCTION("""COMPUTED_VALUE"""),"Bles")</f>
        <v>Bles</v>
      </c>
      <c r="D1160" s="1" t="str">
        <f>IFERROR(__xludf.DUMMYFUNCTION("""COMPUTED_VALUE"""),"Bolante")</f>
        <v>Bolante</v>
      </c>
      <c r="E1160" s="1" t="str">
        <f>IFERROR(__xludf.DUMMYFUNCTION("""COMPUTED_VALUE"""),"Salamat Camanava for supporting Earth Hour. Mabuhay po kayo! #HusayAtTibay  #LeniKikoTeam2022  #CaMaNaVaIsPink")</f>
        <v>Salamat Camanava for supporting Earth Hour. Mabuhay po kayo! #HusayAtTibay  #LeniKikoTeam2022  #CaMaNaVaIsPink</v>
      </c>
      <c r="F1160" s="1">
        <f>IFERROR(__xludf.DUMMYFUNCTION("""COMPUTED_VALUE"""),7.0)</f>
        <v>7</v>
      </c>
      <c r="G1160" s="1" t="str">
        <f>IFERROR(__xludf.DUMMYFUNCTION("""COMPUTED_VALUE"""),"3 mos")</f>
        <v>3 mos</v>
      </c>
      <c r="H1160" s="1" t="str">
        <f>IFERROR(__xludf.DUMMYFUNCTION("""COMPUTED_VALUE"""),"comment")</f>
        <v>comment</v>
      </c>
      <c r="I116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0" s="1" t="str">
        <f>IFERROR(__xludf.DUMMYFUNCTION("""COMPUTED_VALUE"""),"2022-07-04T15:40:03.367Z")</f>
        <v>2022-07-04T15:40:03.367Z</v>
      </c>
      <c r="K1160" s="1"/>
    </row>
    <row r="1161">
      <c r="A1161" s="2" t="str">
        <f>IFERROR(__xludf.DUMMYFUNCTION("""COMPUTED_VALUE"""),"https://www.facebook.com/faithjoan.gaerlan.5")</f>
        <v>https://www.facebook.com/faithjoan.gaerlan.5</v>
      </c>
      <c r="B1161" s="1" t="str">
        <f>IFERROR(__xludf.DUMMYFUNCTION("""COMPUTED_VALUE"""),"Faith Joan Gaerlan")</f>
        <v>Faith Joan Gaerlan</v>
      </c>
      <c r="C1161" s="1" t="str">
        <f>IFERROR(__xludf.DUMMYFUNCTION("""COMPUTED_VALUE"""),"Faith")</f>
        <v>Faith</v>
      </c>
      <c r="D1161" s="1" t="str">
        <f>IFERROR(__xludf.DUMMYFUNCTION("""COMPUTED_VALUE"""),"Joan Gaerlan")</f>
        <v>Joan Gaerlan</v>
      </c>
      <c r="E1161" s="1" t="str">
        <f>IFERROR(__xludf.DUMMYFUNCTION("""COMPUTED_VALUE"""),"#Liwanag sa Dilim. Tayo ang pag-asa ng bayan nasadlak sa dilim")</f>
        <v>#Liwanag sa Dilim. Tayo ang pag-asa ng bayan nasadlak sa dilim</v>
      </c>
      <c r="F1161" s="1">
        <f>IFERROR(__xludf.DUMMYFUNCTION("""COMPUTED_VALUE"""),17.0)</f>
        <v>17</v>
      </c>
      <c r="G1161" s="1" t="str">
        <f>IFERROR(__xludf.DUMMYFUNCTION("""COMPUTED_VALUE"""),"3 mos")</f>
        <v>3 mos</v>
      </c>
      <c r="H1161" s="1" t="str">
        <f>IFERROR(__xludf.DUMMYFUNCTION("""COMPUTED_VALUE"""),"comment")</f>
        <v>comment</v>
      </c>
      <c r="I116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1" s="1" t="str">
        <f>IFERROR(__xludf.DUMMYFUNCTION("""COMPUTED_VALUE"""),"2022-07-04T15:40:03.367Z")</f>
        <v>2022-07-04T15:40:03.367Z</v>
      </c>
      <c r="K1161" s="1"/>
    </row>
    <row r="1162">
      <c r="A1162" s="2" t="str">
        <f>IFERROR(__xludf.DUMMYFUNCTION("""COMPUTED_VALUE"""),"https://www.facebook.com/steve.tamayo.18")</f>
        <v>https://www.facebook.com/steve.tamayo.18</v>
      </c>
      <c r="B1162" s="1" t="str">
        <f>IFERROR(__xludf.DUMMYFUNCTION("""COMPUTED_VALUE"""),"Steve Tamayo")</f>
        <v>Steve Tamayo</v>
      </c>
      <c r="C1162" s="1" t="str">
        <f>IFERROR(__xludf.DUMMYFUNCTION("""COMPUTED_VALUE"""),"Steve")</f>
        <v>Steve</v>
      </c>
      <c r="D1162" s="1" t="str">
        <f>IFERROR(__xludf.DUMMYFUNCTION("""COMPUTED_VALUE"""),"Tamayo")</f>
        <v>Tamayo</v>
      </c>
      <c r="E1162" s="1" t="str">
        <f>IFERROR(__xludf.DUMMYFUNCTION("""COMPUTED_VALUE"""),"Ang boto ko ay para sa isang #GobyernongTapatAngatBuhayLahat at #MasRadikalAngMagmahal  #IdasalNa10to #LeniKikoAllTheWay  #CaMaNavaForLeniKiko #RockAndRosas #CaMaNaVaIsPink  #LugawIsWowSaDabaw #DabawIsPink #tarLENIqueño #TarlacIsPink #PUSOtarlac  #Masagan"&amp;"angANEhan  #NuevaEcijaIsPink #IpanaloNa10Ito #10RobredoPresident  #KikoISDAKey #KikoAngManokKo  #7PangilinanForVicePresident  #MASSKARApatDapatLeniKiko  #TeamRObredoPAngilinan2022 kasamahan para sa Senado iboto din ng straight, Atty Alex Lacson, Atty Sonn"&amp;"y Matula, Dean Chel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#CaMaNaVaIsPink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1162" s="1">
        <f>IFERROR(__xludf.DUMMYFUNCTION("""COMPUTED_VALUE"""),25.0)</f>
        <v>25</v>
      </c>
      <c r="G1162" s="1" t="str">
        <f>IFERROR(__xludf.DUMMYFUNCTION("""COMPUTED_VALUE"""),"3 mos")</f>
        <v>3 mos</v>
      </c>
      <c r="H1162" s="1" t="str">
        <f>IFERROR(__xludf.DUMMYFUNCTION("""COMPUTED_VALUE"""),"comment")</f>
        <v>comment</v>
      </c>
      <c r="I116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2" s="1" t="str">
        <f>IFERROR(__xludf.DUMMYFUNCTION("""COMPUTED_VALUE"""),"2022-07-04T15:40:03.367Z")</f>
        <v>2022-07-04T15:40:03.367Z</v>
      </c>
      <c r="K1162" s="1"/>
    </row>
    <row r="1163">
      <c r="A1163" s="2" t="str">
        <f>IFERROR(__xludf.DUMMYFUNCTION("""COMPUTED_VALUE"""),"https://www.facebook.com/inquisitive.mind.739")</f>
        <v>https://www.facebook.com/inquisitive.mind.739</v>
      </c>
      <c r="B1163" s="1" t="str">
        <f>IFERROR(__xludf.DUMMYFUNCTION("""COMPUTED_VALUE"""),"Ojae GR")</f>
        <v>Ojae GR</v>
      </c>
      <c r="C1163" s="1" t="str">
        <f>IFERROR(__xludf.DUMMYFUNCTION("""COMPUTED_VALUE"""),"Ojae")</f>
        <v>Ojae</v>
      </c>
      <c r="D1163" s="1" t="str">
        <f>IFERROR(__xludf.DUMMYFUNCTION("""COMPUTED_VALUE"""),"GR")</f>
        <v>GR</v>
      </c>
      <c r="E1163" s="1" t="str">
        <f>IFERROR(__xludf.DUMMYFUNCTION("""COMPUTED_VALUE"""),"Ang Ganda. Lagi laging may magandang pangyayari sa bawat rally Ng TroPa that sets them apart from the others.")</f>
        <v>Ang Ganda. Lagi laging may magandang pangyayari sa bawat rally Ng TroPa that sets them apart from the others.</v>
      </c>
      <c r="F1163" s="1">
        <f>IFERROR(__xludf.DUMMYFUNCTION("""COMPUTED_VALUE"""),169.0)</f>
        <v>169</v>
      </c>
      <c r="G1163" s="1" t="str">
        <f>IFERROR(__xludf.DUMMYFUNCTION("""COMPUTED_VALUE"""),"3 mos")</f>
        <v>3 mos</v>
      </c>
      <c r="H1163" s="1" t="str">
        <f>IFERROR(__xludf.DUMMYFUNCTION("""COMPUTED_VALUE"""),"comment")</f>
        <v>comment</v>
      </c>
      <c r="I116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3" s="1" t="str">
        <f>IFERROR(__xludf.DUMMYFUNCTION("""COMPUTED_VALUE"""),"2022-07-04T15:40:03.367Z")</f>
        <v>2022-07-04T15:40:03.367Z</v>
      </c>
      <c r="K1163" s="1"/>
    </row>
    <row r="1164">
      <c r="A1164" s="2" t="str">
        <f>IFERROR(__xludf.DUMMYFUNCTION("""COMPUTED_VALUE"""),"https://www.facebook.com/lian.calizo")</f>
        <v>https://www.facebook.com/lian.calizo</v>
      </c>
      <c r="B1164" s="1" t="str">
        <f>IFERROR(__xludf.DUMMYFUNCTION("""COMPUTED_VALUE"""),"Lian Calizo")</f>
        <v>Lian Calizo</v>
      </c>
      <c r="C1164" s="1" t="str">
        <f>IFERROR(__xludf.DUMMYFUNCTION("""COMPUTED_VALUE"""),"Lian")</f>
        <v>Lian</v>
      </c>
      <c r="D1164" s="1" t="str">
        <f>IFERROR(__xludf.DUMMYFUNCTION("""COMPUTED_VALUE"""),"Calizo")</f>
        <v>Calizo</v>
      </c>
      <c r="E1164" s="1" t="str">
        <f>IFERROR(__xludf.DUMMYFUNCTION("""COMPUTED_VALUE"""),"Ojae GR Laging may magic")</f>
        <v>Ojae GR Laging may magic</v>
      </c>
      <c r="F1164" s="1">
        <f>IFERROR(__xludf.DUMMYFUNCTION("""COMPUTED_VALUE"""),2.0)</f>
        <v>2</v>
      </c>
      <c r="G1164" s="1" t="str">
        <f>IFERROR(__xludf.DUMMYFUNCTION("""COMPUTED_VALUE"""),"3 mos")</f>
        <v>3 mos</v>
      </c>
      <c r="H1164" s="1" t="str">
        <f>IFERROR(__xludf.DUMMYFUNCTION("""COMPUTED_VALUE"""),"reply")</f>
        <v>reply</v>
      </c>
      <c r="I116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4" s="1" t="str">
        <f>IFERROR(__xludf.DUMMYFUNCTION("""COMPUTED_VALUE"""),"2022-07-04T15:40:03.367Z")</f>
        <v>2022-07-04T15:40:03.367Z</v>
      </c>
      <c r="K1164" s="1"/>
    </row>
    <row r="1165">
      <c r="A1165" s="2" t="str">
        <f>IFERROR(__xludf.DUMMYFUNCTION("""COMPUTED_VALUE"""),"https://www.facebook.com/lewizzz")</f>
        <v>https://www.facebook.com/lewizzz</v>
      </c>
      <c r="B1165" s="1" t="str">
        <f>IFERROR(__xludf.DUMMYFUNCTION("""COMPUTED_VALUE"""),"Amiel Lewis Mareposque")</f>
        <v>Amiel Lewis Mareposque</v>
      </c>
      <c r="C1165" s="1" t="str">
        <f>IFERROR(__xludf.DUMMYFUNCTION("""COMPUTED_VALUE"""),"Amiel")</f>
        <v>Amiel</v>
      </c>
      <c r="D1165" s="1" t="str">
        <f>IFERROR(__xludf.DUMMYFUNCTION("""COMPUTED_VALUE"""),"Lewis Mareposque")</f>
        <v>Lewis Mareposque</v>
      </c>
      <c r="E1165" s="1" t="str">
        <f>IFERROR(__xludf.DUMMYFUNCTION("""COMPUTED_VALUE"""),"Lian Calizo yup laging magical ang ganda")</f>
        <v>Lian Calizo yup laging magical ang ganda</v>
      </c>
      <c r="F1165" s="1">
        <f>IFERROR(__xludf.DUMMYFUNCTION("""COMPUTED_VALUE"""),3.0)</f>
        <v>3</v>
      </c>
      <c r="G1165" s="1" t="str">
        <f>IFERROR(__xludf.DUMMYFUNCTION("""COMPUTED_VALUE"""),"3 mos")</f>
        <v>3 mos</v>
      </c>
      <c r="H1165" s="1" t="str">
        <f>IFERROR(__xludf.DUMMYFUNCTION("""COMPUTED_VALUE"""),"reply")</f>
        <v>reply</v>
      </c>
      <c r="I116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5" s="1" t="str">
        <f>IFERROR(__xludf.DUMMYFUNCTION("""COMPUTED_VALUE"""),"2022-07-04T15:40:03.367Z")</f>
        <v>2022-07-04T15:40:03.367Z</v>
      </c>
      <c r="K1165" s="1"/>
    </row>
    <row r="1166">
      <c r="A1166" s="2" t="str">
        <f>IFERROR(__xludf.DUMMYFUNCTION("""COMPUTED_VALUE"""),"https://www.facebook.com/trish.arana.9")</f>
        <v>https://www.facebook.com/trish.arana.9</v>
      </c>
      <c r="B1166" s="1" t="str">
        <f>IFERROR(__xludf.DUMMYFUNCTION("""COMPUTED_VALUE"""),"Trish Araña")</f>
        <v>Trish Araña</v>
      </c>
      <c r="C1166" s="1" t="str">
        <f>IFERROR(__xludf.DUMMYFUNCTION("""COMPUTED_VALUE"""),"Trish")</f>
        <v>Trish</v>
      </c>
      <c r="D1166" s="1" t="str">
        <f>IFERROR(__xludf.DUMMYFUNCTION("""COMPUTED_VALUE"""),"Araña")</f>
        <v>Araña</v>
      </c>
      <c r="E1166" s="1" t="str">
        <f>IFERROR(__xludf.DUMMYFUNCTION("""COMPUTED_VALUE"""),"Ojae GR best of the Philippines!")</f>
        <v>Ojae GR best of the Philippines!</v>
      </c>
      <c r="F1166" s="1">
        <f>IFERROR(__xludf.DUMMYFUNCTION("""COMPUTED_VALUE"""),2.0)</f>
        <v>2</v>
      </c>
      <c r="G1166" s="1" t="str">
        <f>IFERROR(__xludf.DUMMYFUNCTION("""COMPUTED_VALUE"""),"3 mos")</f>
        <v>3 mos</v>
      </c>
      <c r="H1166" s="1" t="str">
        <f>IFERROR(__xludf.DUMMYFUNCTION("""COMPUTED_VALUE"""),"reply")</f>
        <v>reply</v>
      </c>
      <c r="I116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6" s="1" t="str">
        <f>IFERROR(__xludf.DUMMYFUNCTION("""COMPUTED_VALUE"""),"2022-07-04T15:40:03.367Z")</f>
        <v>2022-07-04T15:40:03.367Z</v>
      </c>
      <c r="K1166" s="1"/>
    </row>
    <row r="1167">
      <c r="A1167" s="2" t="str">
        <f>IFERROR(__xludf.DUMMYFUNCTION("""COMPUTED_VALUE"""),"https://www.facebook.com/cielo.dupayamendiola")</f>
        <v>https://www.facebook.com/cielo.dupayamendiola</v>
      </c>
      <c r="B1167" s="1" t="str">
        <f>IFERROR(__xludf.DUMMYFUNCTION("""COMPUTED_VALUE"""),"Cielo Dupaya Mendiola")</f>
        <v>Cielo Dupaya Mendiola</v>
      </c>
      <c r="C1167" s="1" t="str">
        <f>IFERROR(__xludf.DUMMYFUNCTION("""COMPUTED_VALUE"""),"Cielo")</f>
        <v>Cielo</v>
      </c>
      <c r="D1167" s="1" t="str">
        <f>IFERROR(__xludf.DUMMYFUNCTION("""COMPUTED_VALUE"""),"Dupaya Mendiola")</f>
        <v>Dupaya Mendiola</v>
      </c>
      <c r="E1167" s="1" t="str">
        <f>IFERROR(__xludf.DUMMYFUNCTION("""COMPUTED_VALUE"""),"Impressive! Congratulations po sa organizers and volunteers! 🌷🌸🌷")</f>
        <v>Impressive! Congratulations po sa organizers and volunteers! 🌷🌸🌷</v>
      </c>
      <c r="F1167" s="1">
        <f>IFERROR(__xludf.DUMMYFUNCTION("""COMPUTED_VALUE"""),19.0)</f>
        <v>19</v>
      </c>
      <c r="G1167" s="1" t="str">
        <f>IFERROR(__xludf.DUMMYFUNCTION("""COMPUTED_VALUE"""),"3 mos")</f>
        <v>3 mos</v>
      </c>
      <c r="H1167" s="1" t="str">
        <f>IFERROR(__xludf.DUMMYFUNCTION("""COMPUTED_VALUE"""),"comment")</f>
        <v>comment</v>
      </c>
      <c r="I116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7" s="1" t="str">
        <f>IFERROR(__xludf.DUMMYFUNCTION("""COMPUTED_VALUE"""),"2022-07-04T15:40:03.368Z")</f>
        <v>2022-07-04T15:40:03.368Z</v>
      </c>
      <c r="K1167" s="1"/>
    </row>
    <row r="1168">
      <c r="A1168" s="2" t="str">
        <f>IFERROR(__xludf.DUMMYFUNCTION("""COMPUTED_VALUE"""),"https://www.facebook.com/profile.php?id=100075207451456")</f>
        <v>https://www.facebook.com/profile.php?id=100075207451456</v>
      </c>
      <c r="B1168" s="1" t="str">
        <f>IFERROR(__xludf.DUMMYFUNCTION("""COMPUTED_VALUE"""),"Gina P Raviz")</f>
        <v>Gina P Raviz</v>
      </c>
      <c r="C1168" s="1" t="str">
        <f>IFERROR(__xludf.DUMMYFUNCTION("""COMPUTED_VALUE"""),"Gina")</f>
        <v>Gina</v>
      </c>
      <c r="D1168" s="1" t="str">
        <f>IFERROR(__xludf.DUMMYFUNCTION("""COMPUTED_VALUE"""),"P Raviz")</f>
        <v>P Raviz</v>
      </c>
      <c r="E1168" s="1" t="str">
        <f>IFERROR(__xludf.DUMMYFUNCTION("""COMPUTED_VALUE"""),"The darkness for Earth Hour and everyone’s raising their phones to give each other light. What a symbolism. Ang ganda super I watched it live 💗💗💗🌸🌸🌸 #CaMaNaVaIsPink #LeniKiko2022")</f>
        <v>The darkness for Earth Hour and everyone’s raising their phones to give each other light. What a symbolism. Ang ganda super I watched it live 💗💗💗🌸🌸🌸 #CaMaNaVaIsPink #LeniKiko2022</v>
      </c>
      <c r="F1168" s="1">
        <f>IFERROR(__xludf.DUMMYFUNCTION("""COMPUTED_VALUE"""),208.0)</f>
        <v>208</v>
      </c>
      <c r="G1168" s="1" t="str">
        <f>IFERROR(__xludf.DUMMYFUNCTION("""COMPUTED_VALUE"""),"3 mos")</f>
        <v>3 mos</v>
      </c>
      <c r="H1168" s="1" t="str">
        <f>IFERROR(__xludf.DUMMYFUNCTION("""COMPUTED_VALUE"""),"comment")</f>
        <v>comment</v>
      </c>
      <c r="I116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8" s="1" t="str">
        <f>IFERROR(__xludf.DUMMYFUNCTION("""COMPUTED_VALUE"""),"2022-07-04T15:40:03.368Z")</f>
        <v>2022-07-04T15:40:03.368Z</v>
      </c>
      <c r="K1168" s="1"/>
    </row>
    <row r="1169">
      <c r="A1169" s="2" t="str">
        <f>IFERROR(__xludf.DUMMYFUNCTION("""COMPUTED_VALUE"""),"https://www.facebook.com/legong.banez.9")</f>
        <v>https://www.facebook.com/legong.banez.9</v>
      </c>
      <c r="B1169" s="1" t="str">
        <f>IFERROR(__xludf.DUMMYFUNCTION("""COMPUTED_VALUE"""),"Legong Banez")</f>
        <v>Legong Banez</v>
      </c>
      <c r="C1169" s="1" t="str">
        <f>IFERROR(__xludf.DUMMYFUNCTION("""COMPUTED_VALUE"""),"Legong")</f>
        <v>Legong</v>
      </c>
      <c r="D1169" s="1" t="str">
        <f>IFERROR(__xludf.DUMMYFUNCTION("""COMPUTED_VALUE"""),"Banez")</f>
        <v>Banez</v>
      </c>
      <c r="E1169" s="1" t="str">
        <f>IFERROR(__xludf.DUMMYFUNCTION("""COMPUTED_VALUE"""),"Gina P Raviz #may Leniwanag sa Dilim")</f>
        <v>Gina P Raviz #may Leniwanag sa Dilim</v>
      </c>
      <c r="F1169" s="1">
        <f>IFERROR(__xludf.DUMMYFUNCTION("""COMPUTED_VALUE"""),3.0)</f>
        <v>3</v>
      </c>
      <c r="G1169" s="1" t="str">
        <f>IFERROR(__xludf.DUMMYFUNCTION("""COMPUTED_VALUE"""),"3 mos")</f>
        <v>3 mos</v>
      </c>
      <c r="H1169" s="1" t="str">
        <f>IFERROR(__xludf.DUMMYFUNCTION("""COMPUTED_VALUE"""),"reply")</f>
        <v>reply</v>
      </c>
      <c r="I116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69" s="1" t="str">
        <f>IFERROR(__xludf.DUMMYFUNCTION("""COMPUTED_VALUE"""),"2022-07-04T15:40:03.368Z")</f>
        <v>2022-07-04T15:40:03.368Z</v>
      </c>
      <c r="K1169" s="1"/>
    </row>
    <row r="1170">
      <c r="A1170" s="2" t="str">
        <f>IFERROR(__xludf.DUMMYFUNCTION("""COMPUTED_VALUE"""),"https://www.facebook.com/marite513")</f>
        <v>https://www.facebook.com/marite513</v>
      </c>
      <c r="B1170" s="1" t="str">
        <f>IFERROR(__xludf.DUMMYFUNCTION("""COMPUTED_VALUE"""),"Marite Damsani")</f>
        <v>Marite Damsani</v>
      </c>
      <c r="C1170" s="1" t="str">
        <f>IFERROR(__xludf.DUMMYFUNCTION("""COMPUTED_VALUE"""),"Marite")</f>
        <v>Marite</v>
      </c>
      <c r="D1170" s="1" t="str">
        <f>IFERROR(__xludf.DUMMYFUNCTION("""COMPUTED_VALUE"""),"Damsani")</f>
        <v>Damsani</v>
      </c>
      <c r="E1170" s="1" t="str">
        <f>IFERROR(__xludf.DUMMYFUNCTION("""COMPUTED_VALUE"""),"Mabuhay ang mga taga Caloocan, Malabon, Navotas at Valenzuela! God bless you all! Ang gagaling ninyo!")</f>
        <v>Mabuhay ang mga taga Caloocan, Malabon, Navotas at Valenzuela! God bless you all! Ang gagaling ninyo!</v>
      </c>
      <c r="F1170" s="1">
        <f>IFERROR(__xludf.DUMMYFUNCTION("""COMPUTED_VALUE"""),11.0)</f>
        <v>11</v>
      </c>
      <c r="G1170" s="1" t="str">
        <f>IFERROR(__xludf.DUMMYFUNCTION("""COMPUTED_VALUE"""),"3 mos")</f>
        <v>3 mos</v>
      </c>
      <c r="H1170" s="1" t="str">
        <f>IFERROR(__xludf.DUMMYFUNCTION("""COMPUTED_VALUE"""),"comment")</f>
        <v>comment</v>
      </c>
      <c r="I117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0" s="1" t="str">
        <f>IFERROR(__xludf.DUMMYFUNCTION("""COMPUTED_VALUE"""),"2022-07-04T15:40:03.368Z")</f>
        <v>2022-07-04T15:40:03.368Z</v>
      </c>
      <c r="K1170" s="1"/>
    </row>
    <row r="1171">
      <c r="A1171" s="2" t="str">
        <f>IFERROR(__xludf.DUMMYFUNCTION("""COMPUTED_VALUE"""),"https://www.facebook.com/siguenza.med96")</f>
        <v>https://www.facebook.com/siguenza.med96</v>
      </c>
      <c r="B1171" s="1" t="str">
        <f>IFERROR(__xludf.DUMMYFUNCTION("""COMPUTED_VALUE"""),"Siguenza Med")</f>
        <v>Siguenza Med</v>
      </c>
      <c r="C1171" s="1" t="str">
        <f>IFERROR(__xludf.DUMMYFUNCTION("""COMPUTED_VALUE"""),"Siguenza")</f>
        <v>Siguenza</v>
      </c>
      <c r="D1171" s="1" t="str">
        <f>IFERROR(__xludf.DUMMYFUNCTION("""COMPUTED_VALUE"""),"Med")</f>
        <v>Med</v>
      </c>
      <c r="E1171" s="1" t="str">
        <f>IFERROR(__xludf.DUMMYFUNCTION("""COMPUTED_VALUE"""),"Unity with the world for our Mother Earth. #GobyernongTapatAngatBuhayLahat")</f>
        <v>Unity with the world for our Mother Earth. #GobyernongTapatAngatBuhayLahat</v>
      </c>
      <c r="F1171" s="1">
        <f>IFERROR(__xludf.DUMMYFUNCTION("""COMPUTED_VALUE"""),49.0)</f>
        <v>49</v>
      </c>
      <c r="G1171" s="1" t="str">
        <f>IFERROR(__xludf.DUMMYFUNCTION("""COMPUTED_VALUE"""),"3 mos")</f>
        <v>3 mos</v>
      </c>
      <c r="H1171" s="1" t="str">
        <f>IFERROR(__xludf.DUMMYFUNCTION("""COMPUTED_VALUE"""),"comment")</f>
        <v>comment</v>
      </c>
      <c r="I117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1" s="1" t="str">
        <f>IFERROR(__xludf.DUMMYFUNCTION("""COMPUTED_VALUE"""),"2022-07-04T15:40:03.368Z")</f>
        <v>2022-07-04T15:40:03.368Z</v>
      </c>
      <c r="K1171" s="1"/>
    </row>
    <row r="1172">
      <c r="A1172" s="2" t="str">
        <f>IFERROR(__xludf.DUMMYFUNCTION("""COMPUTED_VALUE"""),"https://www.facebook.com/myyaJrosales")</f>
        <v>https://www.facebook.com/myyaJrosales</v>
      </c>
      <c r="B1172" s="1" t="str">
        <f>IFERROR(__xludf.DUMMYFUNCTION("""COMPUTED_VALUE"""),"Myya Jacoba-Rosales")</f>
        <v>Myya Jacoba-Rosales</v>
      </c>
      <c r="C1172" s="1" t="str">
        <f>IFERROR(__xludf.DUMMYFUNCTION("""COMPUTED_VALUE"""),"Myya")</f>
        <v>Myya</v>
      </c>
      <c r="D1172" s="1" t="str">
        <f>IFERROR(__xludf.DUMMYFUNCTION("""COMPUTED_VALUE"""),"Jacoba-Rosales")</f>
        <v>Jacoba-Rosales</v>
      </c>
      <c r="E1172" s="1" t="str">
        <f>IFERROR(__xludf.DUMMYFUNCTION("""COMPUTED_VALUE"""),"Beautiful... talagang na kay #LeniKiko2022 ang Pag-Asa!  #CaMaNaVaIsPink #LeniKikoAllTheWay  #RosasAngKulayNgBukas #GobyernongTapatAngatBuhayLahat #KayLeniKikoPanaloAngPilipino #HusayAtTibay #BangonPilipinas #IpanaloNa10To")</f>
        <v>Beautiful... talagang na kay #LeniKiko2022 ang Pag-Asa!  #CaMaNaVaIsPink #LeniKikoAllTheWay  #RosasAngKulayNgBukas #GobyernongTapatAngatBuhayLahat #KayLeniKikoPanaloAngPilipino #HusayAtTibay #BangonPilipinas #IpanaloNa10To</v>
      </c>
      <c r="F1172" s="1">
        <f>IFERROR(__xludf.DUMMYFUNCTION("""COMPUTED_VALUE"""),6.0)</f>
        <v>6</v>
      </c>
      <c r="G1172" s="1" t="str">
        <f>IFERROR(__xludf.DUMMYFUNCTION("""COMPUTED_VALUE"""),"3 mos")</f>
        <v>3 mos</v>
      </c>
      <c r="H1172" s="1" t="str">
        <f>IFERROR(__xludf.DUMMYFUNCTION("""COMPUTED_VALUE"""),"comment")</f>
        <v>comment</v>
      </c>
      <c r="I117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2" s="1" t="str">
        <f>IFERROR(__xludf.DUMMYFUNCTION("""COMPUTED_VALUE"""),"2022-07-04T15:40:03.368Z")</f>
        <v>2022-07-04T15:40:03.368Z</v>
      </c>
      <c r="K1172" s="1"/>
    </row>
    <row r="1173">
      <c r="A1173" s="2" t="str">
        <f>IFERROR(__xludf.DUMMYFUNCTION("""COMPUTED_VALUE"""),"https://www.facebook.com/ventura.mariejane")</f>
        <v>https://www.facebook.com/ventura.mariejane</v>
      </c>
      <c r="B1173" s="1" t="str">
        <f>IFERROR(__xludf.DUMMYFUNCTION("""COMPUTED_VALUE"""),"Jane Maltu Ventura")</f>
        <v>Jane Maltu Ventura</v>
      </c>
      <c r="C1173" s="1" t="str">
        <f>IFERROR(__xludf.DUMMYFUNCTION("""COMPUTED_VALUE"""),"Jane")</f>
        <v>Jane</v>
      </c>
      <c r="D1173" s="1" t="str">
        <f>IFERROR(__xludf.DUMMYFUNCTION("""COMPUTED_VALUE"""),"Maltu Ventura")</f>
        <v>Maltu Ventura</v>
      </c>
      <c r="E1173" s="1" t="str">
        <f>IFERROR(__xludf.DUMMYFUNCTION("""COMPUTED_VALUE"""),"For better Philippines  The best Man for the job is a Woman 👠👠 #IpanaloNa10T #CaMaNaVaIsPink  #RockandRosas  #LeniKiko2022 #10RobredoForPresident  #7KikoPangilinanVicePresident  #TrillanesForSenator2022  #LeilaDeLima2022  #RisaHontiveros2022  #SonnyMatu"&amp;"la2022  #AlexLacson2022  #ChelDioknoSaSenado  #DickGordon #NeriComenares #AngatBuhayLahat #KulayRosasAngBukas  #GobyernongTapatAngatBuhayLahat  #HelloPagkainGoodbyeGutom")</f>
        <v>For better Philippines  The best Man for the job is a Woman 👠👠 #IpanaloNa10T #CaMaNaVaIsPink  #RockandRosas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v>
      </c>
      <c r="F1173" s="1"/>
      <c r="G1173" s="1" t="str">
        <f>IFERROR(__xludf.DUMMYFUNCTION("""COMPUTED_VALUE"""),"3 mos")</f>
        <v>3 mos</v>
      </c>
      <c r="H1173" s="1" t="str">
        <f>IFERROR(__xludf.DUMMYFUNCTION("""COMPUTED_VALUE"""),"comment")</f>
        <v>comment</v>
      </c>
      <c r="I117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3" s="1" t="str">
        <f>IFERROR(__xludf.DUMMYFUNCTION("""COMPUTED_VALUE"""),"2022-07-04T15:40:03.368Z")</f>
        <v>2022-07-04T15:40:03.368Z</v>
      </c>
      <c r="K1173" s="1"/>
    </row>
    <row r="1174">
      <c r="A1174" s="2" t="str">
        <f>IFERROR(__xludf.DUMMYFUNCTION("""COMPUTED_VALUE"""),"https://www.facebook.com/ditas.ravanilla")</f>
        <v>https://www.facebook.com/ditas.ravanilla</v>
      </c>
      <c r="B1174" s="1" t="str">
        <f>IFERROR(__xludf.DUMMYFUNCTION("""COMPUTED_VALUE"""),"Ditas Ravanilla")</f>
        <v>Ditas Ravanilla</v>
      </c>
      <c r="C1174" s="1" t="str">
        <f>IFERROR(__xludf.DUMMYFUNCTION("""COMPUTED_VALUE"""),"Ditas")</f>
        <v>Ditas</v>
      </c>
      <c r="D1174" s="1" t="str">
        <f>IFERROR(__xludf.DUMMYFUNCTION("""COMPUTED_VALUE"""),"Ravanilla")</f>
        <v>Ravanilla</v>
      </c>
      <c r="E1174" s="1" t="str">
        <f>IFERROR(__xludf.DUMMYFUNCTION("""COMPUTED_VALUE"""),"Marunong magkalinga hindi lamang ng sambayanang Pilipino kundi pati na rin ng kalikasan! Tara na sa #GobyernongTapat kung saan #AngatBuhayLahat at #KulayRosasAngBukas! #IpanaloNa10To #LeniKikoAllTheWay 🌷❤🌷❤🌷❤")</f>
        <v>Marunong magkalinga hindi lamang ng sambayanang Pilipino kundi pati na rin ng kalikasan! Tara na sa #GobyernongTapat kung saan #AngatBuhayLahat at #KulayRosasAngBukas! #IpanaloNa10To #LeniKikoAllTheWay 🌷❤🌷❤🌷❤</v>
      </c>
      <c r="F1174" s="1">
        <f>IFERROR(__xludf.DUMMYFUNCTION("""COMPUTED_VALUE"""),1.0)</f>
        <v>1</v>
      </c>
      <c r="G1174" s="1" t="str">
        <f>IFERROR(__xludf.DUMMYFUNCTION("""COMPUTED_VALUE"""),"3 mos")</f>
        <v>3 mos</v>
      </c>
      <c r="H1174" s="1" t="str">
        <f>IFERROR(__xludf.DUMMYFUNCTION("""COMPUTED_VALUE"""),"comment")</f>
        <v>comment</v>
      </c>
      <c r="I117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4" s="1" t="str">
        <f>IFERROR(__xludf.DUMMYFUNCTION("""COMPUTED_VALUE"""),"2022-07-04T15:40:03.368Z")</f>
        <v>2022-07-04T15:40:03.368Z</v>
      </c>
      <c r="K1174" s="1"/>
    </row>
    <row r="1175">
      <c r="A1175" s="2" t="str">
        <f>IFERROR(__xludf.DUMMYFUNCTION("""COMPUTED_VALUE"""),"https://www.facebook.com/felicidad.lala.7")</f>
        <v>https://www.facebook.com/felicidad.lala.7</v>
      </c>
      <c r="B1175" s="1" t="str">
        <f>IFERROR(__xludf.DUMMYFUNCTION("""COMPUTED_VALUE"""),"Felicidad Lala")</f>
        <v>Felicidad Lala</v>
      </c>
      <c r="C1175" s="1" t="str">
        <f>IFERROR(__xludf.DUMMYFUNCTION("""COMPUTED_VALUE"""),"Felicidad")</f>
        <v>Felicidad</v>
      </c>
      <c r="D1175" s="1" t="str">
        <f>IFERROR(__xludf.DUMMYFUNCTION("""COMPUTED_VALUE"""),"Lala")</f>
        <v>Lala</v>
      </c>
      <c r="E1175" s="1" t="str">
        <f>IFERROR(__xludf.DUMMYFUNCTION("""COMPUTED_VALUE"""),"Congratulations sa mga organizers! Excellent para sa akin mga gawa nyo! GOD LOVES A CHEERFUL GIVER! time, talent and treasure na i share because of radical ang magmahal. God bless your heart!")</f>
        <v>Congratulations sa mga organizers! Excellent para sa akin mga gawa nyo! GOD LOVES A CHEERFUL GIVER! time, talent and treasure na i share because of radical ang magmahal. God bless your heart!</v>
      </c>
      <c r="F1175" s="1">
        <f>IFERROR(__xludf.DUMMYFUNCTION("""COMPUTED_VALUE"""),3.0)</f>
        <v>3</v>
      </c>
      <c r="G1175" s="1" t="str">
        <f>IFERROR(__xludf.DUMMYFUNCTION("""COMPUTED_VALUE"""),"3 mos")</f>
        <v>3 mos</v>
      </c>
      <c r="H1175" s="1" t="str">
        <f>IFERROR(__xludf.DUMMYFUNCTION("""COMPUTED_VALUE"""),"comment")</f>
        <v>comment</v>
      </c>
      <c r="I117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5" s="1" t="str">
        <f>IFERROR(__xludf.DUMMYFUNCTION("""COMPUTED_VALUE"""),"2022-07-04T15:40:03.368Z")</f>
        <v>2022-07-04T15:40:03.368Z</v>
      </c>
      <c r="K1175" s="1"/>
    </row>
    <row r="1176">
      <c r="A1176" s="2" t="str">
        <f>IFERROR(__xludf.DUMMYFUNCTION("""COMPUTED_VALUE"""),"https://www.facebook.com/ajejejejejelly")</f>
        <v>https://www.facebook.com/ajejejejejelly</v>
      </c>
      <c r="B1176" s="1" t="str">
        <f>IFERROR(__xludf.DUMMYFUNCTION("""COMPUTED_VALUE"""),"김젤리")</f>
        <v>김젤리</v>
      </c>
      <c r="C1176" s="1" t="str">
        <f>IFERROR(__xludf.DUMMYFUNCTION("""COMPUTED_VALUE"""),"김젤리")</f>
        <v>김젤리</v>
      </c>
      <c r="D1176" s="1"/>
      <c r="E1176" s="1" t="str">
        <f>IFERROR(__xludf.DUMMYFUNCTION("""COMPUTED_VALUE"""),"I stan the right president 💗💗💗💗 observing and participating in Earth Hour 💗💗")</f>
        <v>I stan the right president 💗💗💗💗 observing and participating in Earth Hour 💗💗</v>
      </c>
      <c r="F1176" s="1">
        <f>IFERROR(__xludf.DUMMYFUNCTION("""COMPUTED_VALUE"""),2.0)</f>
        <v>2</v>
      </c>
      <c r="G1176" s="1" t="str">
        <f>IFERROR(__xludf.DUMMYFUNCTION("""COMPUTED_VALUE"""),"3 mos")</f>
        <v>3 mos</v>
      </c>
      <c r="H1176" s="1" t="str">
        <f>IFERROR(__xludf.DUMMYFUNCTION("""COMPUTED_VALUE"""),"comment")</f>
        <v>comment</v>
      </c>
      <c r="I117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6" s="1" t="str">
        <f>IFERROR(__xludf.DUMMYFUNCTION("""COMPUTED_VALUE"""),"2022-07-04T15:40:03.368Z")</f>
        <v>2022-07-04T15:40:03.368Z</v>
      </c>
      <c r="K1176" s="1"/>
    </row>
    <row r="1177">
      <c r="A1177" s="2" t="str">
        <f>IFERROR(__xludf.DUMMYFUNCTION("""COMPUTED_VALUE"""),"https://www.facebook.com/christinejoy.cabrera.92")</f>
        <v>https://www.facebook.com/christinejoy.cabrera.92</v>
      </c>
      <c r="B1177" s="1" t="str">
        <f>IFERROR(__xludf.DUMMYFUNCTION("""COMPUTED_VALUE"""),"Christine Joy Cabrera")</f>
        <v>Christine Joy Cabrera</v>
      </c>
      <c r="C1177" s="1" t="str">
        <f>IFERROR(__xludf.DUMMYFUNCTION("""COMPUTED_VALUE"""),"Christine")</f>
        <v>Christine</v>
      </c>
      <c r="D1177" s="1" t="str">
        <f>IFERROR(__xludf.DUMMYFUNCTION("""COMPUTED_VALUE"""),"Joy Cabrera")</f>
        <v>Joy Cabrera</v>
      </c>
      <c r="E1177" s="1" t="str">
        <f>IFERROR(__xludf.DUMMYFUNCTION("""COMPUTED_VALUE"""),"김젤리 based nezuko")</f>
        <v>김젤리 based nezuko</v>
      </c>
      <c r="F1177" s="1"/>
      <c r="G1177" s="1" t="str">
        <f>IFERROR(__xludf.DUMMYFUNCTION("""COMPUTED_VALUE"""),"3 mos")</f>
        <v>3 mos</v>
      </c>
      <c r="H1177" s="1" t="str">
        <f>IFERROR(__xludf.DUMMYFUNCTION("""COMPUTED_VALUE"""),"reply")</f>
        <v>reply</v>
      </c>
      <c r="I117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7" s="1" t="str">
        <f>IFERROR(__xludf.DUMMYFUNCTION("""COMPUTED_VALUE"""),"2022-07-04T15:40:03.368Z")</f>
        <v>2022-07-04T15:40:03.368Z</v>
      </c>
      <c r="K1177" s="1"/>
    </row>
    <row r="1178">
      <c r="A1178" s="2" t="str">
        <f>IFERROR(__xludf.DUMMYFUNCTION("""COMPUTED_VALUE"""),"https://www.facebook.com/nilo.seda")</f>
        <v>https://www.facebook.com/nilo.seda</v>
      </c>
      <c r="B1178" s="1" t="str">
        <f>IFERROR(__xludf.DUMMYFUNCTION("""COMPUTED_VALUE"""),"Nilo Sasot Seda")</f>
        <v>Nilo Sasot Seda</v>
      </c>
      <c r="C1178" s="1" t="str">
        <f>IFERROR(__xludf.DUMMYFUNCTION("""COMPUTED_VALUE"""),"Nilo")</f>
        <v>Nilo</v>
      </c>
      <c r="D1178" s="1" t="str">
        <f>IFERROR(__xludf.DUMMYFUNCTION("""COMPUTED_VALUE"""),"Sasot Seda")</f>
        <v>Sasot Seda</v>
      </c>
      <c r="E1178" s="1" t="str">
        <f>IFERROR(__xludf.DUMMYFUNCTION("""COMPUTED_VALUE"""),"SALAMAT CAMANAVA SA SUPORTA SA LENIKIKO TEAM AT SA LAHAT PO NG VOLUNTEERS, AT PERFORMERS SULIT ANG PAGOD AT UMUWING. MASASAYA. GABAYAN TAYO NG DIYOS SA LAHAT NG RALLY NG LENIKIKO TEAM.")</f>
        <v>SALAMAT CAMANAVA SA SUPORTA SA LENIKIKO TEAM AT SA LAHAT PO NG VOLUNTEERS, AT PERFORMERS SULIT ANG PAGOD AT UMUWING. MASASAYA. GABAYAN TAYO NG DIYOS SA LAHAT NG RALLY NG LENIKIKO TEAM.</v>
      </c>
      <c r="F1178" s="1">
        <f>IFERROR(__xludf.DUMMYFUNCTION("""COMPUTED_VALUE"""),2.0)</f>
        <v>2</v>
      </c>
      <c r="G1178" s="1" t="str">
        <f>IFERROR(__xludf.DUMMYFUNCTION("""COMPUTED_VALUE"""),"3 mos")</f>
        <v>3 mos</v>
      </c>
      <c r="H1178" s="1" t="str">
        <f>IFERROR(__xludf.DUMMYFUNCTION("""COMPUTED_VALUE"""),"comment")</f>
        <v>comment</v>
      </c>
      <c r="I117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8" s="1" t="str">
        <f>IFERROR(__xludf.DUMMYFUNCTION("""COMPUTED_VALUE"""),"2022-07-04T15:40:03.368Z")</f>
        <v>2022-07-04T15:40:03.368Z</v>
      </c>
      <c r="K1178" s="1"/>
    </row>
    <row r="1179">
      <c r="A1179" s="2" t="str">
        <f>IFERROR(__xludf.DUMMYFUNCTION("""COMPUTED_VALUE"""),"https://www.facebook.com/jeremiasmoronjr")</f>
        <v>https://www.facebook.com/jeremiasmoronjr</v>
      </c>
      <c r="B1179" s="1" t="str">
        <f>IFERROR(__xludf.DUMMYFUNCTION("""COMPUTED_VALUE"""),"Jeremias Morron Jr.")</f>
        <v>Jeremias Morron Jr.</v>
      </c>
      <c r="C1179" s="1" t="str">
        <f>IFERROR(__xludf.DUMMYFUNCTION("""COMPUTED_VALUE"""),"Jeremias")</f>
        <v>Jeremias</v>
      </c>
      <c r="D1179" s="1" t="str">
        <f>IFERROR(__xludf.DUMMYFUNCTION("""COMPUTED_VALUE"""),"Morron Jr.")</f>
        <v>Morron Jr.</v>
      </c>
      <c r="E1179" s="1" t="str">
        <f>IFERROR(__xludf.DUMMYFUNCTION("""COMPUTED_VALUE"""),"Ipanalo na10 ito #10RobredoForPresident #7KikoPangilinanVicePresident #61TESDAMAN #GobyernongTapat #AngatBuhayLahat #CaMaNaVaIsPink #CaMaNavaForLeniKiko")</f>
        <v>Ipanalo na10 ito #10RobredoForPresident #7KikoPangilinanVicePresident #61TESDAMAN #GobyernongTapat #AngatBuhayLahat #CaMaNaVaIsPink #CaMaNavaForLeniKiko</v>
      </c>
      <c r="F1179" s="1"/>
      <c r="G1179" s="1" t="str">
        <f>IFERROR(__xludf.DUMMYFUNCTION("""COMPUTED_VALUE"""),"3 mos")</f>
        <v>3 mos</v>
      </c>
      <c r="H1179" s="1" t="str">
        <f>IFERROR(__xludf.DUMMYFUNCTION("""COMPUTED_VALUE"""),"comment")</f>
        <v>comment</v>
      </c>
      <c r="I117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79" s="1" t="str">
        <f>IFERROR(__xludf.DUMMYFUNCTION("""COMPUTED_VALUE"""),"2022-07-04T15:40:03.368Z")</f>
        <v>2022-07-04T15:40:03.368Z</v>
      </c>
      <c r="K1179" s="1"/>
    </row>
    <row r="1180">
      <c r="A1180" s="2" t="str">
        <f>IFERROR(__xludf.DUMMYFUNCTION("""COMPUTED_VALUE"""),"https://www.facebook.com/winet.bautista")</f>
        <v>https://www.facebook.com/winet.bautista</v>
      </c>
      <c r="B1180" s="1" t="str">
        <f>IFERROR(__xludf.DUMMYFUNCTION("""COMPUTED_VALUE"""),"Winet Bautista")</f>
        <v>Winet Bautista</v>
      </c>
      <c r="C1180" s="1" t="str">
        <f>IFERROR(__xludf.DUMMYFUNCTION("""COMPUTED_VALUE"""),"Winet")</f>
        <v>Winet</v>
      </c>
      <c r="D1180" s="1" t="str">
        <f>IFERROR(__xludf.DUMMYFUNCTION("""COMPUTED_VALUE"""),"Bautista")</f>
        <v>Bautista</v>
      </c>
      <c r="E1180" s="1" t="str">
        <f>IFERROR(__xludf.DUMMYFUNCTION("""COMPUTED_VALUE"""),"Wow! Beautiful!!! Fight, fight, fight, CAMANAVA!!!  #CAMANAVAisPink #CAMANAVARockAndRosas #IpanaloNa10To #LeniKiko2022 #AngatBuhayLahat")</f>
        <v>Wow! Beautiful!!! Fight, fight, fight, CAMANAVA!!!  #CAMANAVAisPink #CAMANAVARockAndRosas #IpanaloNa10To #LeniKiko2022 #AngatBuhayLahat</v>
      </c>
      <c r="F1180" s="1">
        <f>IFERROR(__xludf.DUMMYFUNCTION("""COMPUTED_VALUE"""),1.0)</f>
        <v>1</v>
      </c>
      <c r="G1180" s="1" t="str">
        <f>IFERROR(__xludf.DUMMYFUNCTION("""COMPUTED_VALUE"""),"3 mos")</f>
        <v>3 mos</v>
      </c>
      <c r="H1180" s="1" t="str">
        <f>IFERROR(__xludf.DUMMYFUNCTION("""COMPUTED_VALUE"""),"comment")</f>
        <v>comment</v>
      </c>
      <c r="I118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0" s="1" t="str">
        <f>IFERROR(__xludf.DUMMYFUNCTION("""COMPUTED_VALUE"""),"2022-07-04T15:40:03.368Z")</f>
        <v>2022-07-04T15:40:03.368Z</v>
      </c>
      <c r="K1180" s="1"/>
    </row>
    <row r="1181">
      <c r="A1181" s="2" t="str">
        <f>IFERROR(__xludf.DUMMYFUNCTION("""COMPUTED_VALUE"""),"https://www.facebook.com/yisamagallanes")</f>
        <v>https://www.facebook.com/yisamagallanes</v>
      </c>
      <c r="B1181" s="1" t="str">
        <f>IFERROR(__xludf.DUMMYFUNCTION("""COMPUTED_VALUE"""),"Ds Llanes")</f>
        <v>Ds Llanes</v>
      </c>
      <c r="C1181" s="1" t="str">
        <f>IFERROR(__xludf.DUMMYFUNCTION("""COMPUTED_VALUE"""),"Ds")</f>
        <v>Ds</v>
      </c>
      <c r="D1181" s="1" t="str">
        <f>IFERROR(__xludf.DUMMYFUNCTION("""COMPUTED_VALUE"""),"Llanes")</f>
        <v>Llanes</v>
      </c>
      <c r="E1181" s="1" t="str">
        <f>IFERROR(__xludf.DUMMYFUNCTION("""COMPUTED_VALUE"""),"Amazing 🌸🎀🌸 #GobyernongTapatAngatBuhayLahat  #LetLeniKikoLead2022  Mabuhay mga Kakampink 🌸💗🌸")</f>
        <v>Amazing 🌸🎀🌸 #GobyernongTapatAngatBuhayLahat  #LetLeniKikoLead2022  Mabuhay mga Kakampink 🌸💗🌸</v>
      </c>
      <c r="F1181" s="1">
        <f>IFERROR(__xludf.DUMMYFUNCTION("""COMPUTED_VALUE"""),7.0)</f>
        <v>7</v>
      </c>
      <c r="G1181" s="1" t="str">
        <f>IFERROR(__xludf.DUMMYFUNCTION("""COMPUTED_VALUE"""),"3 mos")</f>
        <v>3 mos</v>
      </c>
      <c r="H1181" s="1" t="str">
        <f>IFERROR(__xludf.DUMMYFUNCTION("""COMPUTED_VALUE"""),"comment")</f>
        <v>comment</v>
      </c>
      <c r="I118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1" s="1" t="str">
        <f>IFERROR(__xludf.DUMMYFUNCTION("""COMPUTED_VALUE"""),"2022-07-04T15:40:03.368Z")</f>
        <v>2022-07-04T15:40:03.368Z</v>
      </c>
      <c r="K1181" s="1"/>
    </row>
    <row r="1182">
      <c r="A1182" s="2" t="str">
        <f>IFERROR(__xludf.DUMMYFUNCTION("""COMPUTED_VALUE"""),"https://www.facebook.com/haidi.lim")</f>
        <v>https://www.facebook.com/haidi.lim</v>
      </c>
      <c r="B1182" s="1" t="str">
        <f>IFERROR(__xludf.DUMMYFUNCTION("""COMPUTED_VALUE"""),"Haidi Lim")</f>
        <v>Haidi Lim</v>
      </c>
      <c r="C1182" s="1" t="str">
        <f>IFERROR(__xludf.DUMMYFUNCTION("""COMPUTED_VALUE"""),"Haidi")</f>
        <v>Haidi</v>
      </c>
      <c r="D1182" s="1" t="str">
        <f>IFERROR(__xludf.DUMMYFUNCTION("""COMPUTED_VALUE"""),"Lim")</f>
        <v>Lim</v>
      </c>
      <c r="E1182" s="1" t="str">
        <f>IFERROR(__xludf.DUMMYFUNCTION("""COMPUTED_VALUE"""),"Ang ganda naman nyan panalo na naman mga kakampink God bless all of you and more power and energy")</f>
        <v>Ang ganda naman nyan panalo na naman mga kakampink God bless all of you and more power and energy</v>
      </c>
      <c r="F1182" s="1">
        <f>IFERROR(__xludf.DUMMYFUNCTION("""COMPUTED_VALUE"""),2.0)</f>
        <v>2</v>
      </c>
      <c r="G1182" s="1" t="str">
        <f>IFERROR(__xludf.DUMMYFUNCTION("""COMPUTED_VALUE"""),"3 mos")</f>
        <v>3 mos</v>
      </c>
      <c r="H1182" s="1" t="str">
        <f>IFERROR(__xludf.DUMMYFUNCTION("""COMPUTED_VALUE"""),"comment")</f>
        <v>comment</v>
      </c>
      <c r="I118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2" s="1" t="str">
        <f>IFERROR(__xludf.DUMMYFUNCTION("""COMPUTED_VALUE"""),"2022-07-04T15:40:03.368Z")</f>
        <v>2022-07-04T15:40:03.368Z</v>
      </c>
      <c r="K1182" s="1"/>
    </row>
    <row r="1183">
      <c r="A1183" s="2" t="str">
        <f>IFERROR(__xludf.DUMMYFUNCTION("""COMPUTED_VALUE"""),"https://www.facebook.com/ligaya.acsay")</f>
        <v>https://www.facebook.com/ligaya.acsay</v>
      </c>
      <c r="B1183" s="1" t="str">
        <f>IFERROR(__xludf.DUMMYFUNCTION("""COMPUTED_VALUE"""),"Ligaya Acsay")</f>
        <v>Ligaya Acsay</v>
      </c>
      <c r="C1183" s="1" t="str">
        <f>IFERROR(__xludf.DUMMYFUNCTION("""COMPUTED_VALUE"""),"Ligaya")</f>
        <v>Ligaya</v>
      </c>
      <c r="D1183" s="1" t="str">
        <f>IFERROR(__xludf.DUMMYFUNCTION("""COMPUTED_VALUE"""),"Acsay")</f>
        <v>Acsay</v>
      </c>
      <c r="E1183" s="1" t="str">
        <f>IFERROR(__xludf.DUMMYFUNCTION("""COMPUTED_VALUE"""),"Thank you Lord!..🙏 #ThankyouCAMANAVA!!.🤗 #theSeaofLight!.. united with the Mother Earth!..🤗 #LetLeniKikoLead !.. #IpanaloNa10To !!!.. 🌸🌸🌸🌸🌸🌸🌸🌸🌸🌸 💗💗💗💗💗💗💗")</f>
        <v>Thank you Lord!..🙏 #ThankyouCAMANAVA!!.🤗 #theSeaofLight!.. united with the Mother Earth!..🤗 #LetLeniKikoLead !.. #IpanaloNa10To !!!.. 🌸🌸🌸🌸🌸🌸🌸🌸🌸🌸 💗💗💗💗💗💗💗</v>
      </c>
      <c r="F1183" s="1">
        <f>IFERROR(__xludf.DUMMYFUNCTION("""COMPUTED_VALUE"""),12.0)</f>
        <v>12</v>
      </c>
      <c r="G1183" s="1" t="str">
        <f>IFERROR(__xludf.DUMMYFUNCTION("""COMPUTED_VALUE"""),"3 mos")</f>
        <v>3 mos</v>
      </c>
      <c r="H1183" s="1" t="str">
        <f>IFERROR(__xludf.DUMMYFUNCTION("""COMPUTED_VALUE"""),"comment")</f>
        <v>comment</v>
      </c>
      <c r="I118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3" s="1" t="str">
        <f>IFERROR(__xludf.DUMMYFUNCTION("""COMPUTED_VALUE"""),"2022-07-04T15:40:03.368Z")</f>
        <v>2022-07-04T15:40:03.368Z</v>
      </c>
      <c r="K1183" s="1"/>
    </row>
    <row r="1184">
      <c r="A1184" s="2" t="str">
        <f>IFERROR(__xludf.DUMMYFUNCTION("""COMPUTED_VALUE"""),"https://www.facebook.com/sweetverni")</f>
        <v>https://www.facebook.com/sweetverni</v>
      </c>
      <c r="B1184" s="1" t="str">
        <f>IFERROR(__xludf.DUMMYFUNCTION("""COMPUTED_VALUE"""),"Sweetverni Aces")</f>
        <v>Sweetverni Aces</v>
      </c>
      <c r="C1184" s="1" t="str">
        <f>IFERROR(__xludf.DUMMYFUNCTION("""COMPUTED_VALUE"""),"Sweetverni")</f>
        <v>Sweetverni</v>
      </c>
      <c r="D1184" s="1" t="str">
        <f>IFERROR(__xludf.DUMMYFUNCTION("""COMPUTED_VALUE"""),"Aces")</f>
        <v>Aces</v>
      </c>
      <c r="E1184" s="1" t="str">
        <f>IFERROR(__xludf.DUMMYFUNCTION("""COMPUTED_VALUE"""),"Every Kakampink People's Rally is a celebration of our strength and values as Filipinos; and an invitation to be the movers of change that our country needs.  Salamat sa pagtindig para sa isang #GobyernongTapat ! 🌸🌸🌸🌸🍀🍀🍀🍀 #LeniKikoAllTheWay  HUSAY"&amp;", INTEGREDAD at KATAPATAN sa BAYAN 🇵🇭  #LeniKiko2022 #AngatBuhayLahat #LeniKikoAllTheWay  #10RobredoPresident #7KikoPangilinanVicePresident #4TeddyBaguilat #18LeilaDeLima #21ChelDiokno #34RisaHontiveros #38AlexLacson #45SonnyMatula #58SonnyTrillanes #16"&amp;"NeriColmenares lenirobredo.com")</f>
        <v>Every Kakampink People's Rally is a celebration of our strength and values as Filipinos; and an invitation to be the movers of change that our country needs.  Salamat sa pagtindig para sa isang #GobyernongTapat ! 🌸🌸🌸🌸🍀🍀🍀🍀 #LeniKikoAllTheWay  HUSAY, INTEGREDAD at KATAPATAN sa BAYAN 🇵🇭  #LeniKiko2022 #AngatBuhayLahat #LeniKikoAllTheWay  #10RobredoPresident #7KikoPangilinanVicePresident #4TeddyBaguilat #18LeilaDeLima #21ChelDiokno #34RisaHontiveros #38AlexLacson #45SonnyMatula #58SonnyTrillanes #16NeriColmenares lenirobredo.com</v>
      </c>
      <c r="F1184" s="1">
        <f>IFERROR(__xludf.DUMMYFUNCTION("""COMPUTED_VALUE"""),4.0)</f>
        <v>4</v>
      </c>
      <c r="G1184" s="1" t="str">
        <f>IFERROR(__xludf.DUMMYFUNCTION("""COMPUTED_VALUE"""),"3 mos")</f>
        <v>3 mos</v>
      </c>
      <c r="H1184" s="1" t="str">
        <f>IFERROR(__xludf.DUMMYFUNCTION("""COMPUTED_VALUE"""),"comment")</f>
        <v>comment</v>
      </c>
      <c r="I118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4" s="1" t="str">
        <f>IFERROR(__xludf.DUMMYFUNCTION("""COMPUTED_VALUE"""),"2022-07-04T15:40:03.368Z")</f>
        <v>2022-07-04T15:40:03.368Z</v>
      </c>
      <c r="K1184" s="1"/>
    </row>
    <row r="1185">
      <c r="A1185" s="2" t="str">
        <f>IFERROR(__xludf.DUMMYFUNCTION("""COMPUTED_VALUE"""),"https://www.facebook.com/hermiehernandez07")</f>
        <v>https://www.facebook.com/hermiehernandez07</v>
      </c>
      <c r="B1185" s="1" t="str">
        <f>IFERROR(__xludf.DUMMYFUNCTION("""COMPUTED_VALUE"""),"Hermie Liwanag Hernandez")</f>
        <v>Hermie Liwanag Hernandez</v>
      </c>
      <c r="C1185" s="1" t="str">
        <f>IFERROR(__xludf.DUMMYFUNCTION("""COMPUTED_VALUE"""),"Hermie")</f>
        <v>Hermie</v>
      </c>
      <c r="D1185" s="1" t="str">
        <f>IFERROR(__xludf.DUMMYFUNCTION("""COMPUTED_VALUE"""),"Liwanag Hernandez")</f>
        <v>Liwanag Hernandez</v>
      </c>
      <c r="E1185" s="1" t="str">
        <f>IFERROR(__xludf.DUMMYFUNCTION("""COMPUTED_VALUE"""),"Light over darkness  , LENIWANAG✨🌷✨🌷✨🌸")</f>
        <v>Light over darkness  , LENIWANAG✨🌷✨🌷✨🌸</v>
      </c>
      <c r="F1185" s="1">
        <f>IFERROR(__xludf.DUMMYFUNCTION("""COMPUTED_VALUE"""),2.0)</f>
        <v>2</v>
      </c>
      <c r="G1185" s="1" t="str">
        <f>IFERROR(__xludf.DUMMYFUNCTION("""COMPUTED_VALUE"""),"3 mos")</f>
        <v>3 mos</v>
      </c>
      <c r="H1185" s="1" t="str">
        <f>IFERROR(__xludf.DUMMYFUNCTION("""COMPUTED_VALUE"""),"comment")</f>
        <v>comment</v>
      </c>
      <c r="I118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5" s="1" t="str">
        <f>IFERROR(__xludf.DUMMYFUNCTION("""COMPUTED_VALUE"""),"2022-07-04T15:40:03.368Z")</f>
        <v>2022-07-04T15:40:03.368Z</v>
      </c>
      <c r="K1185" s="1"/>
    </row>
    <row r="1186">
      <c r="A1186" s="2" t="str">
        <f>IFERROR(__xludf.DUMMYFUNCTION("""COMPUTED_VALUE"""),"https://www.facebook.com/rey.ben.7758")</f>
        <v>https://www.facebook.com/rey.ben.7758</v>
      </c>
      <c r="B1186" s="1" t="str">
        <f>IFERROR(__xludf.DUMMYFUNCTION("""COMPUTED_VALUE"""),"Rey Ben")</f>
        <v>Rey Ben</v>
      </c>
      <c r="C1186" s="1" t="str">
        <f>IFERROR(__xludf.DUMMYFUNCTION("""COMPUTED_VALUE"""),"Rey")</f>
        <v>Rey</v>
      </c>
      <c r="D1186" s="1" t="str">
        <f>IFERROR(__xludf.DUMMYFUNCTION("""COMPUTED_VALUE"""),"Ben")</f>
        <v>Ben</v>
      </c>
      <c r="E1186" s="1" t="str">
        <f>IFERROR(__xludf.DUMMYFUNCTION("""COMPUTED_VALUE"""),"The lights of truth")</f>
        <v>The lights of truth</v>
      </c>
      <c r="F1186" s="1">
        <f>IFERROR(__xludf.DUMMYFUNCTION("""COMPUTED_VALUE"""),2.0)</f>
        <v>2</v>
      </c>
      <c r="G1186" s="1" t="str">
        <f>IFERROR(__xludf.DUMMYFUNCTION("""COMPUTED_VALUE"""),"3 mos")</f>
        <v>3 mos</v>
      </c>
      <c r="H1186" s="1" t="str">
        <f>IFERROR(__xludf.DUMMYFUNCTION("""COMPUTED_VALUE"""),"comment")</f>
        <v>comment</v>
      </c>
      <c r="I118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6" s="1" t="str">
        <f>IFERROR(__xludf.DUMMYFUNCTION("""COMPUTED_VALUE"""),"2022-07-04T15:40:03.368Z")</f>
        <v>2022-07-04T15:40:03.368Z</v>
      </c>
      <c r="K1186" s="1"/>
    </row>
    <row r="1187">
      <c r="A1187" s="2" t="str">
        <f>IFERROR(__xludf.DUMMYFUNCTION("""COMPUTED_VALUE"""),"https://www.facebook.com/marissa.bernabetecson")</f>
        <v>https://www.facebook.com/marissa.bernabetecson</v>
      </c>
      <c r="B1187" s="1" t="str">
        <f>IFERROR(__xludf.DUMMYFUNCTION("""COMPUTED_VALUE"""),"Marissa Bernabe Tecson")</f>
        <v>Marissa Bernabe Tecson</v>
      </c>
      <c r="C1187" s="1" t="str">
        <f>IFERROR(__xludf.DUMMYFUNCTION("""COMPUTED_VALUE"""),"Marissa")</f>
        <v>Marissa</v>
      </c>
      <c r="D1187" s="1" t="str">
        <f>IFERROR(__xludf.DUMMYFUNCTION("""COMPUTED_VALUE"""),"Bernabe Tecson")</f>
        <v>Bernabe Tecson</v>
      </c>
      <c r="E1187" s="1" t="str">
        <f>IFERROR(__xludf.DUMMYFUNCTION("""COMPUTED_VALUE"""),"Awesome! No one is leaving the area, even if Earth Hour started 15mins ago...💖")</f>
        <v>Awesome! No one is leaving the area, even if Earth Hour started 15mins ago...💖</v>
      </c>
      <c r="F1187" s="1">
        <f>IFERROR(__xludf.DUMMYFUNCTION("""COMPUTED_VALUE"""),44.0)</f>
        <v>44</v>
      </c>
      <c r="G1187" s="1" t="str">
        <f>IFERROR(__xludf.DUMMYFUNCTION("""COMPUTED_VALUE"""),"3 mos")</f>
        <v>3 mos</v>
      </c>
      <c r="H1187" s="1" t="str">
        <f>IFERROR(__xludf.DUMMYFUNCTION("""COMPUTED_VALUE"""),"comment")</f>
        <v>comment</v>
      </c>
      <c r="I118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7" s="1" t="str">
        <f>IFERROR(__xludf.DUMMYFUNCTION("""COMPUTED_VALUE"""),"2022-07-04T15:40:03.368Z")</f>
        <v>2022-07-04T15:40:03.368Z</v>
      </c>
      <c r="K1187" s="1"/>
    </row>
    <row r="1188">
      <c r="A1188" s="2" t="str">
        <f>IFERROR(__xludf.DUMMYFUNCTION("""COMPUTED_VALUE"""),"https://www.facebook.com/profile.php?id=100078461366052")</f>
        <v>https://www.facebook.com/profile.php?id=100078461366052</v>
      </c>
      <c r="B1188" s="1" t="str">
        <f>IFERROR(__xludf.DUMMYFUNCTION("""COMPUTED_VALUE"""),"Patrick Ramirez")</f>
        <v>Patrick Ramirez</v>
      </c>
      <c r="C1188" s="1" t="str">
        <f>IFERROR(__xludf.DUMMYFUNCTION("""COMPUTED_VALUE"""),"Patrick")</f>
        <v>Patrick</v>
      </c>
      <c r="D1188" s="1" t="str">
        <f>IFERROR(__xludf.DUMMYFUNCTION("""COMPUTED_VALUE"""),"Ramirez")</f>
        <v>Ramirez</v>
      </c>
      <c r="E1188" s="1" t="str">
        <f>IFERROR(__xludf.DUMMYFUNCTION("""COMPUTED_VALUE"""),"Marissa Bernabe Tecson")</f>
        <v>Marissa Bernabe Tecson</v>
      </c>
      <c r="F1188" s="1">
        <f>IFERROR(__xludf.DUMMYFUNCTION("""COMPUTED_VALUE"""),1.0)</f>
        <v>1</v>
      </c>
      <c r="G1188" s="1" t="str">
        <f>IFERROR(__xludf.DUMMYFUNCTION("""COMPUTED_VALUE"""),"3 mos")</f>
        <v>3 mos</v>
      </c>
      <c r="H1188" s="1" t="str">
        <f>IFERROR(__xludf.DUMMYFUNCTION("""COMPUTED_VALUE"""),"reply")</f>
        <v>reply</v>
      </c>
      <c r="I118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8" s="1" t="str">
        <f>IFERROR(__xludf.DUMMYFUNCTION("""COMPUTED_VALUE"""),"2022-07-04T15:40:03.369Z")</f>
        <v>2022-07-04T15:40:03.369Z</v>
      </c>
      <c r="K1188" s="1"/>
    </row>
    <row r="1189">
      <c r="A1189" s="2" t="str">
        <f>IFERROR(__xludf.DUMMYFUNCTION("""COMPUTED_VALUE"""),"https://www.facebook.com/juliette.faith")</f>
        <v>https://www.facebook.com/juliette.faith</v>
      </c>
      <c r="B1189" s="1" t="str">
        <f>IFERROR(__xludf.DUMMYFUNCTION("""COMPUTED_VALUE"""),"Juliette Faith")</f>
        <v>Juliette Faith</v>
      </c>
      <c r="C1189" s="1" t="str">
        <f>IFERROR(__xludf.DUMMYFUNCTION("""COMPUTED_VALUE"""),"Juliette")</f>
        <v>Juliette</v>
      </c>
      <c r="D1189" s="1" t="str">
        <f>IFERROR(__xludf.DUMMYFUNCTION("""COMPUTED_VALUE"""),"Faith")</f>
        <v>Faith</v>
      </c>
      <c r="E1189" s="1" t="str">
        <f>IFERROR(__xludf.DUMMYFUNCTION("""COMPUTED_VALUE"""),"LENIwanag sa dilim🌠🌟🌠🌟🌠🌟🌠🌟🌠🌟🌠 Most hardworking🥇🥇🥇, most loving🥇🥇🥇 most honest🥇🥇🥇and most prepared🥇🥇🥇 para sa🇵🇭🇵🇭🇵🇭🇵🇭🇵🇭 PAGKA PRESIDENTE💐🌸💐🌸💐🌸💐🌸💐🌸💐🌸💐🌸💐🌸💐🌸💐🌸💐🌷💐🌸 #LetLeniKikoLead2022 #PHVoteRobredo")</f>
        <v>LENIwanag sa dilim🌠🌟🌠🌟🌠🌟🌠🌟🌠🌟🌠 Most hardworking🥇🥇🥇, most loving🥇🥇🥇 most honest🥇🥇🥇and most prepared🥇🥇🥇 para sa🇵🇭🇵🇭🇵🇭🇵🇭🇵🇭 PAGKA PRESIDENTE💐🌸💐🌸💐🌸💐🌸💐🌸💐🌸💐🌸💐🌸💐🌸💐🌸💐🌷💐🌸 #LetLeniKikoLead2022 #PHVoteRobredo</v>
      </c>
      <c r="F1189" s="1">
        <f>IFERROR(__xludf.DUMMYFUNCTION("""COMPUTED_VALUE"""),3.0)</f>
        <v>3</v>
      </c>
      <c r="G1189" s="1" t="str">
        <f>IFERROR(__xludf.DUMMYFUNCTION("""COMPUTED_VALUE"""),"3 mos")</f>
        <v>3 mos</v>
      </c>
      <c r="H1189" s="1" t="str">
        <f>IFERROR(__xludf.DUMMYFUNCTION("""COMPUTED_VALUE"""),"comment")</f>
        <v>comment</v>
      </c>
      <c r="I118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89" s="1" t="str">
        <f>IFERROR(__xludf.DUMMYFUNCTION("""COMPUTED_VALUE"""),"2022-07-04T15:40:03.369Z")</f>
        <v>2022-07-04T15:40:03.369Z</v>
      </c>
      <c r="K1189" s="1"/>
    </row>
    <row r="1190">
      <c r="A1190" s="2" t="str">
        <f>IFERROR(__xludf.DUMMYFUNCTION("""COMPUTED_VALUE"""),"https://www.facebook.com/earl.liquigan")</f>
        <v>https://www.facebook.com/earl.liquigan</v>
      </c>
      <c r="B1190" s="1" t="str">
        <f>IFERROR(__xludf.DUMMYFUNCTION("""COMPUTED_VALUE"""),"Earl Liquigan")</f>
        <v>Earl Liquigan</v>
      </c>
      <c r="C1190" s="1" t="str">
        <f>IFERROR(__xludf.DUMMYFUNCTION("""COMPUTED_VALUE"""),"Earl")</f>
        <v>Earl</v>
      </c>
      <c r="D1190" s="1" t="str">
        <f>IFERROR(__xludf.DUMMYFUNCTION("""COMPUTED_VALUE"""),"Liquigan")</f>
        <v>Liquigan</v>
      </c>
      <c r="E1190" s="1" t="str">
        <f>IFERROR(__xludf.DUMMYFUNCTION("""COMPUTED_VALUE"""),"Most environment-friendly and sustainability advocating presidential tandem! #10RobredoPresident #7KikoPangilinanVicePresident #TropangAngat #4BaguilatSenador #KatutuboSaSenado #GobyernongTapatAngatBuhayLahat  🌷💗💚 #IpanaloNa10To")</f>
        <v>Most environment-friendly and sustainability advocating presidential tandem! #10RobredoPresident #7KikoPangilinanVicePresident #TropangAngat #4BaguilatSenador #KatutuboSaSenado #GobyernongTapatAngatBuhayLahat  🌷💗💚 #IpanaloNa10To</v>
      </c>
      <c r="F1190" s="1">
        <f>IFERROR(__xludf.DUMMYFUNCTION("""COMPUTED_VALUE"""),3.0)</f>
        <v>3</v>
      </c>
      <c r="G1190" s="1" t="str">
        <f>IFERROR(__xludf.DUMMYFUNCTION("""COMPUTED_VALUE"""),"3 mos")</f>
        <v>3 mos</v>
      </c>
      <c r="H1190" s="1" t="str">
        <f>IFERROR(__xludf.DUMMYFUNCTION("""COMPUTED_VALUE"""),"comment")</f>
        <v>comment</v>
      </c>
      <c r="I119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0" s="1" t="str">
        <f>IFERROR(__xludf.DUMMYFUNCTION("""COMPUTED_VALUE"""),"2022-07-04T15:40:03.369Z")</f>
        <v>2022-07-04T15:40:03.369Z</v>
      </c>
      <c r="K1190" s="1"/>
    </row>
    <row r="1191">
      <c r="A1191" s="2" t="str">
        <f>IFERROR(__xludf.DUMMYFUNCTION("""COMPUTED_VALUE"""),"https://www.facebook.com/profile.php?id=100064228440132")</f>
        <v>https://www.facebook.com/profile.php?id=100064228440132</v>
      </c>
      <c r="B1191" s="1" t="str">
        <f>IFERROR(__xludf.DUMMYFUNCTION("""COMPUTED_VALUE"""),"Mariana C. Molina")</f>
        <v>Mariana C. Molina</v>
      </c>
      <c r="C1191" s="1" t="str">
        <f>IFERROR(__xludf.DUMMYFUNCTION("""COMPUTED_VALUE"""),"Mariana")</f>
        <v>Mariana</v>
      </c>
      <c r="D1191" s="1" t="str">
        <f>IFERROR(__xludf.DUMMYFUNCTION("""COMPUTED_VALUE"""),"C. Molina")</f>
        <v>C. Molina</v>
      </c>
      <c r="E1191" s="1" t="str">
        <f>IFERROR(__xludf.DUMMYFUNCTION("""COMPUTED_VALUE"""),"MABUHAY KAKAMPINK")</f>
        <v>MABUHAY KAKAMPINK</v>
      </c>
      <c r="F1191" s="1">
        <f>IFERROR(__xludf.DUMMYFUNCTION("""COMPUTED_VALUE"""),6.0)</f>
        <v>6</v>
      </c>
      <c r="G1191" s="1" t="str">
        <f>IFERROR(__xludf.DUMMYFUNCTION("""COMPUTED_VALUE"""),"3 mos")</f>
        <v>3 mos</v>
      </c>
      <c r="H1191" s="1" t="str">
        <f>IFERROR(__xludf.DUMMYFUNCTION("""COMPUTED_VALUE"""),"comment")</f>
        <v>comment</v>
      </c>
      <c r="I119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1" s="1" t="str">
        <f>IFERROR(__xludf.DUMMYFUNCTION("""COMPUTED_VALUE"""),"2022-07-04T15:40:03.369Z")</f>
        <v>2022-07-04T15:40:03.369Z</v>
      </c>
      <c r="K1191" s="1"/>
    </row>
    <row r="1192">
      <c r="A1192" s="2" t="str">
        <f>IFERROR(__xludf.DUMMYFUNCTION("""COMPUTED_VALUE"""),"https://www.facebook.com/scott.wuming")</f>
        <v>https://www.facebook.com/scott.wuming</v>
      </c>
      <c r="B1192" s="1" t="str">
        <f>IFERROR(__xludf.DUMMYFUNCTION("""COMPUTED_VALUE"""),"Scott Wu Ming")</f>
        <v>Scott Wu Ming</v>
      </c>
      <c r="C1192" s="1" t="str">
        <f>IFERROR(__xludf.DUMMYFUNCTION("""COMPUTED_VALUE"""),"Scott")</f>
        <v>Scott</v>
      </c>
      <c r="D1192" s="1" t="str">
        <f>IFERROR(__xludf.DUMMYFUNCTION("""COMPUTED_VALUE"""),"Wu Ming")</f>
        <v>Wu Ming</v>
      </c>
      <c r="E1192" s="1" t="str">
        <f>IFERROR(__xludf.DUMMYFUNCTION("""COMPUTED_VALUE"""),"More hope for our SDG ranking to improve!")</f>
        <v>More hope for our SDG ranking to improve!</v>
      </c>
      <c r="F1192" s="1">
        <f>IFERROR(__xludf.DUMMYFUNCTION("""COMPUTED_VALUE"""),10.0)</f>
        <v>10</v>
      </c>
      <c r="G1192" s="1" t="str">
        <f>IFERROR(__xludf.DUMMYFUNCTION("""COMPUTED_VALUE"""),"3 mos")</f>
        <v>3 mos</v>
      </c>
      <c r="H1192" s="1" t="str">
        <f>IFERROR(__xludf.DUMMYFUNCTION("""COMPUTED_VALUE"""),"comment")</f>
        <v>comment</v>
      </c>
      <c r="I119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2" s="1" t="str">
        <f>IFERROR(__xludf.DUMMYFUNCTION("""COMPUTED_VALUE"""),"2022-07-04T15:40:03.369Z")</f>
        <v>2022-07-04T15:40:03.369Z</v>
      </c>
      <c r="K1192" s="1"/>
    </row>
    <row r="1193">
      <c r="A1193" s="2" t="str">
        <f>IFERROR(__xludf.DUMMYFUNCTION("""COMPUTED_VALUE"""),"https://www.facebook.com/nyx.deleon")</f>
        <v>https://www.facebook.com/nyx.deleon</v>
      </c>
      <c r="B1193" s="1" t="str">
        <f>IFERROR(__xludf.DUMMYFUNCTION("""COMPUTED_VALUE"""),"Nicole Pineda")</f>
        <v>Nicole Pineda</v>
      </c>
      <c r="C1193" s="1" t="str">
        <f>IFERROR(__xludf.DUMMYFUNCTION("""COMPUTED_VALUE"""),"Nicole")</f>
        <v>Nicole</v>
      </c>
      <c r="D1193" s="1" t="str">
        <f>IFERROR(__xludf.DUMMYFUNCTION("""COMPUTED_VALUE"""),"Pineda")</f>
        <v>Pineda</v>
      </c>
      <c r="E1193" s="1" t="str">
        <f>IFERROR(__xludf.DUMMYFUNCTION("""COMPUTED_VALUE"""),"Scott Wu Ming Meron for SGD 13: Clinate action ❤")</f>
        <v>Scott Wu Ming Meron for SGD 13: Clinate action ❤</v>
      </c>
      <c r="F1193" s="1">
        <f>IFERROR(__xludf.DUMMYFUNCTION("""COMPUTED_VALUE"""),3.0)</f>
        <v>3</v>
      </c>
      <c r="G1193" s="1" t="str">
        <f>IFERROR(__xludf.DUMMYFUNCTION("""COMPUTED_VALUE"""),"3 mos")</f>
        <v>3 mos</v>
      </c>
      <c r="H1193" s="1" t="str">
        <f>IFERROR(__xludf.DUMMYFUNCTION("""COMPUTED_VALUE"""),"reply")</f>
        <v>reply</v>
      </c>
      <c r="I119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3" s="1" t="str">
        <f>IFERROR(__xludf.DUMMYFUNCTION("""COMPUTED_VALUE"""),"2022-07-04T15:40:03.369Z")</f>
        <v>2022-07-04T15:40:03.369Z</v>
      </c>
      <c r="K1193" s="1"/>
    </row>
    <row r="1194">
      <c r="A1194" s="2" t="str">
        <f>IFERROR(__xludf.DUMMYFUNCTION("""COMPUTED_VALUE"""),"https://www.facebook.com/janlo")</f>
        <v>https://www.facebook.com/janlo</v>
      </c>
      <c r="B1194" s="1" t="str">
        <f>IFERROR(__xludf.DUMMYFUNCTION("""COMPUTED_VALUE"""),"Janlo Nunez Cui")</f>
        <v>Janlo Nunez Cui</v>
      </c>
      <c r="C1194" s="1" t="str">
        <f>IFERROR(__xludf.DUMMYFUNCTION("""COMPUTED_VALUE"""),"Janlo")</f>
        <v>Janlo</v>
      </c>
      <c r="D1194" s="1" t="str">
        <f>IFERROR(__xludf.DUMMYFUNCTION("""COMPUTED_VALUE"""),"Nunez Cui")</f>
        <v>Nunez Cui</v>
      </c>
      <c r="E1194" s="1" t="str">
        <f>IFERROR(__xludf.DUMMYFUNCTION("""COMPUTED_VALUE"""),"Scott Wu Ming imagine may road map siya for this. Isa sa mga strengths niya talaga ay yung being able to think ahead and create a plan for it diba?")</f>
        <v>Scott Wu Ming imagine may road map siya for this. Isa sa mga strengths niya talaga ay yung being able to think ahead and create a plan for it diba?</v>
      </c>
      <c r="F1194" s="1">
        <f>IFERROR(__xludf.DUMMYFUNCTION("""COMPUTED_VALUE"""),1.0)</f>
        <v>1</v>
      </c>
      <c r="G1194" s="1" t="str">
        <f>IFERROR(__xludf.DUMMYFUNCTION("""COMPUTED_VALUE"""),"3 mos")</f>
        <v>3 mos</v>
      </c>
      <c r="H1194" s="1" t="str">
        <f>IFERROR(__xludf.DUMMYFUNCTION("""COMPUTED_VALUE"""),"reply")</f>
        <v>reply</v>
      </c>
      <c r="I119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4" s="1" t="str">
        <f>IFERROR(__xludf.DUMMYFUNCTION("""COMPUTED_VALUE"""),"2022-07-04T15:40:03.369Z")</f>
        <v>2022-07-04T15:40:03.369Z</v>
      </c>
      <c r="K1194" s="1"/>
    </row>
    <row r="1195">
      <c r="A1195" s="2" t="str">
        <f>IFERROR(__xludf.DUMMYFUNCTION("""COMPUTED_VALUE"""),"https://www.facebook.com/scott.wuming")</f>
        <v>https://www.facebook.com/scott.wuming</v>
      </c>
      <c r="B1195" s="1" t="str">
        <f>IFERROR(__xludf.DUMMYFUNCTION("""COMPUTED_VALUE"""),"Scott Wu Ming")</f>
        <v>Scott Wu Ming</v>
      </c>
      <c r="C1195" s="1" t="str">
        <f>IFERROR(__xludf.DUMMYFUNCTION("""COMPUTED_VALUE"""),"Scott")</f>
        <v>Scott</v>
      </c>
      <c r="D1195" s="1" t="str">
        <f>IFERROR(__xludf.DUMMYFUNCTION("""COMPUTED_VALUE"""),"Wu Ming")</f>
        <v>Wu Ming</v>
      </c>
      <c r="E1195" s="1" t="str">
        <f>IFERROR(__xludf.DUMMYFUNCTION("""COMPUTED_VALUE"""),"Janlo Nunez Cui Yes! Her platforms and ongoing work are already going towards many, if not all, of the goals. We need these to happen. Next admin will end 2 years before 2030 so this coming presidency is the most crucial. ✨")</f>
        <v>Janlo Nunez Cui Yes! Her platforms and ongoing work are already going towards many, if not all, of the goals. We need these to happen. Next admin will end 2 years before 2030 so this coming presidency is the most crucial. ✨</v>
      </c>
      <c r="F1195" s="1"/>
      <c r="G1195" s="1" t="str">
        <f>IFERROR(__xludf.DUMMYFUNCTION("""COMPUTED_VALUE"""),"3 mos")</f>
        <v>3 mos</v>
      </c>
      <c r="H1195" s="1" t="str">
        <f>IFERROR(__xludf.DUMMYFUNCTION("""COMPUTED_VALUE"""),"reply")</f>
        <v>reply</v>
      </c>
      <c r="I119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5" s="1" t="str">
        <f>IFERROR(__xludf.DUMMYFUNCTION("""COMPUTED_VALUE"""),"2022-07-04T15:40:03.369Z")</f>
        <v>2022-07-04T15:40:03.369Z</v>
      </c>
      <c r="K1195" s="1"/>
    </row>
    <row r="1196">
      <c r="A1196" s="2" t="str">
        <f>IFERROR(__xludf.DUMMYFUNCTION("""COMPUTED_VALUE"""),"https://www.facebook.com/profile.php?id=100077324863738")</f>
        <v>https://www.facebook.com/profile.php?id=100077324863738</v>
      </c>
      <c r="B1196" s="1" t="str">
        <f>IFERROR(__xludf.DUMMYFUNCTION("""COMPUTED_VALUE"""),"Sarah T Ugsa")</f>
        <v>Sarah T Ugsa</v>
      </c>
      <c r="C1196" s="1" t="str">
        <f>IFERROR(__xludf.DUMMYFUNCTION("""COMPUTED_VALUE"""),"Sarah")</f>
        <v>Sarah</v>
      </c>
      <c r="D1196" s="1" t="str">
        <f>IFERROR(__xludf.DUMMYFUNCTION("""COMPUTED_VALUE"""),"T Ugsa")</f>
        <v>T Ugsa</v>
      </c>
      <c r="E1196" s="1" t="str">
        <f>IFERROR(__xludf.DUMMYFUNCTION("""COMPUTED_VALUE"""),"Scott Wu Ming 👏")</f>
        <v>Scott Wu Ming 👏</v>
      </c>
      <c r="F1196" s="1"/>
      <c r="G1196" s="1" t="str">
        <f>IFERROR(__xludf.DUMMYFUNCTION("""COMPUTED_VALUE"""),"3 mos")</f>
        <v>3 mos</v>
      </c>
      <c r="H1196" s="1" t="str">
        <f>IFERROR(__xludf.DUMMYFUNCTION("""COMPUTED_VALUE"""),"reply")</f>
        <v>reply</v>
      </c>
      <c r="I119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6" s="1" t="str">
        <f>IFERROR(__xludf.DUMMYFUNCTION("""COMPUTED_VALUE"""),"2022-07-04T15:40:03.369Z")</f>
        <v>2022-07-04T15:40:03.369Z</v>
      </c>
      <c r="K1196" s="1"/>
    </row>
    <row r="1197">
      <c r="A1197" s="2" t="str">
        <f>IFERROR(__xludf.DUMMYFUNCTION("""COMPUTED_VALUE"""),"https://www.facebook.com/maryrose.t.zamora")</f>
        <v>https://www.facebook.com/maryrose.t.zamora</v>
      </c>
      <c r="B1197" s="1" t="str">
        <f>IFERROR(__xludf.DUMMYFUNCTION("""COMPUTED_VALUE"""),"Rose TZ")</f>
        <v>Rose TZ</v>
      </c>
      <c r="C1197" s="1" t="str">
        <f>IFERROR(__xludf.DUMMYFUNCTION("""COMPUTED_VALUE"""),"Rose")</f>
        <v>Rose</v>
      </c>
      <c r="D1197" s="1" t="str">
        <f>IFERROR(__xludf.DUMMYFUNCTION("""COMPUTED_VALUE"""),"TZ")</f>
        <v>TZ</v>
      </c>
      <c r="E1197" s="1" t="str">
        <f>IFERROR(__xludf.DUMMYFUNCTION("""COMPUTED_VALUE"""),"Ang boto ng pamilya ko ay para sa isang #GobyernongTapat #LeniForPresident2022 #CamanavaIsPink")</f>
        <v>Ang boto ng pamilya ko ay para sa isang #GobyernongTapat #LeniForPresident2022 #CamanavaIsPink</v>
      </c>
      <c r="F1197" s="1">
        <f>IFERROR(__xludf.DUMMYFUNCTION("""COMPUTED_VALUE"""),1.0)</f>
        <v>1</v>
      </c>
      <c r="G1197" s="1" t="str">
        <f>IFERROR(__xludf.DUMMYFUNCTION("""COMPUTED_VALUE"""),"3 mos")</f>
        <v>3 mos</v>
      </c>
      <c r="H1197" s="1" t="str">
        <f>IFERROR(__xludf.DUMMYFUNCTION("""COMPUTED_VALUE"""),"comment")</f>
        <v>comment</v>
      </c>
      <c r="I119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7" s="1" t="str">
        <f>IFERROR(__xludf.DUMMYFUNCTION("""COMPUTED_VALUE"""),"2022-07-04T15:40:03.369Z")</f>
        <v>2022-07-04T15:40:03.369Z</v>
      </c>
      <c r="K1197" s="1"/>
    </row>
    <row r="1198">
      <c r="A1198" s="2" t="str">
        <f>IFERROR(__xludf.DUMMYFUNCTION("""COMPUTED_VALUE"""),"https://www.facebook.com/tonitz.pepito")</f>
        <v>https://www.facebook.com/tonitz.pepito</v>
      </c>
      <c r="B1198" s="1" t="str">
        <f>IFERROR(__xludf.DUMMYFUNCTION("""COMPUTED_VALUE"""),"Sagi Taryus")</f>
        <v>Sagi Taryus</v>
      </c>
      <c r="C1198" s="1" t="str">
        <f>IFERROR(__xludf.DUMMYFUNCTION("""COMPUTED_VALUE"""),"Sagi")</f>
        <v>Sagi</v>
      </c>
      <c r="D1198" s="1" t="str">
        <f>IFERROR(__xludf.DUMMYFUNCTION("""COMPUTED_VALUE"""),"Taryus")</f>
        <v>Taryus</v>
      </c>
      <c r="E1198" s="1" t="str">
        <f>IFERROR(__xludf.DUMMYFUNCTION("""COMPUTED_VALUE"""),"💗🌸")</f>
        <v>💗🌸</v>
      </c>
      <c r="F1198" s="1">
        <f>IFERROR(__xludf.DUMMYFUNCTION("""COMPUTED_VALUE"""),1.0)</f>
        <v>1</v>
      </c>
      <c r="G1198" s="1" t="str">
        <f>IFERROR(__xludf.DUMMYFUNCTION("""COMPUTED_VALUE"""),"3 mos")</f>
        <v>3 mos</v>
      </c>
      <c r="H1198" s="1" t="str">
        <f>IFERROR(__xludf.DUMMYFUNCTION("""COMPUTED_VALUE"""),"comment")</f>
        <v>comment</v>
      </c>
      <c r="I119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8" s="1" t="str">
        <f>IFERROR(__xludf.DUMMYFUNCTION("""COMPUTED_VALUE"""),"2022-07-04T15:40:03.369Z")</f>
        <v>2022-07-04T15:40:03.369Z</v>
      </c>
      <c r="K1198" s="1"/>
    </row>
    <row r="1199">
      <c r="A1199" s="2" t="str">
        <f>IFERROR(__xludf.DUMMYFUNCTION("""COMPUTED_VALUE"""),"https://www.facebook.com/mae.empal")</f>
        <v>https://www.facebook.com/mae.empal</v>
      </c>
      <c r="B1199" s="1" t="str">
        <f>IFERROR(__xludf.DUMMYFUNCTION("""COMPUTED_VALUE"""),"Mae Rhea Rios")</f>
        <v>Mae Rhea Rios</v>
      </c>
      <c r="C1199" s="1" t="str">
        <f>IFERROR(__xludf.DUMMYFUNCTION("""COMPUTED_VALUE"""),"Mae")</f>
        <v>Mae</v>
      </c>
      <c r="D1199" s="1" t="str">
        <f>IFERROR(__xludf.DUMMYFUNCTION("""COMPUTED_VALUE"""),"Rhea Rios")</f>
        <v>Rhea Rios</v>
      </c>
      <c r="E1199" s="1" t="str">
        <f>IFERROR(__xludf.DUMMYFUNCTION("""COMPUTED_VALUE"""),"💗💗💗")</f>
        <v>💗💗💗</v>
      </c>
      <c r="F1199" s="1">
        <f>IFERROR(__xludf.DUMMYFUNCTION("""COMPUTED_VALUE"""),2.0)</f>
        <v>2</v>
      </c>
      <c r="G1199" s="1" t="str">
        <f>IFERROR(__xludf.DUMMYFUNCTION("""COMPUTED_VALUE"""),"3 mos")</f>
        <v>3 mos</v>
      </c>
      <c r="H1199" s="1" t="str">
        <f>IFERROR(__xludf.DUMMYFUNCTION("""COMPUTED_VALUE"""),"comment")</f>
        <v>comment</v>
      </c>
      <c r="I119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199" s="1" t="str">
        <f>IFERROR(__xludf.DUMMYFUNCTION("""COMPUTED_VALUE"""),"2022-07-04T15:40:03.369Z")</f>
        <v>2022-07-04T15:40:03.369Z</v>
      </c>
      <c r="K1199" s="1"/>
    </row>
    <row r="1200">
      <c r="A1200" s="2" t="str">
        <f>IFERROR(__xludf.DUMMYFUNCTION("""COMPUTED_VALUE"""),"https://www.facebook.com/profile.php?id=100001497297306")</f>
        <v>https://www.facebook.com/profile.php?id=100001497297306</v>
      </c>
      <c r="B1200" s="1" t="str">
        <f>IFERROR(__xludf.DUMMYFUNCTION("""COMPUTED_VALUE"""),"Mylin Evangelista")</f>
        <v>Mylin Evangelista</v>
      </c>
      <c r="C1200" s="1" t="str">
        <f>IFERROR(__xludf.DUMMYFUNCTION("""COMPUTED_VALUE"""),"Mylin")</f>
        <v>Mylin</v>
      </c>
      <c r="D1200" s="1" t="str">
        <f>IFERROR(__xludf.DUMMYFUNCTION("""COMPUTED_VALUE"""),"Evangelista")</f>
        <v>Evangelista</v>
      </c>
      <c r="E1200" s="1" t="str">
        <f>IFERROR(__xludf.DUMMYFUNCTION("""COMPUTED_VALUE"""),"🌷🌷🌷🌷🌷")</f>
        <v>🌷🌷🌷🌷🌷</v>
      </c>
      <c r="F1200" s="1">
        <f>IFERROR(__xludf.DUMMYFUNCTION("""COMPUTED_VALUE"""),1.0)</f>
        <v>1</v>
      </c>
      <c r="G1200" s="1" t="str">
        <f>IFERROR(__xludf.DUMMYFUNCTION("""COMPUTED_VALUE"""),"3 mos")</f>
        <v>3 mos</v>
      </c>
      <c r="H1200" s="1" t="str">
        <f>IFERROR(__xludf.DUMMYFUNCTION("""COMPUTED_VALUE"""),"comment")</f>
        <v>comment</v>
      </c>
      <c r="I120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0" s="1" t="str">
        <f>IFERROR(__xludf.DUMMYFUNCTION("""COMPUTED_VALUE"""),"2022-07-04T15:40:03.369Z")</f>
        <v>2022-07-04T15:40:03.369Z</v>
      </c>
      <c r="K1200" s="1"/>
    </row>
    <row r="1201">
      <c r="A1201" s="2" t="str">
        <f>IFERROR(__xludf.DUMMYFUNCTION("""COMPUTED_VALUE"""),"https://www.facebook.com/profile.php?id=100004736566728")</f>
        <v>https://www.facebook.com/profile.php?id=100004736566728</v>
      </c>
      <c r="B1201" s="1" t="str">
        <f>IFERROR(__xludf.DUMMYFUNCTION("""COMPUTED_VALUE"""),"Manuel Pajo Vergara")</f>
        <v>Manuel Pajo Vergara</v>
      </c>
      <c r="C1201" s="1" t="str">
        <f>IFERROR(__xludf.DUMMYFUNCTION("""COMPUTED_VALUE"""),"Manuel")</f>
        <v>Manuel</v>
      </c>
      <c r="D1201" s="1" t="str">
        <f>IFERROR(__xludf.DUMMYFUNCTION("""COMPUTED_VALUE"""),"Pajo Vergara")</f>
        <v>Pajo Vergara</v>
      </c>
      <c r="E1201" s="1" t="str">
        <f>IFERROR(__xludf.DUMMYFUNCTION("""COMPUTED_VALUE"""),"❤️❤️💚💚🇵🇭✌️💪")</f>
        <v>❤️❤️💚💚🇵🇭✌️💪</v>
      </c>
      <c r="F1201" s="1">
        <f>IFERROR(__xludf.DUMMYFUNCTION("""COMPUTED_VALUE"""),1.0)</f>
        <v>1</v>
      </c>
      <c r="G1201" s="1" t="str">
        <f>IFERROR(__xludf.DUMMYFUNCTION("""COMPUTED_VALUE"""),"3 mos")</f>
        <v>3 mos</v>
      </c>
      <c r="H1201" s="1" t="str">
        <f>IFERROR(__xludf.DUMMYFUNCTION("""COMPUTED_VALUE"""),"comment")</f>
        <v>comment</v>
      </c>
      <c r="I120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1" s="1" t="str">
        <f>IFERROR(__xludf.DUMMYFUNCTION("""COMPUTED_VALUE"""),"2022-07-04T15:40:03.369Z")</f>
        <v>2022-07-04T15:40:03.369Z</v>
      </c>
      <c r="K1201" s="1"/>
    </row>
    <row r="1202">
      <c r="A1202" s="2" t="str">
        <f>IFERROR(__xludf.DUMMYFUNCTION("""COMPUTED_VALUE"""),"https://www.facebook.com/mitzinorona")</f>
        <v>https://www.facebook.com/mitzinorona</v>
      </c>
      <c r="B1202" s="1" t="str">
        <f>IFERROR(__xludf.DUMMYFUNCTION("""COMPUTED_VALUE"""),"Mitzi Norona")</f>
        <v>Mitzi Norona</v>
      </c>
      <c r="C1202" s="1" t="str">
        <f>IFERROR(__xludf.DUMMYFUNCTION("""COMPUTED_VALUE"""),"Mitzi")</f>
        <v>Mitzi</v>
      </c>
      <c r="D1202" s="1" t="str">
        <f>IFERROR(__xludf.DUMMYFUNCTION("""COMPUTED_VALUE"""),"Norona")</f>
        <v>Norona</v>
      </c>
      <c r="E1202" s="1" t="str">
        <f>IFERROR(__xludf.DUMMYFUNCTION("""COMPUTED_VALUE"""),"🌷🌷🌷")</f>
        <v>🌷🌷🌷</v>
      </c>
      <c r="F1202" s="1">
        <f>IFERROR(__xludf.DUMMYFUNCTION("""COMPUTED_VALUE"""),1.0)</f>
        <v>1</v>
      </c>
      <c r="G1202" s="1" t="str">
        <f>IFERROR(__xludf.DUMMYFUNCTION("""COMPUTED_VALUE"""),"3 mos")</f>
        <v>3 mos</v>
      </c>
      <c r="H1202" s="1" t="str">
        <f>IFERROR(__xludf.DUMMYFUNCTION("""COMPUTED_VALUE"""),"comment")</f>
        <v>comment</v>
      </c>
      <c r="I120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2" s="1" t="str">
        <f>IFERROR(__xludf.DUMMYFUNCTION("""COMPUTED_VALUE"""),"2022-07-04T15:40:03.369Z")</f>
        <v>2022-07-04T15:40:03.369Z</v>
      </c>
      <c r="K1202" s="1"/>
    </row>
    <row r="1203">
      <c r="A1203" s="2" t="str">
        <f>IFERROR(__xludf.DUMMYFUNCTION("""COMPUTED_VALUE"""),"https://www.facebook.com/alexa.glodo.75")</f>
        <v>https://www.facebook.com/alexa.glodo.75</v>
      </c>
      <c r="B1203" s="1" t="str">
        <f>IFERROR(__xludf.DUMMYFUNCTION("""COMPUTED_VALUE"""),"Yuri Chan")</f>
        <v>Yuri Chan</v>
      </c>
      <c r="C1203" s="1" t="str">
        <f>IFERROR(__xludf.DUMMYFUNCTION("""COMPUTED_VALUE"""),"Yuri")</f>
        <v>Yuri</v>
      </c>
      <c r="D1203" s="1" t="str">
        <f>IFERROR(__xludf.DUMMYFUNCTION("""COMPUTED_VALUE"""),"Chan")</f>
        <v>Chan</v>
      </c>
      <c r="E1203" s="1" t="str">
        <f>IFERROR(__xludf.DUMMYFUNCTION("""COMPUTED_VALUE"""),"💗💗💗")</f>
        <v>💗💗💗</v>
      </c>
      <c r="F1203" s="1"/>
      <c r="G1203" s="1" t="str">
        <f>IFERROR(__xludf.DUMMYFUNCTION("""COMPUTED_VALUE"""),"3 mos")</f>
        <v>3 mos</v>
      </c>
      <c r="H1203" s="1" t="str">
        <f>IFERROR(__xludf.DUMMYFUNCTION("""COMPUTED_VALUE"""),"comment")</f>
        <v>comment</v>
      </c>
      <c r="I120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3" s="1" t="str">
        <f>IFERROR(__xludf.DUMMYFUNCTION("""COMPUTED_VALUE"""),"2022-07-04T15:40:03.369Z")</f>
        <v>2022-07-04T15:40:03.369Z</v>
      </c>
      <c r="K1203" s="1"/>
    </row>
    <row r="1204">
      <c r="A1204" s="2" t="str">
        <f>IFERROR(__xludf.DUMMYFUNCTION("""COMPUTED_VALUE"""),"https://www.facebook.com/pau.ruds")</f>
        <v>https://www.facebook.com/pau.ruds</v>
      </c>
      <c r="B1204" s="1" t="str">
        <f>IFERROR(__xludf.DUMMYFUNCTION("""COMPUTED_VALUE"""),"Pauline Kristelle Ruidera")</f>
        <v>Pauline Kristelle Ruidera</v>
      </c>
      <c r="C1204" s="1" t="str">
        <f>IFERROR(__xludf.DUMMYFUNCTION("""COMPUTED_VALUE"""),"Pauline")</f>
        <v>Pauline</v>
      </c>
      <c r="D1204" s="1" t="str">
        <f>IFERROR(__xludf.DUMMYFUNCTION("""COMPUTED_VALUE"""),"Kristelle Ruidera")</f>
        <v>Kristelle Ruidera</v>
      </c>
      <c r="E1204" s="1" t="str">
        <f>IFERROR(__xludf.DUMMYFUNCTION("""COMPUTED_VALUE"""),"🌸🌸🌸")</f>
        <v>🌸🌸🌸</v>
      </c>
      <c r="F1204" s="1">
        <f>IFERROR(__xludf.DUMMYFUNCTION("""COMPUTED_VALUE"""),1.0)</f>
        <v>1</v>
      </c>
      <c r="G1204" s="1" t="str">
        <f>IFERROR(__xludf.DUMMYFUNCTION("""COMPUTED_VALUE"""),"3 mos")</f>
        <v>3 mos</v>
      </c>
      <c r="H1204" s="1" t="str">
        <f>IFERROR(__xludf.DUMMYFUNCTION("""COMPUTED_VALUE"""),"comment")</f>
        <v>comment</v>
      </c>
      <c r="I120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4" s="1" t="str">
        <f>IFERROR(__xludf.DUMMYFUNCTION("""COMPUTED_VALUE"""),"2022-07-04T15:40:03.369Z")</f>
        <v>2022-07-04T15:40:03.369Z</v>
      </c>
      <c r="K1204" s="1"/>
    </row>
    <row r="1205">
      <c r="A1205" s="2" t="str">
        <f>IFERROR(__xludf.DUMMYFUNCTION("""COMPUTED_VALUE"""),"https://www.facebook.com/ignacio.degocena")</f>
        <v>https://www.facebook.com/ignacio.degocena</v>
      </c>
      <c r="B1205" s="1" t="str">
        <f>IFERROR(__xludf.DUMMYFUNCTION("""COMPUTED_VALUE"""),"Ignacio Degocena")</f>
        <v>Ignacio Degocena</v>
      </c>
      <c r="C1205" s="1" t="str">
        <f>IFERROR(__xludf.DUMMYFUNCTION("""COMPUTED_VALUE"""),"Ignacio")</f>
        <v>Ignacio</v>
      </c>
      <c r="D1205" s="1" t="str">
        <f>IFERROR(__xludf.DUMMYFUNCTION("""COMPUTED_VALUE"""),"Degocena")</f>
        <v>Degocena</v>
      </c>
      <c r="E1205" s="1" t="str">
        <f>IFERROR(__xludf.DUMMYFUNCTION("""COMPUTED_VALUE"""),"💞💞💞")</f>
        <v>💞💞💞</v>
      </c>
      <c r="F1205" s="1">
        <f>IFERROR(__xludf.DUMMYFUNCTION("""COMPUTED_VALUE"""),2.0)</f>
        <v>2</v>
      </c>
      <c r="G1205" s="1" t="str">
        <f>IFERROR(__xludf.DUMMYFUNCTION("""COMPUTED_VALUE"""),"3 mos")</f>
        <v>3 mos</v>
      </c>
      <c r="H1205" s="1" t="str">
        <f>IFERROR(__xludf.DUMMYFUNCTION("""COMPUTED_VALUE"""),"comment")</f>
        <v>comment</v>
      </c>
      <c r="I120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5" s="1" t="str">
        <f>IFERROR(__xludf.DUMMYFUNCTION("""COMPUTED_VALUE"""),"2022-07-04T15:40:03.369Z")</f>
        <v>2022-07-04T15:40:03.369Z</v>
      </c>
      <c r="K1205" s="1"/>
    </row>
    <row r="1206">
      <c r="A1206" s="2" t="str">
        <f>IFERROR(__xludf.DUMMYFUNCTION("""COMPUTED_VALUE"""),"https://www.facebook.com/triplovers143")</f>
        <v>https://www.facebook.com/triplovers143</v>
      </c>
      <c r="B1206" s="1" t="str">
        <f>IFERROR(__xludf.DUMMYFUNCTION("""COMPUTED_VALUE"""),"Reclamante A ChezMae")</f>
        <v>Reclamante A ChezMae</v>
      </c>
      <c r="C1206" s="1" t="str">
        <f>IFERROR(__xludf.DUMMYFUNCTION("""COMPUTED_VALUE"""),"Reclamante")</f>
        <v>Reclamante</v>
      </c>
      <c r="D1206" s="1" t="str">
        <f>IFERROR(__xludf.DUMMYFUNCTION("""COMPUTED_VALUE"""),"A ChezMae")</f>
        <v>A ChezMae</v>
      </c>
      <c r="E1206" s="1" t="str">
        <f>IFERROR(__xludf.DUMMYFUNCTION("""COMPUTED_VALUE"""),"💚❤️")</f>
        <v>💚❤️</v>
      </c>
      <c r="F1206" s="1">
        <f>IFERROR(__xludf.DUMMYFUNCTION("""COMPUTED_VALUE"""),1.0)</f>
        <v>1</v>
      </c>
      <c r="G1206" s="1" t="str">
        <f>IFERROR(__xludf.DUMMYFUNCTION("""COMPUTED_VALUE"""),"3 mos")</f>
        <v>3 mos</v>
      </c>
      <c r="H1206" s="1" t="str">
        <f>IFERROR(__xludf.DUMMYFUNCTION("""COMPUTED_VALUE"""),"comment")</f>
        <v>comment</v>
      </c>
      <c r="I120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6" s="1" t="str">
        <f>IFERROR(__xludf.DUMMYFUNCTION("""COMPUTED_VALUE"""),"2022-07-04T15:40:03.369Z")</f>
        <v>2022-07-04T15:40:03.369Z</v>
      </c>
      <c r="K1206" s="1"/>
    </row>
    <row r="1207">
      <c r="A1207" s="2" t="str">
        <f>IFERROR(__xludf.DUMMYFUNCTION("""COMPUTED_VALUE"""),"https://www.facebook.com/michelle.m.casal")</f>
        <v>https://www.facebook.com/michelle.m.casal</v>
      </c>
      <c r="B1207" s="1" t="str">
        <f>IFERROR(__xludf.DUMMYFUNCTION("""COMPUTED_VALUE"""),"Mitch Casal")</f>
        <v>Mitch Casal</v>
      </c>
      <c r="C1207" s="1" t="str">
        <f>IFERROR(__xludf.DUMMYFUNCTION("""COMPUTED_VALUE"""),"Mitch")</f>
        <v>Mitch</v>
      </c>
      <c r="D1207" s="1" t="str">
        <f>IFERROR(__xludf.DUMMYFUNCTION("""COMPUTED_VALUE"""),"Casal")</f>
        <v>Casal</v>
      </c>
      <c r="E1207" s="1" t="str">
        <f>IFERROR(__xludf.DUMMYFUNCTION("""COMPUTED_VALUE"""),"💗🎀🌷🌸🇵🇭🙏")</f>
        <v>💗🎀🌷🌸🇵🇭🙏</v>
      </c>
      <c r="F1207" s="1"/>
      <c r="G1207" s="1" t="str">
        <f>IFERROR(__xludf.DUMMYFUNCTION("""COMPUTED_VALUE"""),"3 mos")</f>
        <v>3 mos</v>
      </c>
      <c r="H1207" s="1" t="str">
        <f>IFERROR(__xludf.DUMMYFUNCTION("""COMPUTED_VALUE"""),"comment")</f>
        <v>comment</v>
      </c>
      <c r="I120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7" s="1" t="str">
        <f>IFERROR(__xludf.DUMMYFUNCTION("""COMPUTED_VALUE"""),"2022-07-04T15:40:03.369Z")</f>
        <v>2022-07-04T15:40:03.369Z</v>
      </c>
      <c r="K1207" s="1"/>
    </row>
    <row r="1208">
      <c r="A1208" s="2" t="str">
        <f>IFERROR(__xludf.DUMMYFUNCTION("""COMPUTED_VALUE"""),"https://www.facebook.com/AmyCoyocaMeracap")</f>
        <v>https://www.facebook.com/AmyCoyocaMeracap</v>
      </c>
      <c r="B1208" s="1" t="str">
        <f>IFERROR(__xludf.DUMMYFUNCTION("""COMPUTED_VALUE"""),"Amy Coyoca Meracap")</f>
        <v>Amy Coyoca Meracap</v>
      </c>
      <c r="C1208" s="1" t="str">
        <f>IFERROR(__xludf.DUMMYFUNCTION("""COMPUTED_VALUE"""),"Amy")</f>
        <v>Amy</v>
      </c>
      <c r="D1208" s="1" t="str">
        <f>IFERROR(__xludf.DUMMYFUNCTION("""COMPUTED_VALUE"""),"Coyoca Meracap")</f>
        <v>Coyoca Meracap</v>
      </c>
      <c r="E1208" s="1" t="str">
        <f>IFERROR(__xludf.DUMMYFUNCTION("""COMPUTED_VALUE"""),"💖💖💖")</f>
        <v>💖💖💖</v>
      </c>
      <c r="F1208" s="1"/>
      <c r="G1208" s="1" t="str">
        <f>IFERROR(__xludf.DUMMYFUNCTION("""COMPUTED_VALUE"""),"3 mos")</f>
        <v>3 mos</v>
      </c>
      <c r="H1208" s="1" t="str">
        <f>IFERROR(__xludf.DUMMYFUNCTION("""COMPUTED_VALUE"""),"comment")</f>
        <v>comment</v>
      </c>
      <c r="I120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8" s="1" t="str">
        <f>IFERROR(__xludf.DUMMYFUNCTION("""COMPUTED_VALUE"""),"2022-07-04T15:40:03.369Z")</f>
        <v>2022-07-04T15:40:03.369Z</v>
      </c>
      <c r="K1208" s="1"/>
    </row>
    <row r="1209">
      <c r="A1209" s="2" t="str">
        <f>IFERROR(__xludf.DUMMYFUNCTION("""COMPUTED_VALUE"""),"https://www.facebook.com/michael.denzo")</f>
        <v>https://www.facebook.com/michael.denzo</v>
      </c>
      <c r="B1209" s="1" t="str">
        <f>IFERROR(__xludf.DUMMYFUNCTION("""COMPUTED_VALUE"""),"Michael Requillo FujiDenzo")</f>
        <v>Michael Requillo FujiDenzo</v>
      </c>
      <c r="C1209" s="1" t="str">
        <f>IFERROR(__xludf.DUMMYFUNCTION("""COMPUTED_VALUE"""),"Michael")</f>
        <v>Michael</v>
      </c>
      <c r="D1209" s="1" t="str">
        <f>IFERROR(__xludf.DUMMYFUNCTION("""COMPUTED_VALUE"""),"Requillo FujiDenzo")</f>
        <v>Requillo FujiDenzo</v>
      </c>
      <c r="E1209" s="1" t="str">
        <f>IFERROR(__xludf.DUMMYFUNCTION("""COMPUTED_VALUE"""),"💕💕💕💕🌷🌷🌷🌷")</f>
        <v>💕💕💕💕🌷🌷🌷🌷</v>
      </c>
      <c r="F1209" s="1">
        <f>IFERROR(__xludf.DUMMYFUNCTION("""COMPUTED_VALUE"""),1.0)</f>
        <v>1</v>
      </c>
      <c r="G1209" s="1" t="str">
        <f>IFERROR(__xludf.DUMMYFUNCTION("""COMPUTED_VALUE"""),"3 mos")</f>
        <v>3 mos</v>
      </c>
      <c r="H1209" s="1" t="str">
        <f>IFERROR(__xludf.DUMMYFUNCTION("""COMPUTED_VALUE"""),"comment")</f>
        <v>comment</v>
      </c>
      <c r="I120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09" s="1" t="str">
        <f>IFERROR(__xludf.DUMMYFUNCTION("""COMPUTED_VALUE"""),"2022-07-04T15:40:03.369Z")</f>
        <v>2022-07-04T15:40:03.369Z</v>
      </c>
      <c r="K1209" s="1"/>
    </row>
    <row r="1210">
      <c r="A1210" s="2" t="str">
        <f>IFERROR(__xludf.DUMMYFUNCTION("""COMPUTED_VALUE"""),"https://www.facebook.com/profile.php?id=100067476167968")</f>
        <v>https://www.facebook.com/profile.php?id=100067476167968</v>
      </c>
      <c r="B1210" s="1" t="str">
        <f>IFERROR(__xludf.DUMMYFUNCTION("""COMPUTED_VALUE"""),"Cholo Arevalo")</f>
        <v>Cholo Arevalo</v>
      </c>
      <c r="C1210" s="1" t="str">
        <f>IFERROR(__xludf.DUMMYFUNCTION("""COMPUTED_VALUE"""),"Cholo")</f>
        <v>Cholo</v>
      </c>
      <c r="D1210" s="1" t="str">
        <f>IFERROR(__xludf.DUMMYFUNCTION("""COMPUTED_VALUE"""),"Arevalo")</f>
        <v>Arevalo</v>
      </c>
      <c r="E1210" s="1" t="str">
        <f>IFERROR(__xludf.DUMMYFUNCTION("""COMPUTED_VALUE"""),"#GobyernongTapat #AngatBuhayLahat")</f>
        <v>#GobyernongTapat #AngatBuhayLahat</v>
      </c>
      <c r="F1210" s="1"/>
      <c r="G1210" s="1" t="str">
        <f>IFERROR(__xludf.DUMMYFUNCTION("""COMPUTED_VALUE"""),"3 mos")</f>
        <v>3 mos</v>
      </c>
      <c r="H1210" s="1" t="str">
        <f>IFERROR(__xludf.DUMMYFUNCTION("""COMPUTED_VALUE"""),"comment")</f>
        <v>comment</v>
      </c>
      <c r="I121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0" s="1" t="str">
        <f>IFERROR(__xludf.DUMMYFUNCTION("""COMPUTED_VALUE"""),"2022-07-04T15:40:03.370Z")</f>
        <v>2022-07-04T15:40:03.370Z</v>
      </c>
      <c r="K1210" s="1"/>
    </row>
    <row r="1211">
      <c r="A1211" s="2" t="str">
        <f>IFERROR(__xludf.DUMMYFUNCTION("""COMPUTED_VALUE"""),"https://www.facebook.com/trisha.gellangarin")</f>
        <v>https://www.facebook.com/trisha.gellangarin</v>
      </c>
      <c r="B1211" s="1" t="str">
        <f>IFERROR(__xludf.DUMMYFUNCTION("""COMPUTED_VALUE"""),"Lovely Trisha T. Gellangarin")</f>
        <v>Lovely Trisha T. Gellangarin</v>
      </c>
      <c r="C1211" s="1" t="str">
        <f>IFERROR(__xludf.DUMMYFUNCTION("""COMPUTED_VALUE"""),"Lovely")</f>
        <v>Lovely</v>
      </c>
      <c r="D1211" s="1" t="str">
        <f>IFERROR(__xludf.DUMMYFUNCTION("""COMPUTED_VALUE"""),"Trisha T. Gellangarin")</f>
        <v>Trisha T. Gellangarin</v>
      </c>
      <c r="E1211" s="1" t="str">
        <f>IFERROR(__xludf.DUMMYFUNCTION("""COMPUTED_VALUE"""),".")</f>
        <v>.</v>
      </c>
      <c r="F1211" s="1"/>
      <c r="G1211" s="1" t="str">
        <f>IFERROR(__xludf.DUMMYFUNCTION("""COMPUTED_VALUE"""),"3 mos")</f>
        <v>3 mos</v>
      </c>
      <c r="H1211" s="1" t="str">
        <f>IFERROR(__xludf.DUMMYFUNCTION("""COMPUTED_VALUE"""),"comment")</f>
        <v>comment</v>
      </c>
      <c r="I121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1" s="1" t="str">
        <f>IFERROR(__xludf.DUMMYFUNCTION("""COMPUTED_VALUE"""),"2022-07-04T15:40:03.370Z")</f>
        <v>2022-07-04T15:40:03.370Z</v>
      </c>
      <c r="K1211" s="1"/>
    </row>
    <row r="1212">
      <c r="A1212" s="2" t="str">
        <f>IFERROR(__xludf.DUMMYFUNCTION("""COMPUTED_VALUE"""),"https://www.facebook.com/WordsArchitect")</f>
        <v>https://www.facebook.com/WordsArchitect</v>
      </c>
      <c r="B1212" s="1" t="str">
        <f>IFERROR(__xludf.DUMMYFUNCTION("""COMPUTED_VALUE"""),"Aljen del Mar")</f>
        <v>Aljen del Mar</v>
      </c>
      <c r="C1212" s="1" t="str">
        <f>IFERROR(__xludf.DUMMYFUNCTION("""COMPUTED_VALUE"""),"Aljen")</f>
        <v>Aljen</v>
      </c>
      <c r="D1212" s="1" t="str">
        <f>IFERROR(__xludf.DUMMYFUNCTION("""COMPUTED_VALUE"""),"del Mar")</f>
        <v>del Mar</v>
      </c>
      <c r="E1212" s="1" t="str">
        <f>IFERROR(__xludf.DUMMYFUNCTION("""COMPUTED_VALUE"""),"🤍🤍🤍🤍🤍")</f>
        <v>🤍🤍🤍🤍🤍</v>
      </c>
      <c r="F1212" s="1"/>
      <c r="G1212" s="1" t="str">
        <f>IFERROR(__xludf.DUMMYFUNCTION("""COMPUTED_VALUE"""),"3 mos")</f>
        <v>3 mos</v>
      </c>
      <c r="H1212" s="1" t="str">
        <f>IFERROR(__xludf.DUMMYFUNCTION("""COMPUTED_VALUE"""),"comment")</f>
        <v>comment</v>
      </c>
      <c r="I121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2" s="1" t="str">
        <f>IFERROR(__xludf.DUMMYFUNCTION("""COMPUTED_VALUE"""),"2022-07-04T15:40:03.370Z")</f>
        <v>2022-07-04T15:40:03.370Z</v>
      </c>
      <c r="K1212" s="1"/>
    </row>
    <row r="1213">
      <c r="A1213" s="2" t="str">
        <f>IFERROR(__xludf.DUMMYFUNCTION("""COMPUTED_VALUE"""),"https://www.facebook.com/joseline.nepomuceno2")</f>
        <v>https://www.facebook.com/joseline.nepomuceno2</v>
      </c>
      <c r="B1213" s="1" t="str">
        <f>IFERROR(__xludf.DUMMYFUNCTION("""COMPUTED_VALUE"""),"Joseline Nepomuceno")</f>
        <v>Joseline Nepomuceno</v>
      </c>
      <c r="C1213" s="1" t="str">
        <f>IFERROR(__xludf.DUMMYFUNCTION("""COMPUTED_VALUE"""),"Joseline")</f>
        <v>Joseline</v>
      </c>
      <c r="D1213" s="1" t="str">
        <f>IFERROR(__xludf.DUMMYFUNCTION("""COMPUTED_VALUE"""),"Nepomuceno")</f>
        <v>Nepomuceno</v>
      </c>
      <c r="E1213" s="1" t="str">
        <f>IFERROR(__xludf.DUMMYFUNCTION("""COMPUTED_VALUE"""),"🌷🌷🌷")</f>
        <v>🌷🌷🌷</v>
      </c>
      <c r="F1213" s="1">
        <f>IFERROR(__xludf.DUMMYFUNCTION("""COMPUTED_VALUE"""),2.0)</f>
        <v>2</v>
      </c>
      <c r="G1213" s="1" t="str">
        <f>IFERROR(__xludf.DUMMYFUNCTION("""COMPUTED_VALUE"""),"3 mos")</f>
        <v>3 mos</v>
      </c>
      <c r="H1213" s="1" t="str">
        <f>IFERROR(__xludf.DUMMYFUNCTION("""COMPUTED_VALUE"""),"comment")</f>
        <v>comment</v>
      </c>
      <c r="I121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3" s="1" t="str">
        <f>IFERROR(__xludf.DUMMYFUNCTION("""COMPUTED_VALUE"""),"2022-07-04T15:40:03.370Z")</f>
        <v>2022-07-04T15:40:03.370Z</v>
      </c>
      <c r="K1213" s="1"/>
    </row>
    <row r="1214">
      <c r="A1214" s="2" t="str">
        <f>IFERROR(__xludf.DUMMYFUNCTION("""COMPUTED_VALUE"""),"https://www.facebook.com/joan.lastrilla2")</f>
        <v>https://www.facebook.com/joan.lastrilla2</v>
      </c>
      <c r="B1214" s="1" t="str">
        <f>IFERROR(__xludf.DUMMYFUNCTION("""COMPUTED_VALUE"""),"Joan Lastrilla")</f>
        <v>Joan Lastrilla</v>
      </c>
      <c r="C1214" s="1" t="str">
        <f>IFERROR(__xludf.DUMMYFUNCTION("""COMPUTED_VALUE"""),"Joan")</f>
        <v>Joan</v>
      </c>
      <c r="D1214" s="1" t="str">
        <f>IFERROR(__xludf.DUMMYFUNCTION("""COMPUTED_VALUE"""),"Lastrilla")</f>
        <v>Lastrilla</v>
      </c>
      <c r="E1214" s="1" t="str">
        <f>IFERROR(__xludf.DUMMYFUNCTION("""COMPUTED_VALUE"""),"🌸🌸🌸🌸💗💗💗")</f>
        <v>🌸🌸🌸🌸💗💗💗</v>
      </c>
      <c r="F1214" s="1">
        <f>IFERROR(__xludf.DUMMYFUNCTION("""COMPUTED_VALUE"""),1.0)</f>
        <v>1</v>
      </c>
      <c r="G1214" s="1" t="str">
        <f>IFERROR(__xludf.DUMMYFUNCTION("""COMPUTED_VALUE"""),"3 mos")</f>
        <v>3 mos</v>
      </c>
      <c r="H1214" s="1" t="str">
        <f>IFERROR(__xludf.DUMMYFUNCTION("""COMPUTED_VALUE"""),"comment")</f>
        <v>comment</v>
      </c>
      <c r="I121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4" s="1" t="str">
        <f>IFERROR(__xludf.DUMMYFUNCTION("""COMPUTED_VALUE"""),"2022-07-04T15:40:03.370Z")</f>
        <v>2022-07-04T15:40:03.370Z</v>
      </c>
      <c r="K1214" s="1"/>
    </row>
    <row r="1215">
      <c r="A1215" s="2" t="str">
        <f>IFERROR(__xludf.DUMMYFUNCTION("""COMPUTED_VALUE"""),"https://www.facebook.com/gina.deleon.5070")</f>
        <v>https://www.facebook.com/gina.deleon.5070</v>
      </c>
      <c r="B1215" s="1" t="str">
        <f>IFERROR(__xludf.DUMMYFUNCTION("""COMPUTED_VALUE"""),"Gina de Leon")</f>
        <v>Gina de Leon</v>
      </c>
      <c r="C1215" s="1" t="str">
        <f>IFERROR(__xludf.DUMMYFUNCTION("""COMPUTED_VALUE"""),"Gina")</f>
        <v>Gina</v>
      </c>
      <c r="D1215" s="1" t="str">
        <f>IFERROR(__xludf.DUMMYFUNCTION("""COMPUTED_VALUE"""),"de Leon")</f>
        <v>de Leon</v>
      </c>
      <c r="E1215" s="1" t="str">
        <f>IFERROR(__xludf.DUMMYFUNCTION("""COMPUTED_VALUE"""),"💕🥰")</f>
        <v>💕🥰</v>
      </c>
      <c r="F1215" s="1"/>
      <c r="G1215" s="1" t="str">
        <f>IFERROR(__xludf.DUMMYFUNCTION("""COMPUTED_VALUE"""),"3 mos")</f>
        <v>3 mos</v>
      </c>
      <c r="H1215" s="1" t="str">
        <f>IFERROR(__xludf.DUMMYFUNCTION("""COMPUTED_VALUE"""),"comment")</f>
        <v>comment</v>
      </c>
      <c r="I121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5" s="1" t="str">
        <f>IFERROR(__xludf.DUMMYFUNCTION("""COMPUTED_VALUE"""),"2022-07-04T15:40:03.370Z")</f>
        <v>2022-07-04T15:40:03.370Z</v>
      </c>
      <c r="K1215" s="1"/>
    </row>
    <row r="1216">
      <c r="A1216" s="2" t="str">
        <f>IFERROR(__xludf.DUMMYFUNCTION("""COMPUTED_VALUE"""),"https://www.facebook.com/jennbenneth")</f>
        <v>https://www.facebook.com/jennbenneth</v>
      </c>
      <c r="B1216" s="1" t="str">
        <f>IFERROR(__xludf.DUMMYFUNCTION("""COMPUTED_VALUE"""),"Villadulid Jenn Benneth")</f>
        <v>Villadulid Jenn Benneth</v>
      </c>
      <c r="C1216" s="1" t="str">
        <f>IFERROR(__xludf.DUMMYFUNCTION("""COMPUTED_VALUE"""),"Villadulid")</f>
        <v>Villadulid</v>
      </c>
      <c r="D1216" s="1" t="str">
        <f>IFERROR(__xludf.DUMMYFUNCTION("""COMPUTED_VALUE"""),"Jenn Benneth")</f>
        <v>Jenn Benneth</v>
      </c>
      <c r="E1216" s="1" t="str">
        <f>IFERROR(__xludf.DUMMYFUNCTION("""COMPUTED_VALUE"""),"❤💚")</f>
        <v>❤💚</v>
      </c>
      <c r="F1216" s="1"/>
      <c r="G1216" s="1" t="str">
        <f>IFERROR(__xludf.DUMMYFUNCTION("""COMPUTED_VALUE"""),"3 mos")</f>
        <v>3 mos</v>
      </c>
      <c r="H1216" s="1" t="str">
        <f>IFERROR(__xludf.DUMMYFUNCTION("""COMPUTED_VALUE"""),"comment")</f>
        <v>comment</v>
      </c>
      <c r="I121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6" s="1" t="str">
        <f>IFERROR(__xludf.DUMMYFUNCTION("""COMPUTED_VALUE"""),"2022-07-04T15:40:03.370Z")</f>
        <v>2022-07-04T15:40:03.370Z</v>
      </c>
      <c r="K1216" s="1"/>
    </row>
    <row r="1217">
      <c r="A1217" s="2" t="str">
        <f>IFERROR(__xludf.DUMMYFUNCTION("""COMPUTED_VALUE"""),"https://www.facebook.com/Krislenakate")</f>
        <v>https://www.facebook.com/Krislenakate</v>
      </c>
      <c r="B1217" s="1" t="str">
        <f>IFERROR(__xludf.DUMMYFUNCTION("""COMPUTED_VALUE"""),"Kris Y Elena Ty")</f>
        <v>Kris Y Elena Ty</v>
      </c>
      <c r="C1217" s="1" t="str">
        <f>IFERROR(__xludf.DUMMYFUNCTION("""COMPUTED_VALUE"""),"Kris")</f>
        <v>Kris</v>
      </c>
      <c r="D1217" s="1" t="str">
        <f>IFERROR(__xludf.DUMMYFUNCTION("""COMPUTED_VALUE"""),"Y Elena Ty")</f>
        <v>Y Elena Ty</v>
      </c>
      <c r="E1217" s="1" t="str">
        <f>IFERROR(__xludf.DUMMYFUNCTION("""COMPUTED_VALUE"""),"🌷🌷🌷🌷🌷🌷🌷💗💗💗💗💗💗💗")</f>
        <v>🌷🌷🌷🌷🌷🌷🌷💗💗💗💗💗💗💗</v>
      </c>
      <c r="F1217" s="1"/>
      <c r="G1217" s="1" t="str">
        <f>IFERROR(__xludf.DUMMYFUNCTION("""COMPUTED_VALUE"""),"3 mos")</f>
        <v>3 mos</v>
      </c>
      <c r="H1217" s="1" t="str">
        <f>IFERROR(__xludf.DUMMYFUNCTION("""COMPUTED_VALUE"""),"comment")</f>
        <v>comment</v>
      </c>
      <c r="I121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7" s="1" t="str">
        <f>IFERROR(__xludf.DUMMYFUNCTION("""COMPUTED_VALUE"""),"2022-07-04T15:40:03.370Z")</f>
        <v>2022-07-04T15:40:03.370Z</v>
      </c>
      <c r="K1217" s="1"/>
    </row>
    <row r="1218">
      <c r="A1218" s="2" t="str">
        <f>IFERROR(__xludf.DUMMYFUNCTION("""COMPUTED_VALUE"""),"https://www.facebook.com/iamdenaquino")</f>
        <v>https://www.facebook.com/iamdenaquino</v>
      </c>
      <c r="B1218" s="1" t="str">
        <f>IFERROR(__xludf.DUMMYFUNCTION("""COMPUTED_VALUE"""),"Dennis Anthony Aquino")</f>
        <v>Dennis Anthony Aquino</v>
      </c>
      <c r="C1218" s="1" t="str">
        <f>IFERROR(__xludf.DUMMYFUNCTION("""COMPUTED_VALUE"""),"Dennis")</f>
        <v>Dennis</v>
      </c>
      <c r="D1218" s="1" t="str">
        <f>IFERROR(__xludf.DUMMYFUNCTION("""COMPUTED_VALUE"""),"Anthony Aquino")</f>
        <v>Anthony Aquino</v>
      </c>
      <c r="E1218" s="1" t="str">
        <f>IFERROR(__xludf.DUMMYFUNCTION("""COMPUTED_VALUE"""),"🌸🌸🌸")</f>
        <v>🌸🌸🌸</v>
      </c>
      <c r="F1218" s="1"/>
      <c r="G1218" s="1" t="str">
        <f>IFERROR(__xludf.DUMMYFUNCTION("""COMPUTED_VALUE"""),"3 mos")</f>
        <v>3 mos</v>
      </c>
      <c r="H1218" s="1" t="str">
        <f>IFERROR(__xludf.DUMMYFUNCTION("""COMPUTED_VALUE"""),"comment")</f>
        <v>comment</v>
      </c>
      <c r="I121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8" s="1" t="str">
        <f>IFERROR(__xludf.DUMMYFUNCTION("""COMPUTED_VALUE"""),"2022-07-04T15:40:03.370Z")</f>
        <v>2022-07-04T15:40:03.370Z</v>
      </c>
      <c r="K1218" s="1"/>
    </row>
    <row r="1219">
      <c r="A1219" s="2" t="str">
        <f>IFERROR(__xludf.DUMMYFUNCTION("""COMPUTED_VALUE"""),"https://www.facebook.com/irma.lacorte")</f>
        <v>https://www.facebook.com/irma.lacorte</v>
      </c>
      <c r="B1219" s="1" t="str">
        <f>IFERROR(__xludf.DUMMYFUNCTION("""COMPUTED_VALUE"""),"Irma Lacorte")</f>
        <v>Irma Lacorte</v>
      </c>
      <c r="C1219" s="1" t="str">
        <f>IFERROR(__xludf.DUMMYFUNCTION("""COMPUTED_VALUE"""),"Irma")</f>
        <v>Irma</v>
      </c>
      <c r="D1219" s="1" t="str">
        <f>IFERROR(__xludf.DUMMYFUNCTION("""COMPUTED_VALUE"""),"Lacorte")</f>
        <v>Lacorte</v>
      </c>
      <c r="E1219" s="1" t="str">
        <f>IFERROR(__xludf.DUMMYFUNCTION("""COMPUTED_VALUE"""),"❤❤❤❤❤❤❤❤")</f>
        <v>❤❤❤❤❤❤❤❤</v>
      </c>
      <c r="F1219" s="1"/>
      <c r="G1219" s="1" t="str">
        <f>IFERROR(__xludf.DUMMYFUNCTION("""COMPUTED_VALUE"""),"3 mos")</f>
        <v>3 mos</v>
      </c>
      <c r="H1219" s="1" t="str">
        <f>IFERROR(__xludf.DUMMYFUNCTION("""COMPUTED_VALUE"""),"comment")</f>
        <v>comment</v>
      </c>
      <c r="I121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19" s="1" t="str">
        <f>IFERROR(__xludf.DUMMYFUNCTION("""COMPUTED_VALUE"""),"2022-07-04T15:40:03.370Z")</f>
        <v>2022-07-04T15:40:03.370Z</v>
      </c>
      <c r="K1219" s="1"/>
    </row>
    <row r="1220">
      <c r="A1220" s="2" t="str">
        <f>IFERROR(__xludf.DUMMYFUNCTION("""COMPUTED_VALUE"""),"https://www.facebook.com/eternal.swordsman")</f>
        <v>https://www.facebook.com/eternal.swordsman</v>
      </c>
      <c r="B1220" s="1" t="str">
        <f>IFERROR(__xludf.DUMMYFUNCTION("""COMPUTED_VALUE"""),"Vincent Esguerra")</f>
        <v>Vincent Esguerra</v>
      </c>
      <c r="C1220" s="1" t="str">
        <f>IFERROR(__xludf.DUMMYFUNCTION("""COMPUTED_VALUE"""),"Vincent")</f>
        <v>Vincent</v>
      </c>
      <c r="D1220" s="1" t="str">
        <f>IFERROR(__xludf.DUMMYFUNCTION("""COMPUTED_VALUE"""),"Esguerra")</f>
        <v>Esguerra</v>
      </c>
      <c r="E1220" s="1" t="str">
        <f>IFERROR(__xludf.DUMMYFUNCTION("""COMPUTED_VALUE"""),"Jhyn")</f>
        <v>Jhyn</v>
      </c>
      <c r="F1220" s="1">
        <f>IFERROR(__xludf.DUMMYFUNCTION("""COMPUTED_VALUE"""),1.0)</f>
        <v>1</v>
      </c>
      <c r="G1220" s="1" t="str">
        <f>IFERROR(__xludf.DUMMYFUNCTION("""COMPUTED_VALUE"""),"3 mos")</f>
        <v>3 mos</v>
      </c>
      <c r="H1220" s="1" t="str">
        <f>IFERROR(__xludf.DUMMYFUNCTION("""COMPUTED_VALUE"""),"comment")</f>
        <v>comment</v>
      </c>
      <c r="I122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0" s="1" t="str">
        <f>IFERROR(__xludf.DUMMYFUNCTION("""COMPUTED_VALUE"""),"2022-07-04T15:40:03.370Z")</f>
        <v>2022-07-04T15:40:03.370Z</v>
      </c>
      <c r="K1220" s="1"/>
    </row>
    <row r="1221">
      <c r="A1221" s="2" t="str">
        <f>IFERROR(__xludf.DUMMYFUNCTION("""COMPUTED_VALUE"""),"https://www.facebook.com/aprillyn.factor")</f>
        <v>https://www.facebook.com/aprillyn.factor</v>
      </c>
      <c r="B1221" s="1" t="str">
        <f>IFERROR(__xludf.DUMMYFUNCTION("""COMPUTED_VALUE"""),"April Lyn Factor")</f>
        <v>April Lyn Factor</v>
      </c>
      <c r="C1221" s="1" t="str">
        <f>IFERROR(__xludf.DUMMYFUNCTION("""COMPUTED_VALUE"""),"April")</f>
        <v>April</v>
      </c>
      <c r="D1221" s="1" t="str">
        <f>IFERROR(__xludf.DUMMYFUNCTION("""COMPUTED_VALUE"""),"Lyn Factor")</f>
        <v>Lyn Factor</v>
      </c>
      <c r="E1221" s="1" t="str">
        <f>IFERROR(__xludf.DUMMYFUNCTION("""COMPUTED_VALUE"""),"💖💖💖")</f>
        <v>💖💖💖</v>
      </c>
      <c r="F1221" s="1"/>
      <c r="G1221" s="1" t="str">
        <f>IFERROR(__xludf.DUMMYFUNCTION("""COMPUTED_VALUE"""),"3 mos")</f>
        <v>3 mos</v>
      </c>
      <c r="H1221" s="1" t="str">
        <f>IFERROR(__xludf.DUMMYFUNCTION("""COMPUTED_VALUE"""),"comment")</f>
        <v>comment</v>
      </c>
      <c r="I122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1" s="1" t="str">
        <f>IFERROR(__xludf.DUMMYFUNCTION("""COMPUTED_VALUE"""),"2022-07-04T15:40:03.370Z")</f>
        <v>2022-07-04T15:40:03.370Z</v>
      </c>
      <c r="K1221" s="1"/>
    </row>
    <row r="1222">
      <c r="A1222" s="2" t="str">
        <f>IFERROR(__xludf.DUMMYFUNCTION("""COMPUTED_VALUE"""),"https://www.facebook.com/maryjo.aragon.5")</f>
        <v>https://www.facebook.com/maryjo.aragon.5</v>
      </c>
      <c r="B1222" s="1" t="str">
        <f>IFERROR(__xludf.DUMMYFUNCTION("""COMPUTED_VALUE"""),"Mary Jo Bernardo Aragon")</f>
        <v>Mary Jo Bernardo Aragon</v>
      </c>
      <c r="C1222" s="1" t="str">
        <f>IFERROR(__xludf.DUMMYFUNCTION("""COMPUTED_VALUE"""),"Mary")</f>
        <v>Mary</v>
      </c>
      <c r="D1222" s="1" t="str">
        <f>IFERROR(__xludf.DUMMYFUNCTION("""COMPUTED_VALUE"""),"Jo Bernardo Aragon")</f>
        <v>Jo Bernardo Aragon</v>
      </c>
      <c r="E1222" s="1" t="str">
        <f>IFERROR(__xludf.DUMMYFUNCTION("""COMPUTED_VALUE"""),"💕💕💕")</f>
        <v>💕💕💕</v>
      </c>
      <c r="F1222" s="1"/>
      <c r="G1222" s="1" t="str">
        <f>IFERROR(__xludf.DUMMYFUNCTION("""COMPUTED_VALUE"""),"3 mos")</f>
        <v>3 mos</v>
      </c>
      <c r="H1222" s="1" t="str">
        <f>IFERROR(__xludf.DUMMYFUNCTION("""COMPUTED_VALUE"""),"comment")</f>
        <v>comment</v>
      </c>
      <c r="I122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2" s="1" t="str">
        <f>IFERROR(__xludf.DUMMYFUNCTION("""COMPUTED_VALUE"""),"2022-07-04T15:40:03.370Z")</f>
        <v>2022-07-04T15:40:03.370Z</v>
      </c>
      <c r="K1222" s="1"/>
    </row>
    <row r="1223">
      <c r="A1223" s="2" t="str">
        <f>IFERROR(__xludf.DUMMYFUNCTION("""COMPUTED_VALUE"""),"https://www.facebook.com/arisayokoya4")</f>
        <v>https://www.facebook.com/arisayokoya4</v>
      </c>
      <c r="B1223" s="1" t="str">
        <f>IFERROR(__xludf.DUMMYFUNCTION("""COMPUTED_VALUE"""),"Arisa Yokoya")</f>
        <v>Arisa Yokoya</v>
      </c>
      <c r="C1223" s="1" t="str">
        <f>IFERROR(__xludf.DUMMYFUNCTION("""COMPUTED_VALUE"""),"Arisa")</f>
        <v>Arisa</v>
      </c>
      <c r="D1223" s="1" t="str">
        <f>IFERROR(__xludf.DUMMYFUNCTION("""COMPUTED_VALUE"""),"Yokoya")</f>
        <v>Yokoya</v>
      </c>
      <c r="E1223" s="1" t="str">
        <f>IFERROR(__xludf.DUMMYFUNCTION("""COMPUTED_VALUE"""),"💗💗💗")</f>
        <v>💗💗💗</v>
      </c>
      <c r="F1223" s="1"/>
      <c r="G1223" s="1" t="str">
        <f>IFERROR(__xludf.DUMMYFUNCTION("""COMPUTED_VALUE"""),"3 mos")</f>
        <v>3 mos</v>
      </c>
      <c r="H1223" s="1" t="str">
        <f>IFERROR(__xludf.DUMMYFUNCTION("""COMPUTED_VALUE"""),"comment")</f>
        <v>comment</v>
      </c>
      <c r="I122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3" s="1" t="str">
        <f>IFERROR(__xludf.DUMMYFUNCTION("""COMPUTED_VALUE"""),"2022-07-04T15:40:03.370Z")</f>
        <v>2022-07-04T15:40:03.370Z</v>
      </c>
      <c r="K1223" s="1"/>
    </row>
    <row r="1224">
      <c r="A1224" s="2" t="str">
        <f>IFERROR(__xludf.DUMMYFUNCTION("""COMPUTED_VALUE"""),"https://www.facebook.com/zeke.santos.581")</f>
        <v>https://www.facebook.com/zeke.santos.581</v>
      </c>
      <c r="B1224" s="1" t="str">
        <f>IFERROR(__xludf.DUMMYFUNCTION("""COMPUTED_VALUE"""),"Zeke Santos")</f>
        <v>Zeke Santos</v>
      </c>
      <c r="C1224" s="1" t="str">
        <f>IFERROR(__xludf.DUMMYFUNCTION("""COMPUTED_VALUE"""),"Zeke")</f>
        <v>Zeke</v>
      </c>
      <c r="D1224" s="1" t="str">
        <f>IFERROR(__xludf.DUMMYFUNCTION("""COMPUTED_VALUE"""),"Santos")</f>
        <v>Santos</v>
      </c>
      <c r="E1224" s="1" t="str">
        <f>IFERROR(__xludf.DUMMYFUNCTION("""COMPUTED_VALUE"""),"❤❤❤")</f>
        <v>❤❤❤</v>
      </c>
      <c r="F1224" s="1"/>
      <c r="G1224" s="1" t="str">
        <f>IFERROR(__xludf.DUMMYFUNCTION("""COMPUTED_VALUE"""),"3 mos")</f>
        <v>3 mos</v>
      </c>
      <c r="H1224" s="1" t="str">
        <f>IFERROR(__xludf.DUMMYFUNCTION("""COMPUTED_VALUE"""),"comment")</f>
        <v>comment</v>
      </c>
      <c r="I122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4" s="1" t="str">
        <f>IFERROR(__xludf.DUMMYFUNCTION("""COMPUTED_VALUE"""),"2022-07-04T15:40:03.370Z")</f>
        <v>2022-07-04T15:40:03.370Z</v>
      </c>
      <c r="K1224" s="1"/>
    </row>
    <row r="1225">
      <c r="A1225" s="2" t="str">
        <f>IFERROR(__xludf.DUMMYFUNCTION("""COMPUTED_VALUE"""),"https://www.facebook.com/reby.figueroa")</f>
        <v>https://www.facebook.com/reby.figueroa</v>
      </c>
      <c r="B1225" s="1" t="str">
        <f>IFERROR(__xludf.DUMMYFUNCTION("""COMPUTED_VALUE"""),"Reby M. Figueroa")</f>
        <v>Reby M. Figueroa</v>
      </c>
      <c r="C1225" s="1" t="str">
        <f>IFERROR(__xludf.DUMMYFUNCTION("""COMPUTED_VALUE"""),"Reby")</f>
        <v>Reby</v>
      </c>
      <c r="D1225" s="1" t="str">
        <f>IFERROR(__xludf.DUMMYFUNCTION("""COMPUTED_VALUE"""),"M. Figueroa")</f>
        <v>M. Figueroa</v>
      </c>
      <c r="E1225" s="1" t="str">
        <f>IFERROR(__xludf.DUMMYFUNCTION("""COMPUTED_VALUE"""),"💗💗💗")</f>
        <v>💗💗💗</v>
      </c>
      <c r="F1225" s="1"/>
      <c r="G1225" s="1" t="str">
        <f>IFERROR(__xludf.DUMMYFUNCTION("""COMPUTED_VALUE"""),"3 mos")</f>
        <v>3 mos</v>
      </c>
      <c r="H1225" s="1" t="str">
        <f>IFERROR(__xludf.DUMMYFUNCTION("""COMPUTED_VALUE"""),"comment")</f>
        <v>comment</v>
      </c>
      <c r="I122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5" s="1" t="str">
        <f>IFERROR(__xludf.DUMMYFUNCTION("""COMPUTED_VALUE"""),"2022-07-04T15:40:03.370Z")</f>
        <v>2022-07-04T15:40:03.370Z</v>
      </c>
      <c r="K1225" s="1"/>
    </row>
    <row r="1226">
      <c r="A1226" s="2" t="str">
        <f>IFERROR(__xludf.DUMMYFUNCTION("""COMPUTED_VALUE"""),"https://www.facebook.com/mbungabong1")</f>
        <v>https://www.facebook.com/mbungabong1</v>
      </c>
      <c r="B1226" s="1" t="str">
        <f>IFERROR(__xludf.DUMMYFUNCTION("""COMPUTED_VALUE"""),"Mia Panis")</f>
        <v>Mia Panis</v>
      </c>
      <c r="C1226" s="1" t="str">
        <f>IFERROR(__xludf.DUMMYFUNCTION("""COMPUTED_VALUE"""),"Mia")</f>
        <v>Mia</v>
      </c>
      <c r="D1226" s="1" t="str">
        <f>IFERROR(__xludf.DUMMYFUNCTION("""COMPUTED_VALUE"""),"Panis")</f>
        <v>Panis</v>
      </c>
      <c r="E1226" s="1" t="str">
        <f>IFERROR(__xludf.DUMMYFUNCTION("""COMPUTED_VALUE"""),"🌸🌸🌸💕💕💕")</f>
        <v>🌸🌸🌸💕💕💕</v>
      </c>
      <c r="F1226" s="1"/>
      <c r="G1226" s="1" t="str">
        <f>IFERROR(__xludf.DUMMYFUNCTION("""COMPUTED_VALUE"""),"3 mos")</f>
        <v>3 mos</v>
      </c>
      <c r="H1226" s="1" t="str">
        <f>IFERROR(__xludf.DUMMYFUNCTION("""COMPUTED_VALUE"""),"comment")</f>
        <v>comment</v>
      </c>
      <c r="I122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6" s="1" t="str">
        <f>IFERROR(__xludf.DUMMYFUNCTION("""COMPUTED_VALUE"""),"2022-07-04T15:40:03.370Z")</f>
        <v>2022-07-04T15:40:03.370Z</v>
      </c>
      <c r="K1226" s="1"/>
    </row>
    <row r="1227">
      <c r="A1227" s="2" t="str">
        <f>IFERROR(__xludf.DUMMYFUNCTION("""COMPUTED_VALUE"""),"https://www.facebook.com/babeleth.inigo")</f>
        <v>https://www.facebook.com/babeleth.inigo</v>
      </c>
      <c r="B1227" s="1" t="str">
        <f>IFERROR(__xludf.DUMMYFUNCTION("""COMPUTED_VALUE"""),"Babeleth Inigo")</f>
        <v>Babeleth Inigo</v>
      </c>
      <c r="C1227" s="1" t="str">
        <f>IFERROR(__xludf.DUMMYFUNCTION("""COMPUTED_VALUE"""),"Babeleth")</f>
        <v>Babeleth</v>
      </c>
      <c r="D1227" s="1" t="str">
        <f>IFERROR(__xludf.DUMMYFUNCTION("""COMPUTED_VALUE"""),"Inigo")</f>
        <v>Inigo</v>
      </c>
      <c r="E1227" s="1" t="str">
        <f>IFERROR(__xludf.DUMMYFUNCTION("""COMPUTED_VALUE"""),"💖💖💖")</f>
        <v>💖💖💖</v>
      </c>
      <c r="F1227" s="1"/>
      <c r="G1227" s="1" t="str">
        <f>IFERROR(__xludf.DUMMYFUNCTION("""COMPUTED_VALUE"""),"3 mos")</f>
        <v>3 mos</v>
      </c>
      <c r="H1227" s="1" t="str">
        <f>IFERROR(__xludf.DUMMYFUNCTION("""COMPUTED_VALUE"""),"comment")</f>
        <v>comment</v>
      </c>
      <c r="I122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7" s="1" t="str">
        <f>IFERROR(__xludf.DUMMYFUNCTION("""COMPUTED_VALUE"""),"2022-07-04T15:40:03.370Z")</f>
        <v>2022-07-04T15:40:03.370Z</v>
      </c>
      <c r="K1227" s="1"/>
    </row>
    <row r="1228">
      <c r="A1228" s="2" t="str">
        <f>IFERROR(__xludf.DUMMYFUNCTION("""COMPUTED_VALUE"""),"https://www.facebook.com/profile.php?id=100021390940755")</f>
        <v>https://www.facebook.com/profile.php?id=100021390940755</v>
      </c>
      <c r="B1228" s="1" t="str">
        <f>IFERROR(__xludf.DUMMYFUNCTION("""COMPUTED_VALUE"""),"Enrico Carlos")</f>
        <v>Enrico Carlos</v>
      </c>
      <c r="C1228" s="1" t="str">
        <f>IFERROR(__xludf.DUMMYFUNCTION("""COMPUTED_VALUE"""),"Enrico")</f>
        <v>Enrico</v>
      </c>
      <c r="D1228" s="1" t="str">
        <f>IFERROR(__xludf.DUMMYFUNCTION("""COMPUTED_VALUE"""),"Carlos")</f>
        <v>Carlos</v>
      </c>
      <c r="E1228" s="1" t="str">
        <f>IFERROR(__xludf.DUMMYFUNCTION("""COMPUTED_VALUE"""),"Grece Roxas 💗")</f>
        <v>Grece Roxas 💗</v>
      </c>
      <c r="F1228" s="1">
        <f>IFERROR(__xludf.DUMMYFUNCTION("""COMPUTED_VALUE"""),1.0)</f>
        <v>1</v>
      </c>
      <c r="G1228" s="1" t="str">
        <f>IFERROR(__xludf.DUMMYFUNCTION("""COMPUTED_VALUE"""),"3 mos")</f>
        <v>3 mos</v>
      </c>
      <c r="H1228" s="1" t="str">
        <f>IFERROR(__xludf.DUMMYFUNCTION("""COMPUTED_VALUE"""),"comment")</f>
        <v>comment</v>
      </c>
      <c r="I122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8" s="1" t="str">
        <f>IFERROR(__xludf.DUMMYFUNCTION("""COMPUTED_VALUE"""),"2022-07-04T15:40:03.370Z")</f>
        <v>2022-07-04T15:40:03.370Z</v>
      </c>
      <c r="K1228" s="1"/>
    </row>
    <row r="1229">
      <c r="A1229" s="2" t="str">
        <f>IFERROR(__xludf.DUMMYFUNCTION("""COMPUTED_VALUE"""),"https://www.facebook.com/alistairjason.tamayou")</f>
        <v>https://www.facebook.com/alistairjason.tamayou</v>
      </c>
      <c r="B1229" s="1" t="str">
        <f>IFERROR(__xludf.DUMMYFUNCTION("""COMPUTED_VALUE"""),"Alistair Jason Rafols")</f>
        <v>Alistair Jason Rafols</v>
      </c>
      <c r="C1229" s="1" t="str">
        <f>IFERROR(__xludf.DUMMYFUNCTION("""COMPUTED_VALUE"""),"Alistair")</f>
        <v>Alistair</v>
      </c>
      <c r="D1229" s="1" t="str">
        <f>IFERROR(__xludf.DUMMYFUNCTION("""COMPUTED_VALUE"""),"Jason Rafols")</f>
        <v>Jason Rafols</v>
      </c>
      <c r="E1229" s="1" t="str">
        <f>IFERROR(__xludf.DUMMYFUNCTION("""COMPUTED_VALUE"""),"❤️❤️❤️")</f>
        <v>❤️❤️❤️</v>
      </c>
      <c r="F1229" s="1">
        <f>IFERROR(__xludf.DUMMYFUNCTION("""COMPUTED_VALUE"""),2.0)</f>
        <v>2</v>
      </c>
      <c r="G1229" s="1" t="str">
        <f>IFERROR(__xludf.DUMMYFUNCTION("""COMPUTED_VALUE"""),"3 mos")</f>
        <v>3 mos</v>
      </c>
      <c r="H1229" s="1" t="str">
        <f>IFERROR(__xludf.DUMMYFUNCTION("""COMPUTED_VALUE"""),"comment")</f>
        <v>comment</v>
      </c>
      <c r="I122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29" s="1" t="str">
        <f>IFERROR(__xludf.DUMMYFUNCTION("""COMPUTED_VALUE"""),"2022-07-04T15:40:03.370Z")</f>
        <v>2022-07-04T15:40:03.370Z</v>
      </c>
      <c r="K1229" s="1"/>
    </row>
    <row r="1230">
      <c r="A1230" s="2" t="str">
        <f>IFERROR(__xludf.DUMMYFUNCTION("""COMPUTED_VALUE"""),"https://www.facebook.com/asela.calamlam")</f>
        <v>https://www.facebook.com/asela.calamlam</v>
      </c>
      <c r="B1230" s="1" t="str">
        <f>IFERROR(__xludf.DUMMYFUNCTION("""COMPUTED_VALUE"""),"Asela M. Calamlam")</f>
        <v>Asela M. Calamlam</v>
      </c>
      <c r="C1230" s="1" t="str">
        <f>IFERROR(__xludf.DUMMYFUNCTION("""COMPUTED_VALUE"""),"Asela")</f>
        <v>Asela</v>
      </c>
      <c r="D1230" s="1" t="str">
        <f>IFERROR(__xludf.DUMMYFUNCTION("""COMPUTED_VALUE"""),"M. Calamlam")</f>
        <v>M. Calamlam</v>
      </c>
      <c r="E1230" s="1" t="str">
        <f>IFERROR(__xludf.DUMMYFUNCTION("""COMPUTED_VALUE"""),"💗💗💗💗💗💗💗💗💗")</f>
        <v>💗💗💗💗💗💗💗💗💗</v>
      </c>
      <c r="F1230" s="1"/>
      <c r="G1230" s="1" t="str">
        <f>IFERROR(__xludf.DUMMYFUNCTION("""COMPUTED_VALUE"""),"3 mos")</f>
        <v>3 mos</v>
      </c>
      <c r="H1230" s="1" t="str">
        <f>IFERROR(__xludf.DUMMYFUNCTION("""COMPUTED_VALUE"""),"comment")</f>
        <v>comment</v>
      </c>
      <c r="I123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0" s="1" t="str">
        <f>IFERROR(__xludf.DUMMYFUNCTION("""COMPUTED_VALUE"""),"2022-07-04T15:40:03.370Z")</f>
        <v>2022-07-04T15:40:03.370Z</v>
      </c>
      <c r="K1230" s="1"/>
    </row>
    <row r="1231">
      <c r="A1231" s="2" t="str">
        <f>IFERROR(__xludf.DUMMYFUNCTION("""COMPUTED_VALUE"""),"https://www.facebook.com/jauny.marifecdoguinon")</f>
        <v>https://www.facebook.com/jauny.marifecdoguinon</v>
      </c>
      <c r="B1231" s="1" t="str">
        <f>IFERROR(__xludf.DUMMYFUNCTION("""COMPUTED_VALUE"""),"Marife C Deguiñon")</f>
        <v>Marife C Deguiñon</v>
      </c>
      <c r="C1231" s="1" t="str">
        <f>IFERROR(__xludf.DUMMYFUNCTION("""COMPUTED_VALUE"""),"Marife")</f>
        <v>Marife</v>
      </c>
      <c r="D1231" s="1" t="str">
        <f>IFERROR(__xludf.DUMMYFUNCTION("""COMPUTED_VALUE"""),"C Deguiñon")</f>
        <v>C Deguiñon</v>
      </c>
      <c r="E1231" s="1" t="str">
        <f>IFERROR(__xludf.DUMMYFUNCTION("""COMPUTED_VALUE"""),"🇵🇭🇵🇭♥️💚")</f>
        <v>🇵🇭🇵🇭♥️💚</v>
      </c>
      <c r="F1231" s="1"/>
      <c r="G1231" s="1" t="str">
        <f>IFERROR(__xludf.DUMMYFUNCTION("""COMPUTED_VALUE"""),"3 mos")</f>
        <v>3 mos</v>
      </c>
      <c r="H1231" s="1" t="str">
        <f>IFERROR(__xludf.DUMMYFUNCTION("""COMPUTED_VALUE"""),"comment")</f>
        <v>comment</v>
      </c>
      <c r="I123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1" s="1" t="str">
        <f>IFERROR(__xludf.DUMMYFUNCTION("""COMPUTED_VALUE"""),"2022-07-04T15:40:03.370Z")</f>
        <v>2022-07-04T15:40:03.370Z</v>
      </c>
      <c r="K1231" s="1"/>
    </row>
    <row r="1232">
      <c r="A1232" s="2" t="str">
        <f>IFERROR(__xludf.DUMMYFUNCTION("""COMPUTED_VALUE"""),"https://www.facebook.com/cherrylynyapchapco.diaz")</f>
        <v>https://www.facebook.com/cherrylynyapchapco.diaz</v>
      </c>
      <c r="B1232" s="1" t="str">
        <f>IFERROR(__xludf.DUMMYFUNCTION("""COMPUTED_VALUE"""),"Che Diaz")</f>
        <v>Che Diaz</v>
      </c>
      <c r="C1232" s="1" t="str">
        <f>IFERROR(__xludf.DUMMYFUNCTION("""COMPUTED_VALUE"""),"Che")</f>
        <v>Che</v>
      </c>
      <c r="D1232" s="1" t="str">
        <f>IFERROR(__xludf.DUMMYFUNCTION("""COMPUTED_VALUE"""),"Diaz")</f>
        <v>Diaz</v>
      </c>
      <c r="E1232" s="1" t="str">
        <f>IFERROR(__xludf.DUMMYFUNCTION("""COMPUTED_VALUE"""),"💗💗💗")</f>
        <v>💗💗💗</v>
      </c>
      <c r="F1232" s="1"/>
      <c r="G1232" s="1" t="str">
        <f>IFERROR(__xludf.DUMMYFUNCTION("""COMPUTED_VALUE"""),"3 mos")</f>
        <v>3 mos</v>
      </c>
      <c r="H1232" s="1" t="str">
        <f>IFERROR(__xludf.DUMMYFUNCTION("""COMPUTED_VALUE"""),"comment")</f>
        <v>comment</v>
      </c>
      <c r="I123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2" s="1" t="str">
        <f>IFERROR(__xludf.DUMMYFUNCTION("""COMPUTED_VALUE"""),"2022-07-04T15:40:03.370Z")</f>
        <v>2022-07-04T15:40:03.370Z</v>
      </c>
      <c r="K1232" s="1"/>
    </row>
    <row r="1233">
      <c r="A1233" s="2" t="str">
        <f>IFERROR(__xludf.DUMMYFUNCTION("""COMPUTED_VALUE"""),"https://www.facebook.com/jury.vibar")</f>
        <v>https://www.facebook.com/jury.vibar</v>
      </c>
      <c r="B1233" s="1" t="str">
        <f>IFERROR(__xludf.DUMMYFUNCTION("""COMPUTED_VALUE"""),"Jury Vbr")</f>
        <v>Jury Vbr</v>
      </c>
      <c r="C1233" s="1" t="str">
        <f>IFERROR(__xludf.DUMMYFUNCTION("""COMPUTED_VALUE"""),"Jury")</f>
        <v>Jury</v>
      </c>
      <c r="D1233" s="1" t="str">
        <f>IFERROR(__xludf.DUMMYFUNCTION("""COMPUTED_VALUE"""),"Vbr")</f>
        <v>Vbr</v>
      </c>
      <c r="E1233" s="1" t="str">
        <f>IFERROR(__xludf.DUMMYFUNCTION("""COMPUTED_VALUE"""),"💗💗💗")</f>
        <v>💗💗💗</v>
      </c>
      <c r="F1233" s="1"/>
      <c r="G1233" s="1" t="str">
        <f>IFERROR(__xludf.DUMMYFUNCTION("""COMPUTED_VALUE"""),"3 mos")</f>
        <v>3 mos</v>
      </c>
      <c r="H1233" s="1" t="str">
        <f>IFERROR(__xludf.DUMMYFUNCTION("""COMPUTED_VALUE"""),"comment")</f>
        <v>comment</v>
      </c>
      <c r="I123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3" s="1" t="str">
        <f>IFERROR(__xludf.DUMMYFUNCTION("""COMPUTED_VALUE"""),"2022-07-04T15:40:03.370Z")</f>
        <v>2022-07-04T15:40:03.370Z</v>
      </c>
      <c r="K1233" s="1"/>
    </row>
    <row r="1234">
      <c r="A1234" s="2" t="str">
        <f>IFERROR(__xludf.DUMMYFUNCTION("""COMPUTED_VALUE"""),"https://www.facebook.com/cherry.samson.7374")</f>
        <v>https://www.facebook.com/cherry.samson.7374</v>
      </c>
      <c r="B1234" s="1" t="str">
        <f>IFERROR(__xludf.DUMMYFUNCTION("""COMPUTED_VALUE"""),"Che Samson")</f>
        <v>Che Samson</v>
      </c>
      <c r="C1234" s="1" t="str">
        <f>IFERROR(__xludf.DUMMYFUNCTION("""COMPUTED_VALUE"""),"Che")</f>
        <v>Che</v>
      </c>
      <c r="D1234" s="1" t="str">
        <f>IFERROR(__xludf.DUMMYFUNCTION("""COMPUTED_VALUE"""),"Samson")</f>
        <v>Samson</v>
      </c>
      <c r="E1234" s="1" t="str">
        <f>IFERROR(__xludf.DUMMYFUNCTION("""COMPUTED_VALUE"""),"🌸🌸🌸🌸🌸🌸🌸🌸🌸🌸🌸🌸🌸🌸🌸🌸🌸🌸🌸🌸🌸🌸🌸🌸🌸🌸🌸🌸🌸🌸🌸🌸🌸🌸🌸🌸🌸🌸🌸🌸🌸🌸🌸🌸🌸🌸🌸🌸🌸🌸🌸🌸🌸🌸🌸🌸🌸🌸🌸🌸")</f>
        <v>🌸🌸🌸🌸🌸🌸🌸🌸🌸🌸🌸🌸🌸🌸🌸🌸🌸🌸🌸🌸🌸🌸🌸🌸🌸🌸🌸🌸🌸🌸🌸🌸🌸🌸🌸🌸🌸🌸🌸🌸🌸🌸🌸🌸🌸🌸🌸🌸🌸🌸🌸🌸🌸🌸🌸🌸🌸🌸🌸🌸</v>
      </c>
      <c r="F1234" s="1">
        <f>IFERROR(__xludf.DUMMYFUNCTION("""COMPUTED_VALUE"""),1.0)</f>
        <v>1</v>
      </c>
      <c r="G1234" s="1" t="str">
        <f>IFERROR(__xludf.DUMMYFUNCTION("""COMPUTED_VALUE"""),"3 mos")</f>
        <v>3 mos</v>
      </c>
      <c r="H1234" s="1" t="str">
        <f>IFERROR(__xludf.DUMMYFUNCTION("""COMPUTED_VALUE"""),"comment")</f>
        <v>comment</v>
      </c>
      <c r="I123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4" s="1" t="str">
        <f>IFERROR(__xludf.DUMMYFUNCTION("""COMPUTED_VALUE"""),"2022-07-04T15:40:03.370Z")</f>
        <v>2022-07-04T15:40:03.370Z</v>
      </c>
      <c r="K1234" s="1"/>
    </row>
    <row r="1235">
      <c r="A1235" s="2" t="str">
        <f>IFERROR(__xludf.DUMMYFUNCTION("""COMPUTED_VALUE"""),"https://www.facebook.com/profile.php?id=100009085638334")</f>
        <v>https://www.facebook.com/profile.php?id=100009085638334</v>
      </c>
      <c r="B1235" s="1" t="str">
        <f>IFERROR(__xludf.DUMMYFUNCTION("""COMPUTED_VALUE"""),"Arlene Mallare Tantay")</f>
        <v>Arlene Mallare Tantay</v>
      </c>
      <c r="C1235" s="1" t="str">
        <f>IFERROR(__xludf.DUMMYFUNCTION("""COMPUTED_VALUE"""),"Arlene")</f>
        <v>Arlene</v>
      </c>
      <c r="D1235" s="1" t="str">
        <f>IFERROR(__xludf.DUMMYFUNCTION("""COMPUTED_VALUE"""),"Mallare Tantay")</f>
        <v>Mallare Tantay</v>
      </c>
      <c r="E1235" s="1" t="str">
        <f>IFERROR(__xludf.DUMMYFUNCTION("""COMPUTED_VALUE"""),"🌸🌸🌸🌸💓💓💓")</f>
        <v>🌸🌸🌸🌸💓💓💓</v>
      </c>
      <c r="F1235" s="1"/>
      <c r="G1235" s="1" t="str">
        <f>IFERROR(__xludf.DUMMYFUNCTION("""COMPUTED_VALUE"""),"3 mos")</f>
        <v>3 mos</v>
      </c>
      <c r="H1235" s="1" t="str">
        <f>IFERROR(__xludf.DUMMYFUNCTION("""COMPUTED_VALUE"""),"comment")</f>
        <v>comment</v>
      </c>
      <c r="I123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5" s="1" t="str">
        <f>IFERROR(__xludf.DUMMYFUNCTION("""COMPUTED_VALUE"""),"2022-07-04T15:40:03.370Z")</f>
        <v>2022-07-04T15:40:03.370Z</v>
      </c>
      <c r="K1235" s="1"/>
    </row>
    <row r="1236">
      <c r="A1236" s="2" t="str">
        <f>IFERROR(__xludf.DUMMYFUNCTION("""COMPUTED_VALUE"""),"https://www.facebook.com/ej.munieza1027")</f>
        <v>https://www.facebook.com/ej.munieza1027</v>
      </c>
      <c r="B1236" s="1" t="str">
        <f>IFERROR(__xludf.DUMMYFUNCTION("""COMPUTED_VALUE"""),"Ijay Munieza")</f>
        <v>Ijay Munieza</v>
      </c>
      <c r="C1236" s="1" t="str">
        <f>IFERROR(__xludf.DUMMYFUNCTION("""COMPUTED_VALUE"""),"Ijay")</f>
        <v>Ijay</v>
      </c>
      <c r="D1236" s="1" t="str">
        <f>IFERROR(__xludf.DUMMYFUNCTION("""COMPUTED_VALUE"""),"Munieza")</f>
        <v>Munieza</v>
      </c>
      <c r="E1236" s="1" t="str">
        <f>IFERROR(__xludf.DUMMYFUNCTION("""COMPUTED_VALUE"""),"💗💗💗💗")</f>
        <v>💗💗💗💗</v>
      </c>
      <c r="F1236" s="1"/>
      <c r="G1236" s="1" t="str">
        <f>IFERROR(__xludf.DUMMYFUNCTION("""COMPUTED_VALUE"""),"3 mos")</f>
        <v>3 mos</v>
      </c>
      <c r="H1236" s="1" t="str">
        <f>IFERROR(__xludf.DUMMYFUNCTION("""COMPUTED_VALUE"""),"comment")</f>
        <v>comment</v>
      </c>
      <c r="I123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6" s="1" t="str">
        <f>IFERROR(__xludf.DUMMYFUNCTION("""COMPUTED_VALUE"""),"2022-07-04T15:40:03.370Z")</f>
        <v>2022-07-04T15:40:03.370Z</v>
      </c>
      <c r="K1236" s="1"/>
    </row>
    <row r="1237">
      <c r="A1237" s="2" t="str">
        <f>IFERROR(__xludf.DUMMYFUNCTION("""COMPUTED_VALUE"""),"https://www.facebook.com/hayzexxi.14")</f>
        <v>https://www.facebook.com/hayzexxi.14</v>
      </c>
      <c r="B1237" s="1" t="str">
        <f>IFERROR(__xludf.DUMMYFUNCTION("""COMPUTED_VALUE"""),"Heize")</f>
        <v>Heize</v>
      </c>
      <c r="C1237" s="1" t="str">
        <f>IFERROR(__xludf.DUMMYFUNCTION("""COMPUTED_VALUE"""),"Heize")</f>
        <v>Heize</v>
      </c>
      <c r="D1237" s="1"/>
      <c r="E1237" s="1" t="str">
        <f>IFERROR(__xludf.DUMMYFUNCTION("""COMPUTED_VALUE"""),"💖💖💖💖")</f>
        <v>💖💖💖💖</v>
      </c>
      <c r="F1237" s="1"/>
      <c r="G1237" s="1" t="str">
        <f>IFERROR(__xludf.DUMMYFUNCTION("""COMPUTED_VALUE"""),"3 mos")</f>
        <v>3 mos</v>
      </c>
      <c r="H1237" s="1" t="str">
        <f>IFERROR(__xludf.DUMMYFUNCTION("""COMPUTED_VALUE"""),"comment")</f>
        <v>comment</v>
      </c>
      <c r="I123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7" s="1" t="str">
        <f>IFERROR(__xludf.DUMMYFUNCTION("""COMPUTED_VALUE"""),"2022-07-04T15:40:03.370Z")</f>
        <v>2022-07-04T15:40:03.370Z</v>
      </c>
      <c r="K1237" s="1"/>
    </row>
    <row r="1238">
      <c r="A1238" s="2" t="str">
        <f>IFERROR(__xludf.DUMMYFUNCTION("""COMPUTED_VALUE"""),"https://www.facebook.com/stalkpamoredzai")</f>
        <v>https://www.facebook.com/stalkpamoredzai</v>
      </c>
      <c r="B1238" s="1" t="str">
        <f>IFERROR(__xludf.DUMMYFUNCTION("""COMPUTED_VALUE"""),"Dn Junior")</f>
        <v>Dn Junior</v>
      </c>
      <c r="C1238" s="1" t="str">
        <f>IFERROR(__xludf.DUMMYFUNCTION("""COMPUTED_VALUE"""),"Dn")</f>
        <v>Dn</v>
      </c>
      <c r="D1238" s="1" t="str">
        <f>IFERROR(__xludf.DUMMYFUNCTION("""COMPUTED_VALUE"""),"Junior")</f>
        <v>Junior</v>
      </c>
      <c r="E1238" s="1" t="str">
        <f>IFERROR(__xludf.DUMMYFUNCTION("""COMPUTED_VALUE"""),"#LeniKiko2022 🌷🌺🌸")</f>
        <v>#LeniKiko2022 🌷🌺🌸</v>
      </c>
      <c r="F1238" s="1">
        <f>IFERROR(__xludf.DUMMYFUNCTION("""COMPUTED_VALUE"""),3.0)</f>
        <v>3</v>
      </c>
      <c r="G1238" s="1" t="str">
        <f>IFERROR(__xludf.DUMMYFUNCTION("""COMPUTED_VALUE"""),"3 mos")</f>
        <v>3 mos</v>
      </c>
      <c r="H1238" s="1" t="str">
        <f>IFERROR(__xludf.DUMMYFUNCTION("""COMPUTED_VALUE"""),"comment")</f>
        <v>comment</v>
      </c>
      <c r="I123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8" s="1" t="str">
        <f>IFERROR(__xludf.DUMMYFUNCTION("""COMPUTED_VALUE"""),"2022-07-04T15:40:03.370Z")</f>
        <v>2022-07-04T15:40:03.370Z</v>
      </c>
      <c r="K1238" s="1"/>
    </row>
    <row r="1239">
      <c r="A1239" s="2" t="str">
        <f>IFERROR(__xludf.DUMMYFUNCTION("""COMPUTED_VALUE"""),"https://www.facebook.com/earl.liquigan")</f>
        <v>https://www.facebook.com/earl.liquigan</v>
      </c>
      <c r="B1239" s="1" t="str">
        <f>IFERROR(__xludf.DUMMYFUNCTION("""COMPUTED_VALUE"""),"Earl Liquigan")</f>
        <v>Earl Liquigan</v>
      </c>
      <c r="C1239" s="1" t="str">
        <f>IFERROR(__xludf.DUMMYFUNCTION("""COMPUTED_VALUE"""),"Earl")</f>
        <v>Earl</v>
      </c>
      <c r="D1239" s="1" t="str">
        <f>IFERROR(__xludf.DUMMYFUNCTION("""COMPUTED_VALUE"""),"Liquigan")</f>
        <v>Liquigan</v>
      </c>
      <c r="E1239" s="1" t="str">
        <f>IFERROR(__xludf.DUMMYFUNCTION("""COMPUTED_VALUE"""),"🌷💗")</f>
        <v>🌷💗</v>
      </c>
      <c r="F1239" s="1"/>
      <c r="G1239" s="1" t="str">
        <f>IFERROR(__xludf.DUMMYFUNCTION("""COMPUTED_VALUE"""),"3 mos")</f>
        <v>3 mos</v>
      </c>
      <c r="H1239" s="1" t="str">
        <f>IFERROR(__xludf.DUMMYFUNCTION("""COMPUTED_VALUE"""),"comment")</f>
        <v>comment</v>
      </c>
      <c r="I123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39" s="1" t="str">
        <f>IFERROR(__xludf.DUMMYFUNCTION("""COMPUTED_VALUE"""),"2022-07-04T15:40:03.370Z")</f>
        <v>2022-07-04T15:40:03.370Z</v>
      </c>
      <c r="K1239" s="1"/>
    </row>
    <row r="1240">
      <c r="A1240" s="2" t="str">
        <f>IFERROR(__xludf.DUMMYFUNCTION("""COMPUTED_VALUE"""),"https://www.facebook.com/Paola.Tan.23")</f>
        <v>https://www.facebook.com/Paola.Tan.23</v>
      </c>
      <c r="B1240" s="1" t="str">
        <f>IFERROR(__xludf.DUMMYFUNCTION("""COMPUTED_VALUE"""),"Paola Tan")</f>
        <v>Paola Tan</v>
      </c>
      <c r="C1240" s="1" t="str">
        <f>IFERROR(__xludf.DUMMYFUNCTION("""COMPUTED_VALUE"""),"Paola")</f>
        <v>Paola</v>
      </c>
      <c r="D1240" s="1" t="str">
        <f>IFERROR(__xludf.DUMMYFUNCTION("""COMPUTED_VALUE"""),"Tan")</f>
        <v>Tan</v>
      </c>
      <c r="E1240" s="1" t="str">
        <f>IFERROR(__xludf.DUMMYFUNCTION("""COMPUTED_VALUE"""),"Kristine De Guzman")</f>
        <v>Kristine De Guzman</v>
      </c>
      <c r="F1240" s="1">
        <f>IFERROR(__xludf.DUMMYFUNCTION("""COMPUTED_VALUE"""),1.0)</f>
        <v>1</v>
      </c>
      <c r="G1240" s="1" t="str">
        <f>IFERROR(__xludf.DUMMYFUNCTION("""COMPUTED_VALUE"""),"3 mos")</f>
        <v>3 mos</v>
      </c>
      <c r="H1240" s="1" t="str">
        <f>IFERROR(__xludf.DUMMYFUNCTION("""COMPUTED_VALUE"""),"comment")</f>
        <v>comment</v>
      </c>
      <c r="I124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0" s="1" t="str">
        <f>IFERROR(__xludf.DUMMYFUNCTION("""COMPUTED_VALUE"""),"2022-07-04T15:40:03.370Z")</f>
        <v>2022-07-04T15:40:03.370Z</v>
      </c>
      <c r="K1240" s="1"/>
    </row>
    <row r="1241">
      <c r="A1241" s="2" t="str">
        <f>IFERROR(__xludf.DUMMYFUNCTION("""COMPUTED_VALUE"""),"https://www.facebook.com/jheiykun.tolentino")</f>
        <v>https://www.facebook.com/jheiykun.tolentino</v>
      </c>
      <c r="B1241" s="1" t="str">
        <f>IFERROR(__xludf.DUMMYFUNCTION("""COMPUTED_VALUE"""),"Jheiy Tolentino Mancenon")</f>
        <v>Jheiy Tolentino Mancenon</v>
      </c>
      <c r="C1241" s="1" t="str">
        <f>IFERROR(__xludf.DUMMYFUNCTION("""COMPUTED_VALUE"""),"Jheiy")</f>
        <v>Jheiy</v>
      </c>
      <c r="D1241" s="1" t="str">
        <f>IFERROR(__xludf.DUMMYFUNCTION("""COMPUTED_VALUE"""),"Tolentino Mancenon")</f>
        <v>Tolentino Mancenon</v>
      </c>
      <c r="E1241" s="1" t="str">
        <f>IFERROR(__xludf.DUMMYFUNCTION("""COMPUTED_VALUE"""),"✌️💚❤️🙏")</f>
        <v>✌️💚❤️🙏</v>
      </c>
      <c r="F1241" s="1"/>
      <c r="G1241" s="1" t="str">
        <f>IFERROR(__xludf.DUMMYFUNCTION("""COMPUTED_VALUE"""),"3 mos")</f>
        <v>3 mos</v>
      </c>
      <c r="H1241" s="1" t="str">
        <f>IFERROR(__xludf.DUMMYFUNCTION("""COMPUTED_VALUE"""),"comment")</f>
        <v>comment</v>
      </c>
      <c r="I124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1" s="1" t="str">
        <f>IFERROR(__xludf.DUMMYFUNCTION("""COMPUTED_VALUE"""),"2022-07-04T15:40:03.370Z")</f>
        <v>2022-07-04T15:40:03.370Z</v>
      </c>
      <c r="K1241" s="1"/>
    </row>
    <row r="1242">
      <c r="A1242" s="2" t="str">
        <f>IFERROR(__xludf.DUMMYFUNCTION("""COMPUTED_VALUE"""),"https://www.facebook.com/jnardcurvy")</f>
        <v>https://www.facebook.com/jnardcurvy</v>
      </c>
      <c r="B1242" s="1" t="str">
        <f>IFERROR(__xludf.DUMMYFUNCTION("""COMPUTED_VALUE"""),"JeinardCurvy Libunao")</f>
        <v>JeinardCurvy Libunao</v>
      </c>
      <c r="C1242" s="1" t="str">
        <f>IFERROR(__xludf.DUMMYFUNCTION("""COMPUTED_VALUE"""),"JeinardCurvy")</f>
        <v>JeinardCurvy</v>
      </c>
      <c r="D1242" s="1" t="str">
        <f>IFERROR(__xludf.DUMMYFUNCTION("""COMPUTED_VALUE"""),"Libunao")</f>
        <v>Libunao</v>
      </c>
      <c r="E1242" s="1" t="str">
        <f>IFERROR(__xludf.DUMMYFUNCTION("""COMPUTED_VALUE"""),"🌸🌸🌸")</f>
        <v>🌸🌸🌸</v>
      </c>
      <c r="F1242" s="1">
        <f>IFERROR(__xludf.DUMMYFUNCTION("""COMPUTED_VALUE"""),3.0)</f>
        <v>3</v>
      </c>
      <c r="G1242" s="1" t="str">
        <f>IFERROR(__xludf.DUMMYFUNCTION("""COMPUTED_VALUE"""),"3 mos")</f>
        <v>3 mos</v>
      </c>
      <c r="H1242" s="1" t="str">
        <f>IFERROR(__xludf.DUMMYFUNCTION("""COMPUTED_VALUE"""),"comment")</f>
        <v>comment</v>
      </c>
      <c r="I124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2" s="1" t="str">
        <f>IFERROR(__xludf.DUMMYFUNCTION("""COMPUTED_VALUE"""),"2022-07-04T15:40:03.370Z")</f>
        <v>2022-07-04T15:40:03.370Z</v>
      </c>
      <c r="K1242" s="1"/>
    </row>
    <row r="1243">
      <c r="A1243" s="2" t="str">
        <f>IFERROR(__xludf.DUMMYFUNCTION("""COMPUTED_VALUE"""),"https://www.facebook.com/romer.carredo")</f>
        <v>https://www.facebook.com/romer.carredo</v>
      </c>
      <c r="B1243" s="1" t="str">
        <f>IFERROR(__xludf.DUMMYFUNCTION("""COMPUTED_VALUE"""),"Reg Leceña Chua")</f>
        <v>Reg Leceña Chua</v>
      </c>
      <c r="C1243" s="1" t="str">
        <f>IFERROR(__xludf.DUMMYFUNCTION("""COMPUTED_VALUE"""),"Reg")</f>
        <v>Reg</v>
      </c>
      <c r="D1243" s="1" t="str">
        <f>IFERROR(__xludf.DUMMYFUNCTION("""COMPUTED_VALUE"""),"Leceña Chua")</f>
        <v>Leceña Chua</v>
      </c>
      <c r="E1243" s="1" t="str">
        <f>IFERROR(__xludf.DUMMYFUNCTION("""COMPUTED_VALUE"""),"JeinardCurvy Libunao 🙏💕")</f>
        <v>JeinardCurvy Libunao 🙏💕</v>
      </c>
      <c r="F1243" s="1"/>
      <c r="G1243" s="1" t="str">
        <f>IFERROR(__xludf.DUMMYFUNCTION("""COMPUTED_VALUE"""),"3 mos")</f>
        <v>3 mos</v>
      </c>
      <c r="H1243" s="1" t="str">
        <f>IFERROR(__xludf.DUMMYFUNCTION("""COMPUTED_VALUE"""),"reply")</f>
        <v>reply</v>
      </c>
      <c r="I124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3" s="1" t="str">
        <f>IFERROR(__xludf.DUMMYFUNCTION("""COMPUTED_VALUE"""),"2022-07-04T15:40:03.370Z")</f>
        <v>2022-07-04T15:40:03.370Z</v>
      </c>
      <c r="K1243" s="1"/>
    </row>
    <row r="1244">
      <c r="A1244" s="2" t="str">
        <f>IFERROR(__xludf.DUMMYFUNCTION("""COMPUTED_VALUE"""),"https://www.facebook.com/deepblue69")</f>
        <v>https://www.facebook.com/deepblue69</v>
      </c>
      <c r="B1244" s="1" t="str">
        <f>IFERROR(__xludf.DUMMYFUNCTION("""COMPUTED_VALUE"""),"Ulysses Loresto")</f>
        <v>Ulysses Loresto</v>
      </c>
      <c r="C1244" s="1" t="str">
        <f>IFERROR(__xludf.DUMMYFUNCTION("""COMPUTED_VALUE"""),"Ulysses")</f>
        <v>Ulysses</v>
      </c>
      <c r="D1244" s="1" t="str">
        <f>IFERROR(__xludf.DUMMYFUNCTION("""COMPUTED_VALUE"""),"Loresto")</f>
        <v>Loresto</v>
      </c>
      <c r="E1244" s="1" t="str">
        <f>IFERROR(__xludf.DUMMYFUNCTION("""COMPUTED_VALUE"""),"👍🏽👍🏼👍🏻")</f>
        <v>👍🏽👍🏼👍🏻</v>
      </c>
      <c r="F1244" s="1"/>
      <c r="G1244" s="1" t="str">
        <f>IFERROR(__xludf.DUMMYFUNCTION("""COMPUTED_VALUE"""),"3 mos")</f>
        <v>3 mos</v>
      </c>
      <c r="H1244" s="1" t="str">
        <f>IFERROR(__xludf.DUMMYFUNCTION("""COMPUTED_VALUE"""),"comment")</f>
        <v>comment</v>
      </c>
      <c r="I124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4" s="1" t="str">
        <f>IFERROR(__xludf.DUMMYFUNCTION("""COMPUTED_VALUE"""),"2022-07-04T15:40:03.370Z")</f>
        <v>2022-07-04T15:40:03.370Z</v>
      </c>
      <c r="K1244" s="1"/>
    </row>
    <row r="1245">
      <c r="A1245" s="2" t="str">
        <f>IFERROR(__xludf.DUMMYFUNCTION("""COMPUTED_VALUE"""),"https://www.facebook.com/hanzhabon")</f>
        <v>https://www.facebook.com/hanzhabon</v>
      </c>
      <c r="B1245" s="1" t="str">
        <f>IFERROR(__xludf.DUMMYFUNCTION("""COMPUTED_VALUE"""),"Hanz Habon")</f>
        <v>Hanz Habon</v>
      </c>
      <c r="C1245" s="1" t="str">
        <f>IFERROR(__xludf.DUMMYFUNCTION("""COMPUTED_VALUE"""),"Hanz")</f>
        <v>Hanz</v>
      </c>
      <c r="D1245" s="1" t="str">
        <f>IFERROR(__xludf.DUMMYFUNCTION("""COMPUTED_VALUE"""),"Habon")</f>
        <v>Habon</v>
      </c>
      <c r="E1245" s="1" t="str">
        <f>IFERROR(__xludf.DUMMYFUNCTION("""COMPUTED_VALUE"""),"💗✨✨✨✨")</f>
        <v>💗✨✨✨✨</v>
      </c>
      <c r="F1245" s="1"/>
      <c r="G1245" s="1" t="str">
        <f>IFERROR(__xludf.DUMMYFUNCTION("""COMPUTED_VALUE"""),"3 mos")</f>
        <v>3 mos</v>
      </c>
      <c r="H1245" s="1" t="str">
        <f>IFERROR(__xludf.DUMMYFUNCTION("""COMPUTED_VALUE"""),"comment")</f>
        <v>comment</v>
      </c>
      <c r="I124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5" s="1" t="str">
        <f>IFERROR(__xludf.DUMMYFUNCTION("""COMPUTED_VALUE"""),"2022-07-04T15:40:03.370Z")</f>
        <v>2022-07-04T15:40:03.370Z</v>
      </c>
      <c r="K1245" s="1"/>
    </row>
    <row r="1246">
      <c r="A1246" s="2" t="str">
        <f>IFERROR(__xludf.DUMMYFUNCTION("""COMPUTED_VALUE"""),"https://www.facebook.com/profile.php?id=1669143901")</f>
        <v>https://www.facebook.com/profile.php?id=1669143901</v>
      </c>
      <c r="B1246" s="1" t="str">
        <f>IFERROR(__xludf.DUMMYFUNCTION("""COMPUTED_VALUE"""),"Vince Tse Koi")</f>
        <v>Vince Tse Koi</v>
      </c>
      <c r="C1246" s="1" t="str">
        <f>IFERROR(__xludf.DUMMYFUNCTION("""COMPUTED_VALUE"""),"Vince")</f>
        <v>Vince</v>
      </c>
      <c r="D1246" s="1" t="str">
        <f>IFERROR(__xludf.DUMMYFUNCTION("""COMPUTED_VALUE"""),"Tse Koi")</f>
        <v>Tse Koi</v>
      </c>
      <c r="E1246" s="1" t="str">
        <f>IFERROR(__xludf.DUMMYFUNCTION("""COMPUTED_VALUE"""),"❤❤❤❤❤❤❤🇵🇭🇵🇭🇵🇭🇵🇭")</f>
        <v>❤❤❤❤❤❤❤🇵🇭🇵🇭🇵🇭🇵🇭</v>
      </c>
      <c r="F1246" s="1"/>
      <c r="G1246" s="1" t="str">
        <f>IFERROR(__xludf.DUMMYFUNCTION("""COMPUTED_VALUE"""),"3 mos")</f>
        <v>3 mos</v>
      </c>
      <c r="H1246" s="1" t="str">
        <f>IFERROR(__xludf.DUMMYFUNCTION("""COMPUTED_VALUE"""),"comment")</f>
        <v>comment</v>
      </c>
      <c r="I124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6" s="1" t="str">
        <f>IFERROR(__xludf.DUMMYFUNCTION("""COMPUTED_VALUE"""),"2022-07-04T15:40:03.370Z")</f>
        <v>2022-07-04T15:40:03.370Z</v>
      </c>
      <c r="K1246" s="1"/>
    </row>
    <row r="1247">
      <c r="A1247" s="2" t="str">
        <f>IFERROR(__xludf.DUMMYFUNCTION("""COMPUTED_VALUE"""),"https://www.facebook.com/EdithaSeva")</f>
        <v>https://www.facebook.com/EdithaSeva</v>
      </c>
      <c r="B1247" s="1" t="str">
        <f>IFERROR(__xludf.DUMMYFUNCTION("""COMPUTED_VALUE"""),"Olie SSmith")</f>
        <v>Olie SSmith</v>
      </c>
      <c r="C1247" s="1" t="str">
        <f>IFERROR(__xludf.DUMMYFUNCTION("""COMPUTED_VALUE"""),"Olie")</f>
        <v>Olie</v>
      </c>
      <c r="D1247" s="1" t="str">
        <f>IFERROR(__xludf.DUMMYFUNCTION("""COMPUTED_VALUE"""),"SSmith")</f>
        <v>SSmith</v>
      </c>
      <c r="E1247" s="1" t="str">
        <f>IFERROR(__xludf.DUMMYFUNCTION("""COMPUTED_VALUE"""),"🌸🌸🌸")</f>
        <v>🌸🌸🌸</v>
      </c>
      <c r="F1247" s="1"/>
      <c r="G1247" s="1" t="str">
        <f>IFERROR(__xludf.DUMMYFUNCTION("""COMPUTED_VALUE"""),"3 mos")</f>
        <v>3 mos</v>
      </c>
      <c r="H1247" s="1" t="str">
        <f>IFERROR(__xludf.DUMMYFUNCTION("""COMPUTED_VALUE"""),"comment")</f>
        <v>comment</v>
      </c>
      <c r="I124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7" s="1" t="str">
        <f>IFERROR(__xludf.DUMMYFUNCTION("""COMPUTED_VALUE"""),"2022-07-04T15:40:03.370Z")</f>
        <v>2022-07-04T15:40:03.370Z</v>
      </c>
      <c r="K1247" s="1"/>
    </row>
    <row r="1248">
      <c r="A1248" s="2" t="str">
        <f>IFERROR(__xludf.DUMMYFUNCTION("""COMPUTED_VALUE"""),"https://www.facebook.com/danilos.deleon.54")</f>
        <v>https://www.facebook.com/danilos.deleon.54</v>
      </c>
      <c r="B1248" s="1" t="str">
        <f>IFERROR(__xludf.DUMMYFUNCTION("""COMPUTED_VALUE"""),"Danilo S De Leon")</f>
        <v>Danilo S De Leon</v>
      </c>
      <c r="C1248" s="1" t="str">
        <f>IFERROR(__xludf.DUMMYFUNCTION("""COMPUTED_VALUE"""),"Danilo")</f>
        <v>Danilo</v>
      </c>
      <c r="D1248" s="1" t="str">
        <f>IFERROR(__xludf.DUMMYFUNCTION("""COMPUTED_VALUE"""),"S De Leon")</f>
        <v>S De Leon</v>
      </c>
      <c r="E1248" s="1" t="str">
        <f>IFERROR(__xludf.DUMMYFUNCTION("""COMPUTED_VALUE"""),"💕💕💕💗💕💕💕")</f>
        <v>💕💕💕💗💕💕💕</v>
      </c>
      <c r="F1248" s="1"/>
      <c r="G1248" s="1" t="str">
        <f>IFERROR(__xludf.DUMMYFUNCTION("""COMPUTED_VALUE"""),"3 mos")</f>
        <v>3 mos</v>
      </c>
      <c r="H1248" s="1" t="str">
        <f>IFERROR(__xludf.DUMMYFUNCTION("""COMPUTED_VALUE"""),"comment")</f>
        <v>comment</v>
      </c>
      <c r="I124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8" s="1" t="str">
        <f>IFERROR(__xludf.DUMMYFUNCTION("""COMPUTED_VALUE"""),"2022-07-04T15:40:03.370Z")</f>
        <v>2022-07-04T15:40:03.370Z</v>
      </c>
      <c r="K1248" s="1"/>
    </row>
    <row r="1249">
      <c r="A1249" s="2" t="str">
        <f>IFERROR(__xludf.DUMMYFUNCTION("""COMPUTED_VALUE"""),"https://www.facebook.com/midsayap.vines.9")</f>
        <v>https://www.facebook.com/midsayap.vines.9</v>
      </c>
      <c r="B1249" s="1" t="str">
        <f>IFERROR(__xludf.DUMMYFUNCTION("""COMPUTED_VALUE"""),"Jack Amado")</f>
        <v>Jack Amado</v>
      </c>
      <c r="C1249" s="1" t="str">
        <f>IFERROR(__xludf.DUMMYFUNCTION("""COMPUTED_VALUE"""),"Jack")</f>
        <v>Jack</v>
      </c>
      <c r="D1249" s="1" t="str">
        <f>IFERROR(__xludf.DUMMYFUNCTION("""COMPUTED_VALUE"""),"Amado")</f>
        <v>Amado</v>
      </c>
      <c r="E1249" s="1" t="str">
        <f>IFERROR(__xludf.DUMMYFUNCTION("""COMPUTED_VALUE"""),"Justine Amado")</f>
        <v>Justine Amado</v>
      </c>
      <c r="F1249" s="1">
        <f>IFERROR(__xludf.DUMMYFUNCTION("""COMPUTED_VALUE"""),1.0)</f>
        <v>1</v>
      </c>
      <c r="G1249" s="1" t="str">
        <f>IFERROR(__xludf.DUMMYFUNCTION("""COMPUTED_VALUE"""),"3 mos")</f>
        <v>3 mos</v>
      </c>
      <c r="H1249" s="1" t="str">
        <f>IFERROR(__xludf.DUMMYFUNCTION("""COMPUTED_VALUE"""),"comment")</f>
        <v>comment</v>
      </c>
      <c r="I124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49" s="1" t="str">
        <f>IFERROR(__xludf.DUMMYFUNCTION("""COMPUTED_VALUE"""),"2022-07-04T15:40:03.370Z")</f>
        <v>2022-07-04T15:40:03.370Z</v>
      </c>
      <c r="K1249" s="1"/>
    </row>
    <row r="1250">
      <c r="A1250" s="2" t="str">
        <f>IFERROR(__xludf.DUMMYFUNCTION("""COMPUTED_VALUE"""),"https://www.facebook.com/rheajoycehernandez")</f>
        <v>https://www.facebook.com/rheajoycehernandez</v>
      </c>
      <c r="B1250" s="1" t="str">
        <f>IFERROR(__xludf.DUMMYFUNCTION("""COMPUTED_VALUE"""),"Rhea Joyce Hernandez")</f>
        <v>Rhea Joyce Hernandez</v>
      </c>
      <c r="C1250" s="1" t="str">
        <f>IFERROR(__xludf.DUMMYFUNCTION("""COMPUTED_VALUE"""),"Rhea")</f>
        <v>Rhea</v>
      </c>
      <c r="D1250" s="1" t="str">
        <f>IFERROR(__xludf.DUMMYFUNCTION("""COMPUTED_VALUE"""),"Joyce Hernandez")</f>
        <v>Joyce Hernandez</v>
      </c>
      <c r="E1250" s="1" t="str">
        <f>IFERROR(__xludf.DUMMYFUNCTION("""COMPUTED_VALUE"""),"😅")</f>
        <v>😅</v>
      </c>
      <c r="F1250" s="1"/>
      <c r="G1250" s="1" t="str">
        <f>IFERROR(__xludf.DUMMYFUNCTION("""COMPUTED_VALUE"""),"3 mos")</f>
        <v>3 mos</v>
      </c>
      <c r="H1250" s="1" t="str">
        <f>IFERROR(__xludf.DUMMYFUNCTION("""COMPUTED_VALUE"""),"comment")</f>
        <v>comment</v>
      </c>
      <c r="I125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0" s="1" t="str">
        <f>IFERROR(__xludf.DUMMYFUNCTION("""COMPUTED_VALUE"""),"2022-07-04T15:40:03.370Z")</f>
        <v>2022-07-04T15:40:03.370Z</v>
      </c>
      <c r="K1250" s="1"/>
    </row>
    <row r="1251">
      <c r="A1251" s="2" t="str">
        <f>IFERROR(__xludf.DUMMYFUNCTION("""COMPUTED_VALUE"""),"https://www.facebook.com/rachel.zamora.5680")</f>
        <v>https://www.facebook.com/rachel.zamora.5680</v>
      </c>
      <c r="B1251" s="1" t="str">
        <f>IFERROR(__xludf.DUMMYFUNCTION("""COMPUTED_VALUE"""),"Rachel Zamora")</f>
        <v>Rachel Zamora</v>
      </c>
      <c r="C1251" s="1" t="str">
        <f>IFERROR(__xludf.DUMMYFUNCTION("""COMPUTED_VALUE"""),"Rachel")</f>
        <v>Rachel</v>
      </c>
      <c r="D1251" s="1" t="str">
        <f>IFERROR(__xludf.DUMMYFUNCTION("""COMPUTED_VALUE"""),"Zamora")</f>
        <v>Zamora</v>
      </c>
      <c r="E1251" s="1" t="str">
        <f>IFERROR(__xludf.DUMMYFUNCTION("""COMPUTED_VALUE"""),"❤️")</f>
        <v>❤️</v>
      </c>
      <c r="F1251" s="1"/>
      <c r="G1251" s="1" t="str">
        <f>IFERROR(__xludf.DUMMYFUNCTION("""COMPUTED_VALUE"""),"3 mos")</f>
        <v>3 mos</v>
      </c>
      <c r="H1251" s="1" t="str">
        <f>IFERROR(__xludf.DUMMYFUNCTION("""COMPUTED_VALUE"""),"comment")</f>
        <v>comment</v>
      </c>
      <c r="I125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1" s="1" t="str">
        <f>IFERROR(__xludf.DUMMYFUNCTION("""COMPUTED_VALUE"""),"2022-07-04T15:40:03.370Z")</f>
        <v>2022-07-04T15:40:03.370Z</v>
      </c>
      <c r="K1251" s="1"/>
    </row>
    <row r="1252">
      <c r="A1252" s="2" t="str">
        <f>IFERROR(__xludf.DUMMYFUNCTION("""COMPUTED_VALUE"""),"https://www.facebook.com/arni.reyes.5")</f>
        <v>https://www.facebook.com/arni.reyes.5</v>
      </c>
      <c r="B1252" s="1" t="str">
        <f>IFERROR(__xludf.DUMMYFUNCTION("""COMPUTED_VALUE"""),"Tax Reyes")</f>
        <v>Tax Reyes</v>
      </c>
      <c r="C1252" s="1" t="str">
        <f>IFERROR(__xludf.DUMMYFUNCTION("""COMPUTED_VALUE"""),"Tax")</f>
        <v>Tax</v>
      </c>
      <c r="D1252" s="1" t="str">
        <f>IFERROR(__xludf.DUMMYFUNCTION("""COMPUTED_VALUE"""),"Reyes")</f>
        <v>Reyes</v>
      </c>
      <c r="E1252" s="1" t="str">
        <f>IFERROR(__xludf.DUMMYFUNCTION("""COMPUTED_VALUE"""),"Tax Reyes")</f>
        <v>Tax Reyes</v>
      </c>
      <c r="F1252" s="1"/>
      <c r="G1252" s="1" t="str">
        <f>IFERROR(__xludf.DUMMYFUNCTION("""COMPUTED_VALUE"""),"3 mos")</f>
        <v>3 mos</v>
      </c>
      <c r="H1252" s="1" t="str">
        <f>IFERROR(__xludf.DUMMYFUNCTION("""COMPUTED_VALUE"""),"comment")</f>
        <v>comment</v>
      </c>
      <c r="I125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2" s="1" t="str">
        <f>IFERROR(__xludf.DUMMYFUNCTION("""COMPUTED_VALUE"""),"2022-07-04T15:40:03.370Z")</f>
        <v>2022-07-04T15:40:03.370Z</v>
      </c>
      <c r="K1252" s="1"/>
    </row>
    <row r="1253">
      <c r="A1253" s="2" t="str">
        <f>IFERROR(__xludf.DUMMYFUNCTION("""COMPUTED_VALUE"""),"https://www.facebook.com/profile.php?id=100078937432698")</f>
        <v>https://www.facebook.com/profile.php?id=100078937432698</v>
      </c>
      <c r="B1253" s="1" t="str">
        <f>IFERROR(__xludf.DUMMYFUNCTION("""COMPUTED_VALUE"""),"Rose Busa")</f>
        <v>Rose Busa</v>
      </c>
      <c r="C1253" s="1" t="str">
        <f>IFERROR(__xludf.DUMMYFUNCTION("""COMPUTED_VALUE"""),"Rose")</f>
        <v>Rose</v>
      </c>
      <c r="D1253" s="1" t="str">
        <f>IFERROR(__xludf.DUMMYFUNCTION("""COMPUTED_VALUE"""),"Busa")</f>
        <v>Busa</v>
      </c>
      <c r="E1253" s="1" t="str">
        <f>IFERROR(__xludf.DUMMYFUNCTION("""COMPUTED_VALUE"""),"👍❤💚👊✌")</f>
        <v>👍❤💚👊✌</v>
      </c>
      <c r="F1253" s="1"/>
      <c r="G1253" s="1" t="str">
        <f>IFERROR(__xludf.DUMMYFUNCTION("""COMPUTED_VALUE"""),"3 mos")</f>
        <v>3 mos</v>
      </c>
      <c r="H1253" s="1" t="str">
        <f>IFERROR(__xludf.DUMMYFUNCTION("""COMPUTED_VALUE"""),"comment")</f>
        <v>comment</v>
      </c>
      <c r="I125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3" s="1" t="str">
        <f>IFERROR(__xludf.DUMMYFUNCTION("""COMPUTED_VALUE"""),"2022-07-04T15:40:03.371Z")</f>
        <v>2022-07-04T15:40:03.371Z</v>
      </c>
      <c r="K1253" s="1"/>
    </row>
    <row r="1254">
      <c r="A1254" s="2" t="str">
        <f>IFERROR(__xludf.DUMMYFUNCTION("""COMPUTED_VALUE"""),"https://www.facebook.com/profile.php?id=100079992361922")</f>
        <v>https://www.facebook.com/profile.php?id=100079992361922</v>
      </c>
      <c r="B1254" s="1" t="str">
        <f>IFERROR(__xludf.DUMMYFUNCTION("""COMPUTED_VALUE"""),"Lene Villa")</f>
        <v>Lene Villa</v>
      </c>
      <c r="C1254" s="1" t="str">
        <f>IFERROR(__xludf.DUMMYFUNCTION("""COMPUTED_VALUE"""),"Lene")</f>
        <v>Lene</v>
      </c>
      <c r="D1254" s="1" t="str">
        <f>IFERROR(__xludf.DUMMYFUNCTION("""COMPUTED_VALUE"""),"Villa")</f>
        <v>Villa</v>
      </c>
      <c r="E1254" s="1" t="str">
        <f>IFERROR(__xludf.DUMMYFUNCTION("""COMPUTED_VALUE"""),"#GobyernongTapatAngatBuhayLahat💕💕💕")</f>
        <v>#GobyernongTapatAngatBuhayLahat💕💕💕</v>
      </c>
      <c r="F1254" s="1">
        <f>IFERROR(__xludf.DUMMYFUNCTION("""COMPUTED_VALUE"""),1.0)</f>
        <v>1</v>
      </c>
      <c r="G1254" s="1" t="str">
        <f>IFERROR(__xludf.DUMMYFUNCTION("""COMPUTED_VALUE"""),"3 mos")</f>
        <v>3 mos</v>
      </c>
      <c r="H1254" s="1" t="str">
        <f>IFERROR(__xludf.DUMMYFUNCTION("""COMPUTED_VALUE"""),"comment")</f>
        <v>comment</v>
      </c>
      <c r="I125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4" s="1" t="str">
        <f>IFERROR(__xludf.DUMMYFUNCTION("""COMPUTED_VALUE"""),"2022-07-04T15:40:03.371Z")</f>
        <v>2022-07-04T15:40:03.371Z</v>
      </c>
      <c r="K1254" s="1"/>
    </row>
    <row r="1255">
      <c r="A1255" s="2" t="str">
        <f>IFERROR(__xludf.DUMMYFUNCTION("""COMPUTED_VALUE"""),"https://www.facebook.com/iamALArreza")</f>
        <v>https://www.facebook.com/iamALArreza</v>
      </c>
      <c r="B1255" s="1" t="str">
        <f>IFERROR(__xludf.DUMMYFUNCTION("""COMPUTED_VALUE"""),"AL Arreza")</f>
        <v>AL Arreza</v>
      </c>
      <c r="C1255" s="1" t="str">
        <f>IFERROR(__xludf.DUMMYFUNCTION("""COMPUTED_VALUE"""),"AL")</f>
        <v>AL</v>
      </c>
      <c r="D1255" s="1" t="str">
        <f>IFERROR(__xludf.DUMMYFUNCTION("""COMPUTED_VALUE"""),"Arreza")</f>
        <v>Arreza</v>
      </c>
      <c r="E1255" s="1" t="str">
        <f>IFERROR(__xludf.DUMMYFUNCTION("""COMPUTED_VALUE"""),"💕💕💕💕💕")</f>
        <v>💕💕💕💕💕</v>
      </c>
      <c r="F1255" s="1"/>
      <c r="G1255" s="1" t="str">
        <f>IFERROR(__xludf.DUMMYFUNCTION("""COMPUTED_VALUE"""),"3 mos")</f>
        <v>3 mos</v>
      </c>
      <c r="H1255" s="1" t="str">
        <f>IFERROR(__xludf.DUMMYFUNCTION("""COMPUTED_VALUE"""),"comment")</f>
        <v>comment</v>
      </c>
      <c r="I125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5" s="1" t="str">
        <f>IFERROR(__xludf.DUMMYFUNCTION("""COMPUTED_VALUE"""),"2022-07-04T15:40:03.371Z")</f>
        <v>2022-07-04T15:40:03.371Z</v>
      </c>
      <c r="K1255" s="1"/>
    </row>
    <row r="1256">
      <c r="A1256" s="2" t="str">
        <f>IFERROR(__xludf.DUMMYFUNCTION("""COMPUTED_VALUE"""),"https://www.facebook.com/iamALArreza")</f>
        <v>https://www.facebook.com/iamALArreza</v>
      </c>
      <c r="B1256" s="1" t="str">
        <f>IFERROR(__xludf.DUMMYFUNCTION("""COMPUTED_VALUE"""),"AL Arreza")</f>
        <v>AL Arreza</v>
      </c>
      <c r="C1256" s="1" t="str">
        <f>IFERROR(__xludf.DUMMYFUNCTION("""COMPUTED_VALUE"""),"AL")</f>
        <v>AL</v>
      </c>
      <c r="D1256" s="1" t="str">
        <f>IFERROR(__xludf.DUMMYFUNCTION("""COMPUTED_VALUE"""),"Arreza")</f>
        <v>Arreza</v>
      </c>
      <c r="E1256" s="1" t="str">
        <f>IFERROR(__xludf.DUMMYFUNCTION("""COMPUTED_VALUE"""),"🌷🌷🌷🌷")</f>
        <v>🌷🌷🌷🌷</v>
      </c>
      <c r="F1256" s="1"/>
      <c r="G1256" s="1" t="str">
        <f>IFERROR(__xludf.DUMMYFUNCTION("""COMPUTED_VALUE"""),"3 mos")</f>
        <v>3 mos</v>
      </c>
      <c r="H1256" s="1" t="str">
        <f>IFERROR(__xludf.DUMMYFUNCTION("""COMPUTED_VALUE"""),"comment")</f>
        <v>comment</v>
      </c>
      <c r="I125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6" s="1" t="str">
        <f>IFERROR(__xludf.DUMMYFUNCTION("""COMPUTED_VALUE"""),"2022-07-04T15:40:03.371Z")</f>
        <v>2022-07-04T15:40:03.371Z</v>
      </c>
      <c r="K1256" s="1"/>
    </row>
    <row r="1257">
      <c r="A1257" s="2" t="str">
        <f>IFERROR(__xludf.DUMMYFUNCTION("""COMPUTED_VALUE"""),"https://www.facebook.com/iamALArreza")</f>
        <v>https://www.facebook.com/iamALArreza</v>
      </c>
      <c r="B1257" s="1" t="str">
        <f>IFERROR(__xludf.DUMMYFUNCTION("""COMPUTED_VALUE"""),"AL Arreza")</f>
        <v>AL Arreza</v>
      </c>
      <c r="C1257" s="1" t="str">
        <f>IFERROR(__xludf.DUMMYFUNCTION("""COMPUTED_VALUE"""),"AL")</f>
        <v>AL</v>
      </c>
      <c r="D1257" s="1" t="str">
        <f>IFERROR(__xludf.DUMMYFUNCTION("""COMPUTED_VALUE"""),"Arreza")</f>
        <v>Arreza</v>
      </c>
      <c r="E1257" s="1" t="str">
        <f>IFERROR(__xludf.DUMMYFUNCTION("""COMPUTED_VALUE"""),"🌸🌸🌸🌸")</f>
        <v>🌸🌸🌸🌸</v>
      </c>
      <c r="F1257" s="1"/>
      <c r="G1257" s="1" t="str">
        <f>IFERROR(__xludf.DUMMYFUNCTION("""COMPUTED_VALUE"""),"3 mos")</f>
        <v>3 mos</v>
      </c>
      <c r="H1257" s="1" t="str">
        <f>IFERROR(__xludf.DUMMYFUNCTION("""COMPUTED_VALUE"""),"comment")</f>
        <v>comment</v>
      </c>
      <c r="I125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7" s="1" t="str">
        <f>IFERROR(__xludf.DUMMYFUNCTION("""COMPUTED_VALUE"""),"2022-07-04T15:40:03.371Z")</f>
        <v>2022-07-04T15:40:03.371Z</v>
      </c>
      <c r="K1257" s="1"/>
    </row>
    <row r="1258">
      <c r="A1258" s="2" t="str">
        <f>IFERROR(__xludf.DUMMYFUNCTION("""COMPUTED_VALUE"""),"https://www.facebook.com/profile.php?id=100077966070661")</f>
        <v>https://www.facebook.com/profile.php?id=100077966070661</v>
      </c>
      <c r="B1258" s="1" t="str">
        <f>IFERROR(__xludf.DUMMYFUNCTION("""COMPUTED_VALUE"""),"Ayessa Boleyn")</f>
        <v>Ayessa Boleyn</v>
      </c>
      <c r="C1258" s="1" t="str">
        <f>IFERROR(__xludf.DUMMYFUNCTION("""COMPUTED_VALUE"""),"Ayessa")</f>
        <v>Ayessa</v>
      </c>
      <c r="D1258" s="1" t="str">
        <f>IFERROR(__xludf.DUMMYFUNCTION("""COMPUTED_VALUE"""),"Boleyn")</f>
        <v>Boleyn</v>
      </c>
      <c r="E1258" s="1" t="str">
        <f>IFERROR(__xludf.DUMMYFUNCTION("""COMPUTED_VALUE"""),"Ayessa Boleyn")</f>
        <v>Ayessa Boleyn</v>
      </c>
      <c r="F1258" s="1"/>
      <c r="G1258" s="1" t="str">
        <f>IFERROR(__xludf.DUMMYFUNCTION("""COMPUTED_VALUE"""),"3 mos")</f>
        <v>3 mos</v>
      </c>
      <c r="H1258" s="1" t="str">
        <f>IFERROR(__xludf.DUMMYFUNCTION("""COMPUTED_VALUE"""),"comment")</f>
        <v>comment</v>
      </c>
      <c r="I125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8" s="1" t="str">
        <f>IFERROR(__xludf.DUMMYFUNCTION("""COMPUTED_VALUE"""),"2022-07-04T15:40:03.371Z")</f>
        <v>2022-07-04T15:40:03.371Z</v>
      </c>
      <c r="K1258" s="1"/>
    </row>
    <row r="1259">
      <c r="A1259" s="2" t="str">
        <f>IFERROR(__xludf.DUMMYFUNCTION("""COMPUTED_VALUE"""),"https://www.facebook.com/michaeljenard.ligan")</f>
        <v>https://www.facebook.com/michaeljenard.ligan</v>
      </c>
      <c r="B1259" s="1" t="str">
        <f>IFERROR(__xludf.DUMMYFUNCTION("""COMPUTED_VALUE"""),"Michael Jenard Ligan")</f>
        <v>Michael Jenard Ligan</v>
      </c>
      <c r="C1259" s="1" t="str">
        <f>IFERROR(__xludf.DUMMYFUNCTION("""COMPUTED_VALUE"""),"Michael")</f>
        <v>Michael</v>
      </c>
      <c r="D1259" s="1" t="str">
        <f>IFERROR(__xludf.DUMMYFUNCTION("""COMPUTED_VALUE"""),"Jenard Ligan")</f>
        <v>Jenard Ligan</v>
      </c>
      <c r="E1259" s="1" t="str">
        <f>IFERROR(__xludf.DUMMYFUNCTION("""COMPUTED_VALUE"""),"#IpanaloNa10To💕 #KulayRosasAngBukas💕 #OurVoteOurFuture💕 #LeniForPresident2022💕 #kikopangilinanforvicepresident2022💕")</f>
        <v>#IpanaloNa10To💕 #KulayRosasAngBukas💕 #OurVoteOurFuture💕 #LeniForPresident2022💕 #kikopangilinanforvicepresident2022💕</v>
      </c>
      <c r="F1259" s="1">
        <f>IFERROR(__xludf.DUMMYFUNCTION("""COMPUTED_VALUE"""),3.0)</f>
        <v>3</v>
      </c>
      <c r="G1259" s="1" t="str">
        <f>IFERROR(__xludf.DUMMYFUNCTION("""COMPUTED_VALUE"""),"3 mos")</f>
        <v>3 mos</v>
      </c>
      <c r="H1259" s="1" t="str">
        <f>IFERROR(__xludf.DUMMYFUNCTION("""COMPUTED_VALUE"""),"comment")</f>
        <v>comment</v>
      </c>
      <c r="I1259"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59" s="1" t="str">
        <f>IFERROR(__xludf.DUMMYFUNCTION("""COMPUTED_VALUE"""),"2022-07-04T15:40:03.371Z")</f>
        <v>2022-07-04T15:40:03.371Z</v>
      </c>
      <c r="K1259" s="1"/>
    </row>
    <row r="1260">
      <c r="A1260" s="2" t="str">
        <f>IFERROR(__xludf.DUMMYFUNCTION("""COMPUTED_VALUE"""),"https://www.facebook.com/cookshop168")</f>
        <v>https://www.facebook.com/cookshop168</v>
      </c>
      <c r="B1260" s="1" t="str">
        <f>IFERROR(__xludf.DUMMYFUNCTION("""COMPUTED_VALUE"""),"Gem Abquina")</f>
        <v>Gem Abquina</v>
      </c>
      <c r="C1260" s="1" t="str">
        <f>IFERROR(__xludf.DUMMYFUNCTION("""COMPUTED_VALUE"""),"Gem")</f>
        <v>Gem</v>
      </c>
      <c r="D1260" s="1" t="str">
        <f>IFERROR(__xludf.DUMMYFUNCTION("""COMPUTED_VALUE"""),"Abquina")</f>
        <v>Abquina</v>
      </c>
      <c r="E1260" s="1" t="str">
        <f>IFERROR(__xludf.DUMMYFUNCTION("""COMPUTED_VALUE"""),"#CaMaNaVaIsPink")</f>
        <v>#CaMaNaVaIsPink</v>
      </c>
      <c r="F1260" s="1"/>
      <c r="G1260" s="1" t="str">
        <f>IFERROR(__xludf.DUMMYFUNCTION("""COMPUTED_VALUE"""),"3 mos")</f>
        <v>3 mos</v>
      </c>
      <c r="H1260" s="1" t="str">
        <f>IFERROR(__xludf.DUMMYFUNCTION("""COMPUTED_VALUE"""),"comment")</f>
        <v>comment</v>
      </c>
      <c r="I1260"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0" s="1" t="str">
        <f>IFERROR(__xludf.DUMMYFUNCTION("""COMPUTED_VALUE"""),"2022-07-04T15:40:03.371Z")</f>
        <v>2022-07-04T15:40:03.371Z</v>
      </c>
      <c r="K1260" s="1"/>
    </row>
    <row r="1261">
      <c r="A1261" s="2" t="str">
        <f>IFERROR(__xludf.DUMMYFUNCTION("""COMPUTED_VALUE"""),"https://www.facebook.com/tommy.o.chua")</f>
        <v>https://www.facebook.com/tommy.o.chua</v>
      </c>
      <c r="B1261" s="1" t="str">
        <f>IFERROR(__xludf.DUMMYFUNCTION("""COMPUTED_VALUE"""),"Tommy Chua")</f>
        <v>Tommy Chua</v>
      </c>
      <c r="C1261" s="1" t="str">
        <f>IFERROR(__xludf.DUMMYFUNCTION("""COMPUTED_VALUE"""),"Tommy")</f>
        <v>Tommy</v>
      </c>
      <c r="D1261" s="1" t="str">
        <f>IFERROR(__xludf.DUMMYFUNCTION("""COMPUTED_VALUE"""),"Chua")</f>
        <v>Chua</v>
      </c>
      <c r="E1261" s="1" t="str">
        <f>IFERROR(__xludf.DUMMYFUNCTION("""COMPUTED_VALUE"""),"Tommy Chua")</f>
        <v>Tommy Chua</v>
      </c>
      <c r="F1261" s="1"/>
      <c r="G1261" s="1" t="str">
        <f>IFERROR(__xludf.DUMMYFUNCTION("""COMPUTED_VALUE"""),"3 mos")</f>
        <v>3 mos</v>
      </c>
      <c r="H1261" s="1" t="str">
        <f>IFERROR(__xludf.DUMMYFUNCTION("""COMPUTED_VALUE"""),"comment")</f>
        <v>comment</v>
      </c>
      <c r="I1261"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1" s="1" t="str">
        <f>IFERROR(__xludf.DUMMYFUNCTION("""COMPUTED_VALUE"""),"2022-07-04T15:40:03.371Z")</f>
        <v>2022-07-04T15:40:03.371Z</v>
      </c>
      <c r="K1261" s="1"/>
    </row>
    <row r="1262">
      <c r="A1262" s="2" t="str">
        <f>IFERROR(__xludf.DUMMYFUNCTION("""COMPUTED_VALUE"""),"https://www.facebook.com/tommy.o.chua")</f>
        <v>https://www.facebook.com/tommy.o.chua</v>
      </c>
      <c r="B1262" s="1" t="str">
        <f>IFERROR(__xludf.DUMMYFUNCTION("""COMPUTED_VALUE"""),"Tommy Chua")</f>
        <v>Tommy Chua</v>
      </c>
      <c r="C1262" s="1" t="str">
        <f>IFERROR(__xludf.DUMMYFUNCTION("""COMPUTED_VALUE"""),"Tommy")</f>
        <v>Tommy</v>
      </c>
      <c r="D1262" s="1" t="str">
        <f>IFERROR(__xludf.DUMMYFUNCTION("""COMPUTED_VALUE"""),"Chua")</f>
        <v>Chua</v>
      </c>
      <c r="E1262" s="1" t="str">
        <f>IFERROR(__xludf.DUMMYFUNCTION("""COMPUTED_VALUE"""),"Tommy Chua")</f>
        <v>Tommy Chua</v>
      </c>
      <c r="F1262" s="1"/>
      <c r="G1262" s="1" t="str">
        <f>IFERROR(__xludf.DUMMYFUNCTION("""COMPUTED_VALUE"""),"3 mos")</f>
        <v>3 mos</v>
      </c>
      <c r="H1262" s="1" t="str">
        <f>IFERROR(__xludf.DUMMYFUNCTION("""COMPUTED_VALUE"""),"comment")</f>
        <v>comment</v>
      </c>
      <c r="I1262"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2" s="1" t="str">
        <f>IFERROR(__xludf.DUMMYFUNCTION("""COMPUTED_VALUE"""),"2022-07-04T15:40:03.371Z")</f>
        <v>2022-07-04T15:40:03.371Z</v>
      </c>
      <c r="K1262" s="1"/>
    </row>
    <row r="1263">
      <c r="A1263" s="2" t="str">
        <f>IFERROR(__xludf.DUMMYFUNCTION("""COMPUTED_VALUE"""),"https://www.facebook.com/tommy.o.chua")</f>
        <v>https://www.facebook.com/tommy.o.chua</v>
      </c>
      <c r="B1263" s="1" t="str">
        <f>IFERROR(__xludf.DUMMYFUNCTION("""COMPUTED_VALUE"""),"Tommy Chua")</f>
        <v>Tommy Chua</v>
      </c>
      <c r="C1263" s="1" t="str">
        <f>IFERROR(__xludf.DUMMYFUNCTION("""COMPUTED_VALUE"""),"Tommy")</f>
        <v>Tommy</v>
      </c>
      <c r="D1263" s="1" t="str">
        <f>IFERROR(__xludf.DUMMYFUNCTION("""COMPUTED_VALUE"""),"Chua")</f>
        <v>Chua</v>
      </c>
      <c r="E1263" s="1" t="str">
        <f>IFERROR(__xludf.DUMMYFUNCTION("""COMPUTED_VALUE"""),"Tommy Chua")</f>
        <v>Tommy Chua</v>
      </c>
      <c r="F1263" s="1"/>
      <c r="G1263" s="1" t="str">
        <f>IFERROR(__xludf.DUMMYFUNCTION("""COMPUTED_VALUE"""),"3 mos")</f>
        <v>3 mos</v>
      </c>
      <c r="H1263" s="1" t="str">
        <f>IFERROR(__xludf.DUMMYFUNCTION("""COMPUTED_VALUE"""),"comment")</f>
        <v>comment</v>
      </c>
      <c r="I1263"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3" s="1" t="str">
        <f>IFERROR(__xludf.DUMMYFUNCTION("""COMPUTED_VALUE"""),"2022-07-04T15:40:03.371Z")</f>
        <v>2022-07-04T15:40:03.371Z</v>
      </c>
      <c r="K1263" s="1"/>
    </row>
    <row r="1264">
      <c r="A1264" s="2" t="str">
        <f>IFERROR(__xludf.DUMMYFUNCTION("""COMPUTED_VALUE"""),"https://www.facebook.com/william.pajarillo.1")</f>
        <v>https://www.facebook.com/william.pajarillo.1</v>
      </c>
      <c r="B1264" s="1" t="str">
        <f>IFERROR(__xludf.DUMMYFUNCTION("""COMPUTED_VALUE"""),"William Pajarillo")</f>
        <v>William Pajarillo</v>
      </c>
      <c r="C1264" s="1" t="str">
        <f>IFERROR(__xludf.DUMMYFUNCTION("""COMPUTED_VALUE"""),"William")</f>
        <v>William</v>
      </c>
      <c r="D1264" s="1" t="str">
        <f>IFERROR(__xludf.DUMMYFUNCTION("""COMPUTED_VALUE"""),"Pajarillo")</f>
        <v>Pajarillo</v>
      </c>
      <c r="E1264" s="1" t="str">
        <f>IFERROR(__xludf.DUMMYFUNCTION("""COMPUTED_VALUE"""),"William Pajarillo")</f>
        <v>William Pajarillo</v>
      </c>
      <c r="F1264" s="1"/>
      <c r="G1264" s="1" t="str">
        <f>IFERROR(__xludf.DUMMYFUNCTION("""COMPUTED_VALUE"""),"3 mos")</f>
        <v>3 mos</v>
      </c>
      <c r="H1264" s="1" t="str">
        <f>IFERROR(__xludf.DUMMYFUNCTION("""COMPUTED_VALUE"""),"comment")</f>
        <v>comment</v>
      </c>
      <c r="I1264"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4" s="1" t="str">
        <f>IFERROR(__xludf.DUMMYFUNCTION("""COMPUTED_VALUE"""),"2022-07-04T15:40:03.371Z")</f>
        <v>2022-07-04T15:40:03.371Z</v>
      </c>
      <c r="K1264" s="1"/>
    </row>
    <row r="1265">
      <c r="A1265" s="2" t="str">
        <f>IFERROR(__xludf.DUMMYFUNCTION("""COMPUTED_VALUE"""),"https://www.facebook.com/mariaashley.rigos.3")</f>
        <v>https://www.facebook.com/mariaashley.rigos.3</v>
      </c>
      <c r="B1265" s="1" t="str">
        <f>IFERROR(__xludf.DUMMYFUNCTION("""COMPUTED_VALUE"""),"Maria Ashley B. Rigos")</f>
        <v>Maria Ashley B. Rigos</v>
      </c>
      <c r="C1265" s="1" t="str">
        <f>IFERROR(__xludf.DUMMYFUNCTION("""COMPUTED_VALUE"""),"Maria")</f>
        <v>Maria</v>
      </c>
      <c r="D1265" s="1" t="str">
        <f>IFERROR(__xludf.DUMMYFUNCTION("""COMPUTED_VALUE"""),"Ashley B. Rigos")</f>
        <v>Ashley B. Rigos</v>
      </c>
      <c r="E1265" s="1" t="str">
        <f>IFERROR(__xludf.DUMMYFUNCTION("""COMPUTED_VALUE"""),"💗💗💗")</f>
        <v>💗💗💗</v>
      </c>
      <c r="F1265" s="1"/>
      <c r="G1265" s="1" t="str">
        <f>IFERROR(__xludf.DUMMYFUNCTION("""COMPUTED_VALUE"""),"3 mos")</f>
        <v>3 mos</v>
      </c>
      <c r="H1265" s="1" t="str">
        <f>IFERROR(__xludf.DUMMYFUNCTION("""COMPUTED_VALUE"""),"comment")</f>
        <v>comment</v>
      </c>
      <c r="I1265"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5" s="1" t="str">
        <f>IFERROR(__xludf.DUMMYFUNCTION("""COMPUTED_VALUE"""),"2022-07-04T15:40:03.371Z")</f>
        <v>2022-07-04T15:40:03.371Z</v>
      </c>
      <c r="K1265" s="1"/>
    </row>
    <row r="1266">
      <c r="A1266" s="2" t="str">
        <f>IFERROR(__xludf.DUMMYFUNCTION("""COMPUTED_VALUE"""),"https://www.facebook.com/lucille.r.villanueva")</f>
        <v>https://www.facebook.com/lucille.r.villanueva</v>
      </c>
      <c r="B1266" s="1" t="str">
        <f>IFERROR(__xludf.DUMMYFUNCTION("""COMPUTED_VALUE"""),"Lucille Raymond Villanueva")</f>
        <v>Lucille Raymond Villanueva</v>
      </c>
      <c r="C1266" s="1" t="str">
        <f>IFERROR(__xludf.DUMMYFUNCTION("""COMPUTED_VALUE"""),"Lucille")</f>
        <v>Lucille</v>
      </c>
      <c r="D1266" s="1" t="str">
        <f>IFERROR(__xludf.DUMMYFUNCTION("""COMPUTED_VALUE"""),"Raymond Villanueva")</f>
        <v>Raymond Villanueva</v>
      </c>
      <c r="E1266" s="1" t="str">
        <f>IFERROR(__xludf.DUMMYFUNCTION("""COMPUTED_VALUE"""),"❤️")</f>
        <v>❤️</v>
      </c>
      <c r="F1266" s="1"/>
      <c r="G1266" s="1" t="str">
        <f>IFERROR(__xludf.DUMMYFUNCTION("""COMPUTED_VALUE"""),"3 mos")</f>
        <v>3 mos</v>
      </c>
      <c r="H1266" s="1" t="str">
        <f>IFERROR(__xludf.DUMMYFUNCTION("""COMPUTED_VALUE"""),"comment")</f>
        <v>comment</v>
      </c>
      <c r="I1266"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6" s="1" t="str">
        <f>IFERROR(__xludf.DUMMYFUNCTION("""COMPUTED_VALUE"""),"2022-07-04T15:40:03.371Z")</f>
        <v>2022-07-04T15:40:03.371Z</v>
      </c>
      <c r="K1266" s="1"/>
    </row>
    <row r="1267">
      <c r="A1267" s="2" t="str">
        <f>IFERROR(__xludf.DUMMYFUNCTION("""COMPUTED_VALUE"""),"https://www.facebook.com/shootafar")</f>
        <v>https://www.facebook.com/shootafar</v>
      </c>
      <c r="B1267" s="1" t="str">
        <f>IFERROR(__xludf.DUMMYFUNCTION("""COMPUTED_VALUE"""),"Imän Flörës")</f>
        <v>Imän Flörës</v>
      </c>
      <c r="C1267" s="1" t="str">
        <f>IFERROR(__xludf.DUMMYFUNCTION("""COMPUTED_VALUE"""),"Imän")</f>
        <v>Imän</v>
      </c>
      <c r="D1267" s="1" t="str">
        <f>IFERROR(__xludf.DUMMYFUNCTION("""COMPUTED_VALUE"""),"Flörës")</f>
        <v>Flörës</v>
      </c>
      <c r="E1267" s="1" t="str">
        <f>IFERROR(__xludf.DUMMYFUNCTION("""COMPUTED_VALUE"""),"wow, galing naman! 🌍👍 #LeniKikoAllTheWay!")</f>
        <v>wow, galing naman! 🌍👍 #LeniKikoAllTheWay!</v>
      </c>
      <c r="F1267" s="1"/>
      <c r="G1267" s="1" t="str">
        <f>IFERROR(__xludf.DUMMYFUNCTION("""COMPUTED_VALUE"""),"3 mos")</f>
        <v>3 mos</v>
      </c>
      <c r="H1267" s="1" t="str">
        <f>IFERROR(__xludf.DUMMYFUNCTION("""COMPUTED_VALUE"""),"comment")</f>
        <v>comment</v>
      </c>
      <c r="I1267"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7" s="1" t="str">
        <f>IFERROR(__xludf.DUMMYFUNCTION("""COMPUTED_VALUE"""),"2022-07-04T15:40:03.371Z")</f>
        <v>2022-07-04T15:40:03.371Z</v>
      </c>
      <c r="K1267" s="1"/>
    </row>
    <row r="1268">
      <c r="A1268" s="2" t="str">
        <f>IFERROR(__xludf.DUMMYFUNCTION("""COMPUTED_VALUE"""),"https://www.facebook.com/Gheniirose")</f>
        <v>https://www.facebook.com/Gheniirose</v>
      </c>
      <c r="B1268" s="1" t="str">
        <f>IFERROR(__xludf.DUMMYFUNCTION("""COMPUTED_VALUE"""),"Nehg Nii Rose Asorlade")</f>
        <v>Nehg Nii Rose Asorlade</v>
      </c>
      <c r="C1268" s="1" t="str">
        <f>IFERROR(__xludf.DUMMYFUNCTION("""COMPUTED_VALUE"""),"Nehg")</f>
        <v>Nehg</v>
      </c>
      <c r="D1268" s="1" t="str">
        <f>IFERROR(__xludf.DUMMYFUNCTION("""COMPUTED_VALUE"""),"Nii Rose Asorlade")</f>
        <v>Nii Rose Asorlade</v>
      </c>
      <c r="E1268" s="1" t="str">
        <f>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1268" s="1">
        <f>IFERROR(__xludf.DUMMYFUNCTION("""COMPUTED_VALUE"""),1.0)</f>
        <v>1</v>
      </c>
      <c r="G1268" s="1" t="str">
        <f>IFERROR(__xludf.DUMMYFUNCTION("""COMPUTED_VALUE"""),"3 mos")</f>
        <v>3 mos</v>
      </c>
      <c r="H1268" s="1" t="str">
        <f>IFERROR(__xludf.DUMMYFUNCTION("""COMPUTED_VALUE"""),"comment")</f>
        <v>comment</v>
      </c>
      <c r="I1268" s="2" t="str">
        <f>IFERROR(__xludf.DUMMYFUNCTION("""COMPUTED_VALUE"""),"https://www.facebook.com/rapplerdotcom/posts/pfbid0TYP6syjYwznxJKdhWv9YMaXK9NvsSEhQ2cyyCQCPMvGapWXrQBHehywgT156wqNPl")</f>
        <v>https://www.facebook.com/rapplerdotcom/posts/pfbid0TYP6syjYwznxJKdhWv9YMaXK9NvsSEhQ2cyyCQCPMvGapWXrQBHehywgT156wqNPl</v>
      </c>
      <c r="J1268" s="1" t="str">
        <f>IFERROR(__xludf.DUMMYFUNCTION("""COMPUTED_VALUE"""),"2022-07-04T15:40:03.371Z")</f>
        <v>2022-07-04T15:40:03.371Z</v>
      </c>
      <c r="K1268" s="1"/>
    </row>
    <row r="1269">
      <c r="A1269" s="2" t="str">
        <f>IFERROR(__xludf.DUMMYFUNCTION("""COMPUTED_VALUE"""),"https://www.facebook.com/emman.montenegro.1")</f>
        <v>https://www.facebook.com/emman.montenegro.1</v>
      </c>
      <c r="B1269" s="1" t="str">
        <f>IFERROR(__xludf.DUMMYFUNCTION("""COMPUTED_VALUE"""),"Emman Montenegro")</f>
        <v>Emman Montenegro</v>
      </c>
      <c r="C1269" s="1" t="str">
        <f>IFERROR(__xludf.DUMMYFUNCTION("""COMPUTED_VALUE"""),"Emman")</f>
        <v>Emman</v>
      </c>
      <c r="D1269" s="1" t="str">
        <f>IFERROR(__xludf.DUMMYFUNCTION("""COMPUTED_VALUE"""),"Montenegro")</f>
        <v>Montenegro</v>
      </c>
      <c r="E1269" s="1" t="str">
        <f>IFERROR(__xludf.DUMMYFUNCTION("""COMPUTED_VALUE"""),"Ang tunay na pagbabago at pagkakaisa ay manggagaling sa maayos, matapat, mahusay at matinong lider... #KayLeniTayo hindi ka iiwan at hindi ka pababayaan. IPAGLALABAN KA. 💖💪🇵🇭 #LeniRobredoForPresident2022 #GobyernongTapatAngatBuhayLahat #kulayrosasangk"&amp;"ulayngbukas #IpanaloNa10To")</f>
        <v>Ang tunay na pagbabago at pagkakaisa ay manggagaling sa maayos, matapat, mahusay at matinong lider... #KayLeniTayo hindi ka iiwan at hindi ka pababayaan. IPAGLALABAN KA. 💖💪🇵🇭 #LeniRobredoForPresident2022 #GobyernongTapatAngatBuhayLahat #kulayrosasangkulayngbukas #IpanaloNa10To</v>
      </c>
      <c r="F1269" s="1">
        <f>IFERROR(__xludf.DUMMYFUNCTION("""COMPUTED_VALUE"""),12.0)</f>
        <v>12</v>
      </c>
      <c r="G1269" s="1" t="str">
        <f>IFERROR(__xludf.DUMMYFUNCTION("""COMPUTED_VALUE"""),"3 mos")</f>
        <v>3 mos</v>
      </c>
      <c r="H1269" s="1" t="str">
        <f>IFERROR(__xludf.DUMMYFUNCTION("""COMPUTED_VALUE"""),"comment")</f>
        <v>comment</v>
      </c>
      <c r="I1269" s="2" t="str">
        <f>IFERROR(__xludf.DUMMYFUNCTION("""COMPUTED_VALUE"""),"https://www.facebook.com/rapplerdotcom/photos/a.317154781638645/5595733810447356/")</f>
        <v>https://www.facebook.com/rapplerdotcom/photos/a.317154781638645/5595733810447356/</v>
      </c>
      <c r="J1269" s="1" t="str">
        <f>IFERROR(__xludf.DUMMYFUNCTION("""COMPUTED_VALUE"""),"2022-07-04T15:41:10.240Z")</f>
        <v>2022-07-04T15:41:10.240Z</v>
      </c>
      <c r="K1269" s="1"/>
    </row>
    <row r="1270">
      <c r="A1270" s="2" t="str">
        <f>IFERROR(__xludf.DUMMYFUNCTION("""COMPUTED_VALUE"""),"https://www.facebook.com/johndiazcortez")</f>
        <v>https://www.facebook.com/johndiazcortez</v>
      </c>
      <c r="B1270" s="1" t="str">
        <f>IFERROR(__xludf.DUMMYFUNCTION("""COMPUTED_VALUE"""),"John Diaz Cortez")</f>
        <v>John Diaz Cortez</v>
      </c>
      <c r="C1270" s="1" t="str">
        <f>IFERROR(__xludf.DUMMYFUNCTION("""COMPUTED_VALUE"""),"John")</f>
        <v>John</v>
      </c>
      <c r="D1270" s="1" t="str">
        <f>IFERROR(__xludf.DUMMYFUNCTION("""COMPUTED_VALUE"""),"Diaz Cortez")</f>
        <v>Diaz Cortez</v>
      </c>
      <c r="E1270" s="1" t="str">
        <f>IFERROR(__xludf.DUMMYFUNCTION("""COMPUTED_VALUE"""),"#PinkRevolution  #KakamPINK #LetLeniLead #LeniKiko2022 #AngatBuhayLahat #KulayRosasAngBukas")</f>
        <v>#PinkRevolution  #KakamPINK #LetLeniLead #LeniKiko2022 #AngatBuhayLahat #KulayRosasAngBukas</v>
      </c>
      <c r="F1270" s="1">
        <f>IFERROR(__xludf.DUMMYFUNCTION("""COMPUTED_VALUE"""),6.0)</f>
        <v>6</v>
      </c>
      <c r="G1270" s="1" t="str">
        <f>IFERROR(__xludf.DUMMYFUNCTION("""COMPUTED_VALUE"""),"3 mos")</f>
        <v>3 mos</v>
      </c>
      <c r="H1270" s="1" t="str">
        <f>IFERROR(__xludf.DUMMYFUNCTION("""COMPUTED_VALUE"""),"comment")</f>
        <v>comment</v>
      </c>
      <c r="I1270" s="2" t="str">
        <f>IFERROR(__xludf.DUMMYFUNCTION("""COMPUTED_VALUE"""),"https://www.facebook.com/rapplerdotcom/photos/a.317154781638645/5595733810447356/")</f>
        <v>https://www.facebook.com/rapplerdotcom/photos/a.317154781638645/5595733810447356/</v>
      </c>
      <c r="J1270" s="1" t="str">
        <f>IFERROR(__xludf.DUMMYFUNCTION("""COMPUTED_VALUE"""),"2022-07-04T15:41:10.240Z")</f>
        <v>2022-07-04T15:41:10.240Z</v>
      </c>
      <c r="K1270" s="1"/>
    </row>
    <row r="1271">
      <c r="A1271" s="2" t="str">
        <f>IFERROR(__xludf.DUMMYFUNCTION("""COMPUTED_VALUE"""),"https://www.facebook.com/pepe.ledesma.7140")</f>
        <v>https://www.facebook.com/pepe.ledesma.7140</v>
      </c>
      <c r="B1271" s="1" t="str">
        <f>IFERROR(__xludf.DUMMYFUNCTION("""COMPUTED_VALUE"""),"Pepe Ledesma")</f>
        <v>Pepe Ledesma</v>
      </c>
      <c r="C1271" s="1" t="str">
        <f>IFERROR(__xludf.DUMMYFUNCTION("""COMPUTED_VALUE"""),"Pepe")</f>
        <v>Pepe</v>
      </c>
      <c r="D1271" s="1" t="str">
        <f>IFERROR(__xludf.DUMMYFUNCTION("""COMPUTED_VALUE"""),"Ledesma")</f>
        <v>Ledesma</v>
      </c>
      <c r="E1271" s="1" t="str">
        <f>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271" s="1"/>
      <c r="G1271" s="1" t="str">
        <f>IFERROR(__xludf.DUMMYFUNCTION("""COMPUTED_VALUE"""),"3 mos")</f>
        <v>3 mos</v>
      </c>
      <c r="H1271" s="1" t="str">
        <f>IFERROR(__xludf.DUMMYFUNCTION("""COMPUTED_VALUE"""),"comment")</f>
        <v>comment</v>
      </c>
      <c r="I1271" s="2" t="str">
        <f>IFERROR(__xludf.DUMMYFUNCTION("""COMPUTED_VALUE"""),"https://www.facebook.com/rapplerdotcom/photos/a.317154781638645/5595733810447356/")</f>
        <v>https://www.facebook.com/rapplerdotcom/photos/a.317154781638645/5595733810447356/</v>
      </c>
      <c r="J1271" s="1" t="str">
        <f>IFERROR(__xludf.DUMMYFUNCTION("""COMPUTED_VALUE"""),"2022-07-04T15:41:10.240Z")</f>
        <v>2022-07-04T15:41:10.240Z</v>
      </c>
      <c r="K1271" s="1"/>
    </row>
    <row r="1272">
      <c r="A1272" s="2" t="str">
        <f>IFERROR(__xludf.DUMMYFUNCTION("""COMPUTED_VALUE"""),"https://www.facebook.com/dr.julius.uy")</f>
        <v>https://www.facebook.com/dr.julius.uy</v>
      </c>
      <c r="B1272" s="1" t="str">
        <f>IFERROR(__xludf.DUMMYFUNCTION("""COMPUTED_VALUE"""),"Julius Uy")</f>
        <v>Julius Uy</v>
      </c>
      <c r="C1272" s="1" t="str">
        <f>IFERROR(__xludf.DUMMYFUNCTION("""COMPUTED_VALUE"""),"Julius")</f>
        <v>Julius</v>
      </c>
      <c r="D1272" s="1" t="str">
        <f>IFERROR(__xludf.DUMMYFUNCTION("""COMPUTED_VALUE"""),"Uy")</f>
        <v>Uy</v>
      </c>
      <c r="E1272" s="1" t="str">
        <f>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272" s="1">
        <f>IFERROR(__xludf.DUMMYFUNCTION("""COMPUTED_VALUE"""),1.0)</f>
        <v>1</v>
      </c>
      <c r="G1272" s="1" t="str">
        <f>IFERROR(__xludf.DUMMYFUNCTION("""COMPUTED_VALUE"""),"3 mos")</f>
        <v>3 mos</v>
      </c>
      <c r="H1272" s="1" t="str">
        <f>IFERROR(__xludf.DUMMYFUNCTION("""COMPUTED_VALUE"""),"comment")</f>
        <v>comment</v>
      </c>
      <c r="I1272" s="2" t="str">
        <f>IFERROR(__xludf.DUMMYFUNCTION("""COMPUTED_VALUE"""),"https://www.facebook.com/rapplerdotcom/photos/a.317154781638645/5595733810447356/")</f>
        <v>https://www.facebook.com/rapplerdotcom/photos/a.317154781638645/5595733810447356/</v>
      </c>
      <c r="J1272" s="1" t="str">
        <f>IFERROR(__xludf.DUMMYFUNCTION("""COMPUTED_VALUE"""),"2022-07-04T15:41:10.240Z")</f>
        <v>2022-07-04T15:41:10.240Z</v>
      </c>
      <c r="K1272" s="1"/>
    </row>
    <row r="1273">
      <c r="A1273" s="2" t="str">
        <f>IFERROR(__xludf.DUMMYFUNCTION("""COMPUTED_VALUE"""),"https://www.facebook.com/poli.lidi")</f>
        <v>https://www.facebook.com/poli.lidi</v>
      </c>
      <c r="B1273" s="1" t="str">
        <f>IFERROR(__xludf.DUMMYFUNCTION("""COMPUTED_VALUE"""),"Po Li")</f>
        <v>Po Li</v>
      </c>
      <c r="C1273" s="1" t="str">
        <f>IFERROR(__xludf.DUMMYFUNCTION("""COMPUTED_VALUE"""),"Po")</f>
        <v>Po</v>
      </c>
      <c r="D1273" s="1" t="str">
        <f>IFERROR(__xludf.DUMMYFUNCTION("""COMPUTED_VALUE"""),"Li")</f>
        <v>Li</v>
      </c>
      <c r="E1273" s="1" t="str">
        <f>IFERROR(__xludf.DUMMYFUNCTION("""COMPUTED_VALUE"""),"Thank you po tatay God bless and stay safe🥰😍")</f>
        <v>Thank you po tatay God bless and stay safe🥰😍</v>
      </c>
      <c r="F1273" s="1">
        <f>IFERROR(__xludf.DUMMYFUNCTION("""COMPUTED_VALUE"""),6.0)</f>
        <v>6</v>
      </c>
      <c r="G1273" s="1" t="str">
        <f>IFERROR(__xludf.DUMMYFUNCTION("""COMPUTED_VALUE"""),"3 mos")</f>
        <v>3 mos</v>
      </c>
      <c r="H1273" s="1" t="str">
        <f>IFERROR(__xludf.DUMMYFUNCTION("""COMPUTED_VALUE"""),"comment")</f>
        <v>comment</v>
      </c>
      <c r="I1273" s="2" t="str">
        <f>IFERROR(__xludf.DUMMYFUNCTION("""COMPUTED_VALUE"""),"https://www.facebook.com/rapplerdotcom/photos/a.317154781638645/5595733810447356/")</f>
        <v>https://www.facebook.com/rapplerdotcom/photos/a.317154781638645/5595733810447356/</v>
      </c>
      <c r="J1273" s="1" t="str">
        <f>IFERROR(__xludf.DUMMYFUNCTION("""COMPUTED_VALUE"""),"2022-07-04T15:41:10.240Z")</f>
        <v>2022-07-04T15:41:10.240Z</v>
      </c>
      <c r="K1273" s="1"/>
    </row>
    <row r="1274">
      <c r="A1274" s="2" t="str">
        <f>IFERROR(__xludf.DUMMYFUNCTION("""COMPUTED_VALUE"""),"https://www.facebook.com/bong.nicdao.3")</f>
        <v>https://www.facebook.com/bong.nicdao.3</v>
      </c>
      <c r="B1274" s="1" t="str">
        <f>IFERROR(__xludf.DUMMYFUNCTION("""COMPUTED_VALUE"""),"Bong Nicdao")</f>
        <v>Bong Nicdao</v>
      </c>
      <c r="C1274" s="1" t="str">
        <f>IFERROR(__xludf.DUMMYFUNCTION("""COMPUTED_VALUE"""),"Bong")</f>
        <v>Bong</v>
      </c>
      <c r="D1274" s="1" t="str">
        <f>IFERROR(__xludf.DUMMYFUNCTION("""COMPUTED_VALUE"""),"Nicdao")</f>
        <v>Nicdao</v>
      </c>
      <c r="E1274" s="1" t="str">
        <f>IFERROR(__xludf.DUMMYFUNCTION("""COMPUTED_VALUE"""),"they the PUJ have suffered most during the pandemya , the gov t ignored them and even broke up their protest , they have to beg in the streets just for the daily family meal , now its their turn to shine w the Pink Lady !")</f>
        <v>they the PUJ have suffered most during the pandemya , the gov t ignored them and even broke up their protest , they have to beg in the streets just for the daily family meal , now its their turn to shine w the Pink Lady !</v>
      </c>
      <c r="F1274" s="1">
        <f>IFERROR(__xludf.DUMMYFUNCTION("""COMPUTED_VALUE"""),25.0)</f>
        <v>25</v>
      </c>
      <c r="G1274" s="1" t="str">
        <f>IFERROR(__xludf.DUMMYFUNCTION("""COMPUTED_VALUE"""),"3 mos")</f>
        <v>3 mos</v>
      </c>
      <c r="H1274" s="1" t="str">
        <f>IFERROR(__xludf.DUMMYFUNCTION("""COMPUTED_VALUE"""),"comment")</f>
        <v>comment</v>
      </c>
      <c r="I1274" s="2" t="str">
        <f>IFERROR(__xludf.DUMMYFUNCTION("""COMPUTED_VALUE"""),"https://www.facebook.com/rapplerdotcom/photos/a.317154781638645/5595733810447356/")</f>
        <v>https://www.facebook.com/rapplerdotcom/photos/a.317154781638645/5595733810447356/</v>
      </c>
      <c r="J1274" s="1" t="str">
        <f>IFERROR(__xludf.DUMMYFUNCTION("""COMPUTED_VALUE"""),"2022-07-04T15:41:10.240Z")</f>
        <v>2022-07-04T15:41:10.240Z</v>
      </c>
      <c r="K1274" s="1"/>
    </row>
    <row r="1275">
      <c r="A1275" s="2" t="str">
        <f>IFERROR(__xludf.DUMMYFUNCTION("""COMPUTED_VALUE"""),"https://www.facebook.com/chelle.alvarez.581")</f>
        <v>https://www.facebook.com/chelle.alvarez.581</v>
      </c>
      <c r="B1275" s="1" t="str">
        <f>IFERROR(__xludf.DUMMYFUNCTION("""COMPUTED_VALUE"""),"Mitchel Alvarez")</f>
        <v>Mitchel Alvarez</v>
      </c>
      <c r="C1275" s="1" t="str">
        <f>IFERROR(__xludf.DUMMYFUNCTION("""COMPUTED_VALUE"""),"Mitchel")</f>
        <v>Mitchel</v>
      </c>
      <c r="D1275" s="1" t="str">
        <f>IFERROR(__xludf.DUMMYFUNCTION("""COMPUTED_VALUE"""),"Alvarez")</f>
        <v>Alvarez</v>
      </c>
      <c r="E1275" s="1" t="str">
        <f>IFERROR(__xludf.DUMMYFUNCTION("""COMPUTED_VALUE"""),"para sa mga anak, apo at susunod na henerasyon...")</f>
        <v>para sa mga anak, apo at susunod na henerasyon...</v>
      </c>
      <c r="F1275" s="1">
        <f>IFERROR(__xludf.DUMMYFUNCTION("""COMPUTED_VALUE"""),1.0)</f>
        <v>1</v>
      </c>
      <c r="G1275" s="1" t="str">
        <f>IFERROR(__xludf.DUMMYFUNCTION("""COMPUTED_VALUE"""),"3 mos")</f>
        <v>3 mos</v>
      </c>
      <c r="H1275" s="1" t="str">
        <f>IFERROR(__xludf.DUMMYFUNCTION("""COMPUTED_VALUE"""),"comment")</f>
        <v>comment</v>
      </c>
      <c r="I1275" s="2" t="str">
        <f>IFERROR(__xludf.DUMMYFUNCTION("""COMPUTED_VALUE"""),"https://www.facebook.com/rapplerdotcom/photos/a.317154781638645/5595733810447356/")</f>
        <v>https://www.facebook.com/rapplerdotcom/photos/a.317154781638645/5595733810447356/</v>
      </c>
      <c r="J1275" s="1" t="str">
        <f>IFERROR(__xludf.DUMMYFUNCTION("""COMPUTED_VALUE"""),"2022-07-04T15:41:10.240Z")</f>
        <v>2022-07-04T15:41:10.240Z</v>
      </c>
      <c r="K1275" s="1"/>
    </row>
    <row r="1276">
      <c r="A1276" s="2" t="str">
        <f>IFERROR(__xludf.DUMMYFUNCTION("""COMPUTED_VALUE"""),"https://www.facebook.com/almher.manalo")</f>
        <v>https://www.facebook.com/almher.manalo</v>
      </c>
      <c r="B1276" s="1" t="str">
        <f>IFERROR(__xludf.DUMMYFUNCTION("""COMPUTED_VALUE"""),"Almher Macosme Manalo")</f>
        <v>Almher Macosme Manalo</v>
      </c>
      <c r="C1276" s="1" t="str">
        <f>IFERROR(__xludf.DUMMYFUNCTION("""COMPUTED_VALUE"""),"Almher")</f>
        <v>Almher</v>
      </c>
      <c r="D1276" s="1" t="str">
        <f>IFERROR(__xludf.DUMMYFUNCTION("""COMPUTED_VALUE"""),"Macosme Manalo")</f>
        <v>Macosme Manalo</v>
      </c>
      <c r="E1276" s="1" t="str">
        <f>IFERROR(__xludf.DUMMYFUNCTION("""COMPUTED_VALUE"""),"CaMaNaVa Rock n Rosas!  Welcome dito ang lahat!   #CaMaNaVabeybeh  #CaMaNaVaIsPink  #CaMaNaVaForLeniKiko  #CaMaNaVaRockNRosas")</f>
        <v>CaMaNaVa Rock n Rosas!  Welcome dito ang lahat!   #CaMaNaVabeybeh  #CaMaNaVaIsPink  #CaMaNaVaForLeniKiko  #CaMaNaVaRockNRosas</v>
      </c>
      <c r="F1276" s="1">
        <f>IFERROR(__xludf.DUMMYFUNCTION("""COMPUTED_VALUE"""),6.0)</f>
        <v>6</v>
      </c>
      <c r="G1276" s="1" t="str">
        <f>IFERROR(__xludf.DUMMYFUNCTION("""COMPUTED_VALUE"""),"3 mos")</f>
        <v>3 mos</v>
      </c>
      <c r="H1276" s="1" t="str">
        <f>IFERROR(__xludf.DUMMYFUNCTION("""COMPUTED_VALUE"""),"comment")</f>
        <v>comment</v>
      </c>
      <c r="I1276" s="2" t="str">
        <f>IFERROR(__xludf.DUMMYFUNCTION("""COMPUTED_VALUE"""),"https://www.facebook.com/rapplerdotcom/photos/a.317154781638645/5595733810447356/")</f>
        <v>https://www.facebook.com/rapplerdotcom/photos/a.317154781638645/5595733810447356/</v>
      </c>
      <c r="J1276" s="1" t="str">
        <f>IFERROR(__xludf.DUMMYFUNCTION("""COMPUTED_VALUE"""),"2022-07-04T15:41:10.240Z")</f>
        <v>2022-07-04T15:41:10.240Z</v>
      </c>
      <c r="K1276" s="1"/>
    </row>
    <row r="1277">
      <c r="A1277" s="2" t="str">
        <f>IFERROR(__xludf.DUMMYFUNCTION("""COMPUTED_VALUE"""),"https://www.facebook.com/arturo.rondolos.3")</f>
        <v>https://www.facebook.com/arturo.rondolos.3</v>
      </c>
      <c r="B1277" s="1" t="str">
        <f>IFERROR(__xludf.DUMMYFUNCTION("""COMPUTED_VALUE"""),"Arturo Rondolos")</f>
        <v>Arturo Rondolos</v>
      </c>
      <c r="C1277" s="1" t="str">
        <f>IFERROR(__xludf.DUMMYFUNCTION("""COMPUTED_VALUE"""),"Arturo")</f>
        <v>Arturo</v>
      </c>
      <c r="D1277" s="1" t="str">
        <f>IFERROR(__xludf.DUMMYFUNCTION("""COMPUTED_VALUE"""),"Rondolos")</f>
        <v>Rondolos</v>
      </c>
      <c r="E1277" s="1" t="str">
        <f>IFERROR(__xludf.DUMMYFUNCTION("""COMPUTED_VALUE"""),"Akala kocrusth mo siline syporta pala Sigue Ang tanda mona may be crusth kapa")</f>
        <v>Akala kocrusth mo siline syporta pala Sigue Ang tanda mona may be crusth kapa</v>
      </c>
      <c r="F1277" s="1">
        <f>IFERROR(__xludf.DUMMYFUNCTION("""COMPUTED_VALUE"""),8.0)</f>
        <v>8</v>
      </c>
      <c r="G1277" s="1" t="str">
        <f>IFERROR(__xludf.DUMMYFUNCTION("""COMPUTED_VALUE"""),"3 mos")</f>
        <v>3 mos</v>
      </c>
      <c r="H1277" s="1" t="str">
        <f>IFERROR(__xludf.DUMMYFUNCTION("""COMPUTED_VALUE"""),"comment")</f>
        <v>comment</v>
      </c>
      <c r="I1277" s="2" t="str">
        <f>IFERROR(__xludf.DUMMYFUNCTION("""COMPUTED_VALUE"""),"https://www.facebook.com/rapplerdotcom/photos/a.317154781638645/5595733810447356/")</f>
        <v>https://www.facebook.com/rapplerdotcom/photos/a.317154781638645/5595733810447356/</v>
      </c>
      <c r="J1277" s="1" t="str">
        <f>IFERROR(__xludf.DUMMYFUNCTION("""COMPUTED_VALUE"""),"2022-07-04T15:41:10.240Z")</f>
        <v>2022-07-04T15:41:10.240Z</v>
      </c>
      <c r="K1277" s="1"/>
    </row>
    <row r="1278">
      <c r="A1278" s="2" t="str">
        <f>IFERROR(__xludf.DUMMYFUNCTION("""COMPUTED_VALUE"""),"https://www.facebook.com/marilou.palomata")</f>
        <v>https://www.facebook.com/marilou.palomata</v>
      </c>
      <c r="B1278" s="1" t="str">
        <f>IFERROR(__xludf.DUMMYFUNCTION("""COMPUTED_VALUE"""),"Marilou Palomata")</f>
        <v>Marilou Palomata</v>
      </c>
      <c r="C1278" s="1" t="str">
        <f>IFERROR(__xludf.DUMMYFUNCTION("""COMPUTED_VALUE"""),"Marilou")</f>
        <v>Marilou</v>
      </c>
      <c r="D1278" s="1" t="str">
        <f>IFERROR(__xludf.DUMMYFUNCTION("""COMPUTED_VALUE"""),"Palomata")</f>
        <v>Palomata</v>
      </c>
      <c r="E1278" s="1" t="str">
        <f>IFERROR(__xludf.DUMMYFUNCTION("""COMPUTED_VALUE"""),"Arturo Rondolos Ano comment mo.paki rewrite mo nga para maintindihan ❓")</f>
        <v>Arturo Rondolos Ano comment mo.paki rewrite mo nga para maintindihan ❓</v>
      </c>
      <c r="F1278" s="1">
        <f>IFERROR(__xludf.DUMMYFUNCTION("""COMPUTED_VALUE"""),8.0)</f>
        <v>8</v>
      </c>
      <c r="G1278" s="1" t="str">
        <f>IFERROR(__xludf.DUMMYFUNCTION("""COMPUTED_VALUE"""),"3 mos")</f>
        <v>3 mos</v>
      </c>
      <c r="H1278" s="1" t="str">
        <f>IFERROR(__xludf.DUMMYFUNCTION("""COMPUTED_VALUE"""),"reply")</f>
        <v>reply</v>
      </c>
      <c r="I1278" s="2" t="str">
        <f>IFERROR(__xludf.DUMMYFUNCTION("""COMPUTED_VALUE"""),"https://www.facebook.com/rapplerdotcom/photos/a.317154781638645/5595733810447356/")</f>
        <v>https://www.facebook.com/rapplerdotcom/photos/a.317154781638645/5595733810447356/</v>
      </c>
      <c r="J1278" s="1" t="str">
        <f>IFERROR(__xludf.DUMMYFUNCTION("""COMPUTED_VALUE"""),"2022-07-04T15:41:10.240Z")</f>
        <v>2022-07-04T15:41:10.240Z</v>
      </c>
      <c r="K1278" s="1"/>
    </row>
    <row r="1279">
      <c r="A1279" s="2" t="str">
        <f>IFERROR(__xludf.DUMMYFUNCTION("""COMPUTED_VALUE"""),"https://www.facebook.com/gejan")</f>
        <v>https://www.facebook.com/gejan</v>
      </c>
      <c r="B1279" s="1" t="str">
        <f>IFERROR(__xludf.DUMMYFUNCTION("""COMPUTED_VALUE"""),"Gef Gejan")</f>
        <v>Gef Gejan</v>
      </c>
      <c r="C1279" s="1" t="str">
        <f>IFERROR(__xludf.DUMMYFUNCTION("""COMPUTED_VALUE"""),"Gef")</f>
        <v>Gef</v>
      </c>
      <c r="D1279" s="1" t="str">
        <f>IFERROR(__xludf.DUMMYFUNCTION("""COMPUTED_VALUE"""),"Gejan")</f>
        <v>Gejan</v>
      </c>
      <c r="E1279" s="1" t="str">
        <f>IFERROR(__xludf.DUMMYFUNCTION("""COMPUTED_VALUE"""),"Arturo Rondolos raulo mo😡😡😡")</f>
        <v>Arturo Rondolos raulo mo😡😡😡</v>
      </c>
      <c r="F1279" s="1">
        <f>IFERROR(__xludf.DUMMYFUNCTION("""COMPUTED_VALUE"""),2.0)</f>
        <v>2</v>
      </c>
      <c r="G1279" s="1" t="str">
        <f>IFERROR(__xludf.DUMMYFUNCTION("""COMPUTED_VALUE"""),"3 mos")</f>
        <v>3 mos</v>
      </c>
      <c r="H1279" s="1" t="str">
        <f>IFERROR(__xludf.DUMMYFUNCTION("""COMPUTED_VALUE"""),"reply")</f>
        <v>reply</v>
      </c>
      <c r="I1279" s="2" t="str">
        <f>IFERROR(__xludf.DUMMYFUNCTION("""COMPUTED_VALUE"""),"https://www.facebook.com/rapplerdotcom/photos/a.317154781638645/5595733810447356/")</f>
        <v>https://www.facebook.com/rapplerdotcom/photos/a.317154781638645/5595733810447356/</v>
      </c>
      <c r="J1279" s="1" t="str">
        <f>IFERROR(__xludf.DUMMYFUNCTION("""COMPUTED_VALUE"""),"2022-07-04T15:41:10.240Z")</f>
        <v>2022-07-04T15:41:10.240Z</v>
      </c>
      <c r="K1279" s="1"/>
    </row>
    <row r="1280">
      <c r="A1280" s="2" t="str">
        <f>IFERROR(__xludf.DUMMYFUNCTION("""COMPUTED_VALUE"""),"https://www.facebook.com/kay.flameno")</f>
        <v>https://www.facebook.com/kay.flameno</v>
      </c>
      <c r="B1280" s="1" t="str">
        <f>IFERROR(__xludf.DUMMYFUNCTION("""COMPUTED_VALUE"""),"Kay Faustino - Flameño")</f>
        <v>Kay Faustino - Flameño</v>
      </c>
      <c r="C1280" s="1" t="str">
        <f>IFERROR(__xludf.DUMMYFUNCTION("""COMPUTED_VALUE"""),"Kay")</f>
        <v>Kay</v>
      </c>
      <c r="D1280" s="1" t="str">
        <f>IFERROR(__xludf.DUMMYFUNCTION("""COMPUTED_VALUE"""),"Faustino - Flameño")</f>
        <v>Faustino - Flameño</v>
      </c>
      <c r="E1280" s="1" t="str">
        <f>IFERROR(__xludf.DUMMYFUNCTION("""COMPUTED_VALUE"""),"#GobyernongTapatAngatBuhayLahat #LeniKiko2022 #LeniKikoAllTheWay 💕💕💕")</f>
        <v>#GobyernongTapatAngatBuhayLahat #LeniKiko2022 #LeniKikoAllTheWay 💕💕💕</v>
      </c>
      <c r="F1280" s="1">
        <f>IFERROR(__xludf.DUMMYFUNCTION("""COMPUTED_VALUE"""),4.0)</f>
        <v>4</v>
      </c>
      <c r="G1280" s="1" t="str">
        <f>IFERROR(__xludf.DUMMYFUNCTION("""COMPUTED_VALUE"""),"3 mos")</f>
        <v>3 mos</v>
      </c>
      <c r="H1280" s="1" t="str">
        <f>IFERROR(__xludf.DUMMYFUNCTION("""COMPUTED_VALUE"""),"comment")</f>
        <v>comment</v>
      </c>
      <c r="I1280" s="2" t="str">
        <f>IFERROR(__xludf.DUMMYFUNCTION("""COMPUTED_VALUE"""),"https://www.facebook.com/rapplerdotcom/photos/a.317154781638645/5595733810447356/")</f>
        <v>https://www.facebook.com/rapplerdotcom/photos/a.317154781638645/5595733810447356/</v>
      </c>
      <c r="J1280" s="1" t="str">
        <f>IFERROR(__xludf.DUMMYFUNCTION("""COMPUTED_VALUE"""),"2022-07-04T15:41:10.240Z")</f>
        <v>2022-07-04T15:41:10.240Z</v>
      </c>
      <c r="K1280" s="1"/>
    </row>
    <row r="1281">
      <c r="A1281" s="2" t="str">
        <f>IFERROR(__xludf.DUMMYFUNCTION("""COMPUTED_VALUE"""),"https://www.facebook.com/marissa.bernabetecson")</f>
        <v>https://www.facebook.com/marissa.bernabetecson</v>
      </c>
      <c r="B1281" s="1" t="str">
        <f>IFERROR(__xludf.DUMMYFUNCTION("""COMPUTED_VALUE"""),"Marissa Bernabe Tecson")</f>
        <v>Marissa Bernabe Tecson</v>
      </c>
      <c r="C1281" s="1" t="str">
        <f>IFERROR(__xludf.DUMMYFUNCTION("""COMPUTED_VALUE"""),"Marissa")</f>
        <v>Marissa</v>
      </c>
      <c r="D1281" s="1" t="str">
        <f>IFERROR(__xludf.DUMMYFUNCTION("""COMPUTED_VALUE"""),"Bernabe Tecson")</f>
        <v>Bernabe Tecson</v>
      </c>
      <c r="E1281" s="1" t="str">
        <f>IFERROR(__xludf.DUMMYFUNCTION("""COMPUTED_VALUE"""),"Nakita ko si Tatay Elmer kanina🥰 #LeniKikoAllTheWay")</f>
        <v>Nakita ko si Tatay Elmer kanina🥰 #LeniKikoAllTheWay</v>
      </c>
      <c r="F1281" s="1">
        <f>IFERROR(__xludf.DUMMYFUNCTION("""COMPUTED_VALUE"""),9.0)</f>
        <v>9</v>
      </c>
      <c r="G1281" s="1" t="str">
        <f>IFERROR(__xludf.DUMMYFUNCTION("""COMPUTED_VALUE"""),"3 mos")</f>
        <v>3 mos</v>
      </c>
      <c r="H1281" s="1" t="str">
        <f>IFERROR(__xludf.DUMMYFUNCTION("""COMPUTED_VALUE"""),"comment")</f>
        <v>comment</v>
      </c>
      <c r="I1281" s="2" t="str">
        <f>IFERROR(__xludf.DUMMYFUNCTION("""COMPUTED_VALUE"""),"https://www.facebook.com/rapplerdotcom/photos/a.317154781638645/5595733810447356/")</f>
        <v>https://www.facebook.com/rapplerdotcom/photos/a.317154781638645/5595733810447356/</v>
      </c>
      <c r="J1281" s="1" t="str">
        <f>IFERROR(__xludf.DUMMYFUNCTION("""COMPUTED_VALUE"""),"2022-07-04T15:41:10.240Z")</f>
        <v>2022-07-04T15:41:10.240Z</v>
      </c>
      <c r="K1281" s="1"/>
    </row>
    <row r="1282">
      <c r="A1282" s="2" t="str">
        <f>IFERROR(__xludf.DUMMYFUNCTION("""COMPUTED_VALUE"""),"https://www.facebook.com/profile.php?id=100075703493857")</f>
        <v>https://www.facebook.com/profile.php?id=100075703493857</v>
      </c>
      <c r="B1282" s="1" t="str">
        <f>IFERROR(__xludf.DUMMYFUNCTION("""COMPUTED_VALUE"""),"Ruhtra Oicerapa")</f>
        <v>Ruhtra Oicerapa</v>
      </c>
      <c r="C1282" s="1" t="str">
        <f>IFERROR(__xludf.DUMMYFUNCTION("""COMPUTED_VALUE"""),"Ruhtra")</f>
        <v>Ruhtra</v>
      </c>
      <c r="D1282" s="1" t="str">
        <f>IFERROR(__xludf.DUMMYFUNCTION("""COMPUTED_VALUE"""),"Oicerapa")</f>
        <v>Oicerapa</v>
      </c>
      <c r="E1282" s="1" t="str">
        <f>IFERROR(__xludf.DUMMYFUNCTION("""COMPUTED_VALUE"""),"Yung mga puj, driver na Yan sasabihin Yan naghihirap ,hnde karamihan sa mga iyan babaero ,isipin Natin kapag dun Ka sumakay katabi sa driver Ng jeep tas may edad kana sasabihin sa iyo ;bay duon kayo sa likod   hahayaan na bakante sa kanyang tabi; pero PAG"&amp;" babae seksi at bata pa lot maganda bilis huminto ,itatapat sa unahan upuan talaga para walang kawala  .hehehe")</f>
        <v>Yung mga puj, driver na Yan sasabihin Yan naghihirap ,hnde karamihan sa mga iyan babaero ,isipin Natin kapag dun Ka sumakay katabi sa driver Ng jeep tas may edad kana sasabihin sa iyo ;bay duon kayo sa likod   hahayaan na bakante sa kanyang tabi; pero PAG babae seksi at bata pa lot maganda bilis huminto ,itatapat sa unahan upuan talaga para walang kawala  .hehehe</v>
      </c>
      <c r="F1282" s="1"/>
      <c r="G1282" s="1" t="str">
        <f>IFERROR(__xludf.DUMMYFUNCTION("""COMPUTED_VALUE"""),"3 mos")</f>
        <v>3 mos</v>
      </c>
      <c r="H1282" s="1" t="str">
        <f>IFERROR(__xludf.DUMMYFUNCTION("""COMPUTED_VALUE"""),"comment")</f>
        <v>comment</v>
      </c>
      <c r="I1282" s="2" t="str">
        <f>IFERROR(__xludf.DUMMYFUNCTION("""COMPUTED_VALUE"""),"https://www.facebook.com/rapplerdotcom/photos/a.317154781638645/5595733810447356/")</f>
        <v>https://www.facebook.com/rapplerdotcom/photos/a.317154781638645/5595733810447356/</v>
      </c>
      <c r="J1282" s="1" t="str">
        <f>IFERROR(__xludf.DUMMYFUNCTION("""COMPUTED_VALUE"""),"2022-07-04T15:41:10.240Z")</f>
        <v>2022-07-04T15:41:10.240Z</v>
      </c>
      <c r="K1282" s="1"/>
    </row>
    <row r="1283">
      <c r="A1283" s="2" t="str">
        <f>IFERROR(__xludf.DUMMYFUNCTION("""COMPUTED_VALUE"""),"https://www.facebook.com/pilar.alejo.9")</f>
        <v>https://www.facebook.com/pilar.alejo.9</v>
      </c>
      <c r="B1283" s="1" t="str">
        <f>IFERROR(__xludf.DUMMYFUNCTION("""COMPUTED_VALUE"""),"Pilar Alejo")</f>
        <v>Pilar Alejo</v>
      </c>
      <c r="C1283" s="1" t="str">
        <f>IFERROR(__xludf.DUMMYFUNCTION("""COMPUTED_VALUE"""),"Pilar")</f>
        <v>Pilar</v>
      </c>
      <c r="D1283" s="1" t="str">
        <f>IFERROR(__xludf.DUMMYFUNCTION("""COMPUTED_VALUE"""),"Alejo")</f>
        <v>Alejo</v>
      </c>
      <c r="E1283" s="1" t="str">
        <f>IFERROR(__xludf.DUMMYFUNCTION("""COMPUTED_VALUE"""),"#IpanaloNaNa10To  🌷🌷🌷")</f>
        <v>#IpanaloNaNa10To  🌷🌷🌷</v>
      </c>
      <c r="F1283" s="1"/>
      <c r="G1283" s="1" t="str">
        <f>IFERROR(__xludf.DUMMYFUNCTION("""COMPUTED_VALUE"""),"3 mos")</f>
        <v>3 mos</v>
      </c>
      <c r="H1283" s="1" t="str">
        <f>IFERROR(__xludf.DUMMYFUNCTION("""COMPUTED_VALUE"""),"comment")</f>
        <v>comment</v>
      </c>
      <c r="I1283" s="2" t="str">
        <f>IFERROR(__xludf.DUMMYFUNCTION("""COMPUTED_VALUE"""),"https://www.facebook.com/rapplerdotcom/photos/a.317154781638645/5595733810447356/")</f>
        <v>https://www.facebook.com/rapplerdotcom/photos/a.317154781638645/5595733810447356/</v>
      </c>
      <c r="J1283" s="1" t="str">
        <f>IFERROR(__xludf.DUMMYFUNCTION("""COMPUTED_VALUE"""),"2022-07-04T15:41:10.240Z")</f>
        <v>2022-07-04T15:41:10.240Z</v>
      </c>
      <c r="K1283" s="1"/>
    </row>
    <row r="1284">
      <c r="A1284" s="2" t="str">
        <f>IFERROR(__xludf.DUMMYFUNCTION("""COMPUTED_VALUE"""),"https://www.facebook.com/francis.bartolome.52")</f>
        <v>https://www.facebook.com/francis.bartolome.52</v>
      </c>
      <c r="B1284" s="1" t="str">
        <f>IFERROR(__xludf.DUMMYFUNCTION("""COMPUTED_VALUE"""),"Francis Foster Bartolome")</f>
        <v>Francis Foster Bartolome</v>
      </c>
      <c r="C1284" s="1" t="str">
        <f>IFERROR(__xludf.DUMMYFUNCTION("""COMPUTED_VALUE"""),"Francis")</f>
        <v>Francis</v>
      </c>
      <c r="D1284" s="1" t="str">
        <f>IFERROR(__xludf.DUMMYFUNCTION("""COMPUTED_VALUE"""),"Foster Bartolome")</f>
        <v>Foster Bartolome</v>
      </c>
      <c r="E1284" s="1" t="str">
        <f>IFERROR(__xludf.DUMMYFUNCTION("""COMPUTED_VALUE"""),"Lalaban po tayo Tay! 🥺💕🌸")</f>
        <v>Lalaban po tayo Tay! 🥺💕🌸</v>
      </c>
      <c r="F1284" s="1">
        <f>IFERROR(__xludf.DUMMYFUNCTION("""COMPUTED_VALUE"""),5.0)</f>
        <v>5</v>
      </c>
      <c r="G1284" s="1" t="str">
        <f>IFERROR(__xludf.DUMMYFUNCTION("""COMPUTED_VALUE"""),"3 mos")</f>
        <v>3 mos</v>
      </c>
      <c r="H1284" s="1" t="str">
        <f>IFERROR(__xludf.DUMMYFUNCTION("""COMPUTED_VALUE"""),"comment")</f>
        <v>comment</v>
      </c>
      <c r="I1284" s="2" t="str">
        <f>IFERROR(__xludf.DUMMYFUNCTION("""COMPUTED_VALUE"""),"https://www.facebook.com/rapplerdotcom/photos/a.317154781638645/5595733810447356/")</f>
        <v>https://www.facebook.com/rapplerdotcom/photos/a.317154781638645/5595733810447356/</v>
      </c>
      <c r="J1284" s="1" t="str">
        <f>IFERROR(__xludf.DUMMYFUNCTION("""COMPUTED_VALUE"""),"2022-07-04T15:41:10.240Z")</f>
        <v>2022-07-04T15:41:10.240Z</v>
      </c>
      <c r="K1284" s="1"/>
    </row>
    <row r="1285">
      <c r="A1285" s="2" t="str">
        <f>IFERROR(__xludf.DUMMYFUNCTION("""COMPUTED_VALUE"""),"https://www.facebook.com/harveychato")</f>
        <v>https://www.facebook.com/harveychato</v>
      </c>
      <c r="B1285" s="1" t="str">
        <f>IFERROR(__xludf.DUMMYFUNCTION("""COMPUTED_VALUE"""),"Har Vhey")</f>
        <v>Har Vhey</v>
      </c>
      <c r="C1285" s="1" t="str">
        <f>IFERROR(__xludf.DUMMYFUNCTION("""COMPUTED_VALUE"""),"Har")</f>
        <v>Har</v>
      </c>
      <c r="D1285" s="1" t="str">
        <f>IFERROR(__xludf.DUMMYFUNCTION("""COMPUTED_VALUE"""),"Vhey")</f>
        <v>Vhey</v>
      </c>
      <c r="E1285" s="1" t="str">
        <f>IFERROR(__xludf.DUMMYFUNCTION("""COMPUTED_VALUE"""),"Alam na FULL TANK nyan 😂")</f>
        <v>Alam na FULL TANK nyan 😂</v>
      </c>
      <c r="F1285" s="1">
        <f>IFERROR(__xludf.DUMMYFUNCTION("""COMPUTED_VALUE"""),8.0)</f>
        <v>8</v>
      </c>
      <c r="G1285" s="1" t="str">
        <f>IFERROR(__xludf.DUMMYFUNCTION("""COMPUTED_VALUE"""),"3 mos")</f>
        <v>3 mos</v>
      </c>
      <c r="H1285" s="1" t="str">
        <f>IFERROR(__xludf.DUMMYFUNCTION("""COMPUTED_VALUE"""),"comment")</f>
        <v>comment</v>
      </c>
      <c r="I1285" s="2" t="str">
        <f>IFERROR(__xludf.DUMMYFUNCTION("""COMPUTED_VALUE"""),"https://www.facebook.com/rapplerdotcom/photos/a.317154781638645/5595733810447356/")</f>
        <v>https://www.facebook.com/rapplerdotcom/photos/a.317154781638645/5595733810447356/</v>
      </c>
      <c r="J1285" s="1" t="str">
        <f>IFERROR(__xludf.DUMMYFUNCTION("""COMPUTED_VALUE"""),"2022-07-04T15:41:10.240Z")</f>
        <v>2022-07-04T15:41:10.240Z</v>
      </c>
      <c r="K1285" s="1"/>
    </row>
    <row r="1286">
      <c r="A1286" s="2" t="str">
        <f>IFERROR(__xludf.DUMMYFUNCTION("""COMPUTED_VALUE"""),"https://www.facebook.com/maryjane.martizano")</f>
        <v>https://www.facebook.com/maryjane.martizano</v>
      </c>
      <c r="B1286" s="1" t="str">
        <f>IFERROR(__xludf.DUMMYFUNCTION("""COMPUTED_VALUE"""),"Mj Martizano")</f>
        <v>Mj Martizano</v>
      </c>
      <c r="C1286" s="1" t="str">
        <f>IFERROR(__xludf.DUMMYFUNCTION("""COMPUTED_VALUE"""),"Mj")</f>
        <v>Mj</v>
      </c>
      <c r="D1286" s="1" t="str">
        <f>IFERROR(__xludf.DUMMYFUNCTION("""COMPUTED_VALUE"""),"Martizano")</f>
        <v>Martizano</v>
      </c>
      <c r="E1286" s="1" t="str">
        <f>IFERROR(__xludf.DUMMYFUNCTION("""COMPUTED_VALUE"""),"Har Vhey ikaw po ba nagpa gasolina sa kanya?")</f>
        <v>Har Vhey ikaw po ba nagpa gasolina sa kanya?</v>
      </c>
      <c r="F1286" s="1">
        <f>IFERROR(__xludf.DUMMYFUNCTION("""COMPUTED_VALUE"""),3.0)</f>
        <v>3</v>
      </c>
      <c r="G1286" s="1" t="str">
        <f>IFERROR(__xludf.DUMMYFUNCTION("""COMPUTED_VALUE"""),"3 mos")</f>
        <v>3 mos</v>
      </c>
      <c r="H1286" s="1" t="str">
        <f>IFERROR(__xludf.DUMMYFUNCTION("""COMPUTED_VALUE"""),"reply")</f>
        <v>reply</v>
      </c>
      <c r="I1286" s="2" t="str">
        <f>IFERROR(__xludf.DUMMYFUNCTION("""COMPUTED_VALUE"""),"https://www.facebook.com/rapplerdotcom/photos/a.317154781638645/5595733810447356/")</f>
        <v>https://www.facebook.com/rapplerdotcom/photos/a.317154781638645/5595733810447356/</v>
      </c>
      <c r="J1286" s="1" t="str">
        <f>IFERROR(__xludf.DUMMYFUNCTION("""COMPUTED_VALUE"""),"2022-07-04T15:41:10.240Z")</f>
        <v>2022-07-04T15:41:10.240Z</v>
      </c>
      <c r="K1286" s="1"/>
    </row>
    <row r="1287">
      <c r="A1287" s="2" t="str">
        <f>IFERROR(__xludf.DUMMYFUNCTION("""COMPUTED_VALUE"""),"https://www.facebook.com/pulubeng.kabute")</f>
        <v>https://www.facebook.com/pulubeng.kabute</v>
      </c>
      <c r="B1287" s="1" t="str">
        <f>IFERROR(__xludf.DUMMYFUNCTION("""COMPUTED_VALUE"""),"Gazelle Paulino")</f>
        <v>Gazelle Paulino</v>
      </c>
      <c r="C1287" s="1" t="str">
        <f>IFERROR(__xludf.DUMMYFUNCTION("""COMPUTED_VALUE"""),"Gazelle")</f>
        <v>Gazelle</v>
      </c>
      <c r="D1287" s="1" t="str">
        <f>IFERROR(__xludf.DUMMYFUNCTION("""COMPUTED_VALUE"""),"Paulino")</f>
        <v>Paulino</v>
      </c>
      <c r="E1287" s="1" t="str">
        <f>IFERROR(__xludf.DUMMYFUNCTION("""COMPUTED_VALUE"""),"Har Vhey ganyan din ba sa kabila? 🙃")</f>
        <v>Har Vhey ganyan din ba sa kabila? 🙃</v>
      </c>
      <c r="F1287" s="1">
        <f>IFERROR(__xludf.DUMMYFUNCTION("""COMPUTED_VALUE"""),2.0)</f>
        <v>2</v>
      </c>
      <c r="G1287" s="1" t="str">
        <f>IFERROR(__xludf.DUMMYFUNCTION("""COMPUTED_VALUE"""),"3 mos")</f>
        <v>3 mos</v>
      </c>
      <c r="H1287" s="1" t="str">
        <f>IFERROR(__xludf.DUMMYFUNCTION("""COMPUTED_VALUE"""),"reply")</f>
        <v>reply</v>
      </c>
      <c r="I1287" s="2" t="str">
        <f>IFERROR(__xludf.DUMMYFUNCTION("""COMPUTED_VALUE"""),"https://www.facebook.com/rapplerdotcom/photos/a.317154781638645/5595733810447356/")</f>
        <v>https://www.facebook.com/rapplerdotcom/photos/a.317154781638645/5595733810447356/</v>
      </c>
      <c r="J1287" s="1" t="str">
        <f>IFERROR(__xludf.DUMMYFUNCTION("""COMPUTED_VALUE"""),"2022-07-04T15:41:10.240Z")</f>
        <v>2022-07-04T15:41:10.240Z</v>
      </c>
      <c r="K1287" s="1"/>
    </row>
    <row r="1288">
      <c r="A1288" s="2" t="str">
        <f>IFERROR(__xludf.DUMMYFUNCTION("""COMPUTED_VALUE"""),"https://www.facebook.com/profile.php?id=100009637215034")</f>
        <v>https://www.facebook.com/profile.php?id=100009637215034</v>
      </c>
      <c r="B1288" s="1" t="str">
        <f>IFERROR(__xludf.DUMMYFUNCTION("""COMPUTED_VALUE"""),"Mari Cas")</f>
        <v>Mari Cas</v>
      </c>
      <c r="C1288" s="1" t="str">
        <f>IFERROR(__xludf.DUMMYFUNCTION("""COMPUTED_VALUE"""),"Mari")</f>
        <v>Mari</v>
      </c>
      <c r="D1288" s="1" t="str">
        <f>IFERROR(__xludf.DUMMYFUNCTION("""COMPUTED_VALUE"""),"Cas")</f>
        <v>Cas</v>
      </c>
      <c r="E1288" s="1" t="str">
        <f>IFERROR(__xludf.DUMMYFUNCTION("""COMPUTED_VALUE"""),"Har Vhey Gawain eh kaya alam")</f>
        <v>Har Vhey Gawain eh kaya alam</v>
      </c>
      <c r="F1288" s="1"/>
      <c r="G1288" s="1" t="str">
        <f>IFERROR(__xludf.DUMMYFUNCTION("""COMPUTED_VALUE"""),"3 mos")</f>
        <v>3 mos</v>
      </c>
      <c r="H1288" s="1" t="str">
        <f>IFERROR(__xludf.DUMMYFUNCTION("""COMPUTED_VALUE"""),"reply")</f>
        <v>reply</v>
      </c>
      <c r="I1288" s="2" t="str">
        <f>IFERROR(__xludf.DUMMYFUNCTION("""COMPUTED_VALUE"""),"https://www.facebook.com/rapplerdotcom/photos/a.317154781638645/5595733810447356/")</f>
        <v>https://www.facebook.com/rapplerdotcom/photos/a.317154781638645/5595733810447356/</v>
      </c>
      <c r="J1288" s="1" t="str">
        <f>IFERROR(__xludf.DUMMYFUNCTION("""COMPUTED_VALUE"""),"2022-07-04T15:41:10.240Z")</f>
        <v>2022-07-04T15:41:10.240Z</v>
      </c>
      <c r="K1288" s="1"/>
    </row>
    <row r="1289">
      <c r="A1289" s="2" t="str">
        <f>IFERROR(__xludf.DUMMYFUNCTION("""COMPUTED_VALUE"""),"https://www.facebook.com/mariano.josh99")</f>
        <v>https://www.facebook.com/mariano.josh99</v>
      </c>
      <c r="B1289" s="1" t="str">
        <f>IFERROR(__xludf.DUMMYFUNCTION("""COMPUTED_VALUE"""),"Josh Mariano")</f>
        <v>Josh Mariano</v>
      </c>
      <c r="C1289" s="1" t="str">
        <f>IFERROR(__xludf.DUMMYFUNCTION("""COMPUTED_VALUE"""),"Josh")</f>
        <v>Josh</v>
      </c>
      <c r="D1289" s="1" t="str">
        <f>IFERROR(__xludf.DUMMYFUNCTION("""COMPUTED_VALUE"""),"Mariano")</f>
        <v>Mariano</v>
      </c>
      <c r="E1289" s="1" t="str">
        <f>IFERROR(__xludf.DUMMYFUNCTION("""COMPUTED_VALUE"""),"Har Vhey atlis siya nafull tank ikaw inde kaya pag inggit pikit 🤣")</f>
        <v>Har Vhey atlis siya nafull tank ikaw inde kaya pag inggit pikit 🤣</v>
      </c>
      <c r="F1289" s="1">
        <f>IFERROR(__xludf.DUMMYFUNCTION("""COMPUTED_VALUE"""),1.0)</f>
        <v>1</v>
      </c>
      <c r="G1289" s="1" t="str">
        <f>IFERROR(__xludf.DUMMYFUNCTION("""COMPUTED_VALUE"""),"3 mos")</f>
        <v>3 mos</v>
      </c>
      <c r="H1289" s="1" t="str">
        <f>IFERROR(__xludf.DUMMYFUNCTION("""COMPUTED_VALUE"""),"reply")</f>
        <v>reply</v>
      </c>
      <c r="I1289" s="2" t="str">
        <f>IFERROR(__xludf.DUMMYFUNCTION("""COMPUTED_VALUE"""),"https://www.facebook.com/rapplerdotcom/photos/a.317154781638645/5595733810447356/")</f>
        <v>https://www.facebook.com/rapplerdotcom/photos/a.317154781638645/5595733810447356/</v>
      </c>
      <c r="J1289" s="1" t="str">
        <f>IFERROR(__xludf.DUMMYFUNCTION("""COMPUTED_VALUE"""),"2022-07-04T15:41:10.240Z")</f>
        <v>2022-07-04T15:41:10.240Z</v>
      </c>
      <c r="K1289" s="1"/>
    </row>
    <row r="1290">
      <c r="A1290" s="2" t="str">
        <f>IFERROR(__xludf.DUMMYFUNCTION("""COMPUTED_VALUE"""),"https://www.facebook.com/lorenztumamao1980")</f>
        <v>https://www.facebook.com/lorenztumamao1980</v>
      </c>
      <c r="B1290" s="1" t="str">
        <f>IFERROR(__xludf.DUMMYFUNCTION("""COMPUTED_VALUE"""),"Lorenz Acio Tumamao")</f>
        <v>Lorenz Acio Tumamao</v>
      </c>
      <c r="C1290" s="1" t="str">
        <f>IFERROR(__xludf.DUMMYFUNCTION("""COMPUTED_VALUE"""),"Lorenz")</f>
        <v>Lorenz</v>
      </c>
      <c r="D1290" s="1" t="str">
        <f>IFERROR(__xludf.DUMMYFUNCTION("""COMPUTED_VALUE"""),"Acio Tumamao")</f>
        <v>Acio Tumamao</v>
      </c>
      <c r="E1290" s="1" t="str">
        <f>IFERROR(__xludf.DUMMYFUNCTION("""COMPUTED_VALUE"""),"in the most difficult time hindi ako nagpapakita-🌸 #KulayRosasAngKipay")</f>
        <v>in the most difficult time hindi ako nagpapakita-🌸 #KulayRosasAngKipay</v>
      </c>
      <c r="F1290" s="1"/>
      <c r="G1290" s="1" t="str">
        <f>IFERROR(__xludf.DUMMYFUNCTION("""COMPUTED_VALUE"""),"3 mos")</f>
        <v>3 mos</v>
      </c>
      <c r="H1290" s="1" t="str">
        <f>IFERROR(__xludf.DUMMYFUNCTION("""COMPUTED_VALUE"""),"comment")</f>
        <v>comment</v>
      </c>
      <c r="I1290" s="2" t="str">
        <f>IFERROR(__xludf.DUMMYFUNCTION("""COMPUTED_VALUE"""),"https://www.facebook.com/rapplerdotcom/photos/a.317154781638645/5595733810447356/")</f>
        <v>https://www.facebook.com/rapplerdotcom/photos/a.317154781638645/5595733810447356/</v>
      </c>
      <c r="J1290" s="1" t="str">
        <f>IFERROR(__xludf.DUMMYFUNCTION("""COMPUTED_VALUE"""),"2022-07-04T15:41:10.240Z")</f>
        <v>2022-07-04T15:41:10.240Z</v>
      </c>
      <c r="K1290" s="1"/>
    </row>
    <row r="1291">
      <c r="A1291" s="2" t="str">
        <f>IFERROR(__xludf.DUMMYFUNCTION("""COMPUTED_VALUE"""),"https://www.facebook.com/profile.php?id=100011150311111")</f>
        <v>https://www.facebook.com/profile.php?id=100011150311111</v>
      </c>
      <c r="B1291" s="1" t="str">
        <f>IFERROR(__xludf.DUMMYFUNCTION("""COMPUTED_VALUE"""),"Kristoff O. Emit")</f>
        <v>Kristoff O. Emit</v>
      </c>
      <c r="C1291" s="1" t="str">
        <f>IFERROR(__xludf.DUMMYFUNCTION("""COMPUTED_VALUE"""),"Kristoff")</f>
        <v>Kristoff</v>
      </c>
      <c r="D1291" s="1" t="str">
        <f>IFERROR(__xludf.DUMMYFUNCTION("""COMPUTED_VALUE"""),"O. Emit")</f>
        <v>O. Emit</v>
      </c>
      <c r="E1291" s="1" t="str">
        <f>IFERROR(__xludf.DUMMYFUNCTION("""COMPUTED_VALUE"""),"thank you tatay Elmer,support ma'am lenie laban natin ito tatay,,love you💓 from sarangani Provence....")</f>
        <v>thank you tatay Elmer,support ma'am lenie laban natin ito tatay,,love you💓 from sarangani Provence....</v>
      </c>
      <c r="F1291" s="1">
        <f>IFERROR(__xludf.DUMMYFUNCTION("""COMPUTED_VALUE"""),3.0)</f>
        <v>3</v>
      </c>
      <c r="G1291" s="1" t="str">
        <f>IFERROR(__xludf.DUMMYFUNCTION("""COMPUTED_VALUE"""),"3 mos")</f>
        <v>3 mos</v>
      </c>
      <c r="H1291" s="1" t="str">
        <f>IFERROR(__xludf.DUMMYFUNCTION("""COMPUTED_VALUE"""),"comment")</f>
        <v>comment</v>
      </c>
      <c r="I1291" s="2" t="str">
        <f>IFERROR(__xludf.DUMMYFUNCTION("""COMPUTED_VALUE"""),"https://www.facebook.com/rapplerdotcom/photos/a.317154781638645/5595733810447356/")</f>
        <v>https://www.facebook.com/rapplerdotcom/photos/a.317154781638645/5595733810447356/</v>
      </c>
      <c r="J1291" s="1" t="str">
        <f>IFERROR(__xludf.DUMMYFUNCTION("""COMPUTED_VALUE"""),"2022-07-04T15:41:10.240Z")</f>
        <v>2022-07-04T15:41:10.240Z</v>
      </c>
      <c r="K1291" s="1"/>
    </row>
    <row r="1292">
      <c r="A1292" s="2" t="str">
        <f>IFERROR(__xludf.DUMMYFUNCTION("""COMPUTED_VALUE"""),"https://www.facebook.com/xernes.martinez")</f>
        <v>https://www.facebook.com/xernes.martinez</v>
      </c>
      <c r="B1292" s="1" t="str">
        <f>IFERROR(__xludf.DUMMYFUNCTION("""COMPUTED_VALUE"""),"Xernes Martinez")</f>
        <v>Xernes Martinez</v>
      </c>
      <c r="C1292" s="1" t="str">
        <f>IFERROR(__xludf.DUMMYFUNCTION("""COMPUTED_VALUE"""),"Xernes")</f>
        <v>Xernes</v>
      </c>
      <c r="D1292" s="1" t="str">
        <f>IFERROR(__xludf.DUMMYFUNCTION("""COMPUTED_VALUE"""),"Martinez")</f>
        <v>Martinez</v>
      </c>
      <c r="E1292" s="1" t="str">
        <f>IFERROR(__xludf.DUMMYFUNCTION("""COMPUTED_VALUE"""),"#GobyernongTapatAngatBuhayLahat #IpanaloNa10To #LeniKiko2022 🇵🇭💗💚")</f>
        <v>#GobyernongTapatAngatBuhayLahat #IpanaloNa10To #LeniKiko2022 🇵🇭💗💚</v>
      </c>
      <c r="F1292" s="1"/>
      <c r="G1292" s="1" t="str">
        <f>IFERROR(__xludf.DUMMYFUNCTION("""COMPUTED_VALUE"""),"3 mos")</f>
        <v>3 mos</v>
      </c>
      <c r="H1292" s="1" t="str">
        <f>IFERROR(__xludf.DUMMYFUNCTION("""COMPUTED_VALUE"""),"comment")</f>
        <v>comment</v>
      </c>
      <c r="I1292" s="2" t="str">
        <f>IFERROR(__xludf.DUMMYFUNCTION("""COMPUTED_VALUE"""),"https://www.facebook.com/rapplerdotcom/photos/a.317154781638645/5595733810447356/")</f>
        <v>https://www.facebook.com/rapplerdotcom/photos/a.317154781638645/5595733810447356/</v>
      </c>
      <c r="J1292" s="1" t="str">
        <f>IFERROR(__xludf.DUMMYFUNCTION("""COMPUTED_VALUE"""),"2022-07-04T15:41:10.240Z")</f>
        <v>2022-07-04T15:41:10.240Z</v>
      </c>
      <c r="K1292" s="1"/>
    </row>
    <row r="1293">
      <c r="A1293" s="2" t="str">
        <f>IFERROR(__xludf.DUMMYFUNCTION("""COMPUTED_VALUE"""),"https://www.facebook.com/mirandilla.alexract")</f>
        <v>https://www.facebook.com/mirandilla.alexract</v>
      </c>
      <c r="B1293" s="1" t="str">
        <f>IFERROR(__xludf.DUMMYFUNCTION("""COMPUTED_VALUE"""),"Mirandilla Alex R Act")</f>
        <v>Mirandilla Alex R Act</v>
      </c>
      <c r="C1293" s="1" t="str">
        <f>IFERROR(__xludf.DUMMYFUNCTION("""COMPUTED_VALUE"""),"Mirandilla")</f>
        <v>Mirandilla</v>
      </c>
      <c r="D1293" s="1" t="str">
        <f>IFERROR(__xludf.DUMMYFUNCTION("""COMPUTED_VALUE"""),"Alex R Act")</f>
        <v>Alex R Act</v>
      </c>
      <c r="E1293" s="1" t="str">
        <f>IFERROR(__xludf.DUMMYFUNCTION("""COMPUTED_VALUE"""),"makano bayad😅")</f>
        <v>makano bayad😅</v>
      </c>
      <c r="F1293" s="1">
        <f>IFERROR(__xludf.DUMMYFUNCTION("""COMPUTED_VALUE"""),5.0)</f>
        <v>5</v>
      </c>
      <c r="G1293" s="1" t="str">
        <f>IFERROR(__xludf.DUMMYFUNCTION("""COMPUTED_VALUE"""),"3 mos")</f>
        <v>3 mos</v>
      </c>
      <c r="H1293" s="1" t="str">
        <f>IFERROR(__xludf.DUMMYFUNCTION("""COMPUTED_VALUE"""),"comment")</f>
        <v>comment</v>
      </c>
      <c r="I1293" s="2" t="str">
        <f>IFERROR(__xludf.DUMMYFUNCTION("""COMPUTED_VALUE"""),"https://www.facebook.com/rapplerdotcom/photos/a.317154781638645/5595733810447356/")</f>
        <v>https://www.facebook.com/rapplerdotcom/photos/a.317154781638645/5595733810447356/</v>
      </c>
      <c r="J1293" s="1" t="str">
        <f>IFERROR(__xludf.DUMMYFUNCTION("""COMPUTED_VALUE"""),"2022-07-04T15:41:10.240Z")</f>
        <v>2022-07-04T15:41:10.240Z</v>
      </c>
      <c r="K1293" s="1"/>
    </row>
    <row r="1294">
      <c r="A1294" s="2" t="str">
        <f>IFERROR(__xludf.DUMMYFUNCTION("""COMPUTED_VALUE"""),"https://www.facebook.com/IamRoselleBaltazar")</f>
        <v>https://www.facebook.com/IamRoselleBaltazar</v>
      </c>
      <c r="B1294" s="1" t="str">
        <f>IFERROR(__xludf.DUMMYFUNCTION("""COMPUTED_VALUE"""),"Roselle Baltazar")</f>
        <v>Roselle Baltazar</v>
      </c>
      <c r="C1294" s="1" t="str">
        <f>IFERROR(__xludf.DUMMYFUNCTION("""COMPUTED_VALUE"""),"Roselle")</f>
        <v>Roselle</v>
      </c>
      <c r="D1294" s="1" t="str">
        <f>IFERROR(__xludf.DUMMYFUNCTION("""COMPUTED_VALUE"""),"Baltazar")</f>
        <v>Baltazar</v>
      </c>
      <c r="E1294" s="1" t="str">
        <f>IFERROR(__xludf.DUMMYFUNCTION("""COMPUTED_VALUE"""),"Mirandilla Alex R Act gawain mo?")</f>
        <v>Mirandilla Alex R Act gawain mo?</v>
      </c>
      <c r="F1294" s="1"/>
      <c r="G1294" s="1" t="str">
        <f>IFERROR(__xludf.DUMMYFUNCTION("""COMPUTED_VALUE"""),"3 mos")</f>
        <v>3 mos</v>
      </c>
      <c r="H1294" s="1" t="str">
        <f>IFERROR(__xludf.DUMMYFUNCTION("""COMPUTED_VALUE"""),"reply")</f>
        <v>reply</v>
      </c>
      <c r="I1294" s="2" t="str">
        <f>IFERROR(__xludf.DUMMYFUNCTION("""COMPUTED_VALUE"""),"https://www.facebook.com/rapplerdotcom/photos/a.317154781638645/5595733810447356/")</f>
        <v>https://www.facebook.com/rapplerdotcom/photos/a.317154781638645/5595733810447356/</v>
      </c>
      <c r="J1294" s="1" t="str">
        <f>IFERROR(__xludf.DUMMYFUNCTION("""COMPUTED_VALUE"""),"2022-07-04T15:41:10.240Z")</f>
        <v>2022-07-04T15:41:10.240Z</v>
      </c>
      <c r="K1294" s="1"/>
    </row>
    <row r="1295">
      <c r="A1295" s="2" t="str">
        <f>IFERROR(__xludf.DUMMYFUNCTION("""COMPUTED_VALUE"""),"https://www.facebook.com/profile.php?id=100009637215034")</f>
        <v>https://www.facebook.com/profile.php?id=100009637215034</v>
      </c>
      <c r="B1295" s="1" t="str">
        <f>IFERROR(__xludf.DUMMYFUNCTION("""COMPUTED_VALUE"""),"Mari Cas")</f>
        <v>Mari Cas</v>
      </c>
      <c r="C1295" s="1" t="str">
        <f>IFERROR(__xludf.DUMMYFUNCTION("""COMPUTED_VALUE"""),"Mari")</f>
        <v>Mari</v>
      </c>
      <c r="D1295" s="1" t="str">
        <f>IFERROR(__xludf.DUMMYFUNCTION("""COMPUTED_VALUE"""),"Cas")</f>
        <v>Cas</v>
      </c>
      <c r="E1295" s="1" t="str">
        <f>IFERROR(__xludf.DUMMYFUNCTION("""COMPUTED_VALUE"""),"Mirandilla Alex R Act Galingan mo naman sa script, magagalet TL mo nyan.")</f>
        <v>Mirandilla Alex R Act Galingan mo naman sa script, magagalet TL mo nyan.</v>
      </c>
      <c r="F1295" s="1">
        <f>IFERROR(__xludf.DUMMYFUNCTION("""COMPUTED_VALUE"""),2.0)</f>
        <v>2</v>
      </c>
      <c r="G1295" s="1" t="str">
        <f>IFERROR(__xludf.DUMMYFUNCTION("""COMPUTED_VALUE"""),"3 mos")</f>
        <v>3 mos</v>
      </c>
      <c r="H1295" s="1" t="str">
        <f>IFERROR(__xludf.DUMMYFUNCTION("""COMPUTED_VALUE"""),"reply")</f>
        <v>reply</v>
      </c>
      <c r="I1295" s="2" t="str">
        <f>IFERROR(__xludf.DUMMYFUNCTION("""COMPUTED_VALUE"""),"https://www.facebook.com/rapplerdotcom/photos/a.317154781638645/5595733810447356/")</f>
        <v>https://www.facebook.com/rapplerdotcom/photos/a.317154781638645/5595733810447356/</v>
      </c>
      <c r="J1295" s="1" t="str">
        <f>IFERROR(__xludf.DUMMYFUNCTION("""COMPUTED_VALUE"""),"2022-07-04T15:41:10.240Z")</f>
        <v>2022-07-04T15:41:10.240Z</v>
      </c>
      <c r="K1295" s="1"/>
    </row>
    <row r="1296">
      <c r="A1296" s="2" t="str">
        <f>IFERROR(__xludf.DUMMYFUNCTION("""COMPUTED_VALUE"""),"https://www.facebook.com/mariano.josh99")</f>
        <v>https://www.facebook.com/mariano.josh99</v>
      </c>
      <c r="B1296" s="1" t="str">
        <f>IFERROR(__xludf.DUMMYFUNCTION("""COMPUTED_VALUE"""),"Josh Mariano")</f>
        <v>Josh Mariano</v>
      </c>
      <c r="C1296" s="1" t="str">
        <f>IFERROR(__xludf.DUMMYFUNCTION("""COMPUTED_VALUE"""),"Josh")</f>
        <v>Josh</v>
      </c>
      <c r="D1296" s="1" t="str">
        <f>IFERROR(__xludf.DUMMYFUNCTION("""COMPUTED_VALUE"""),"Mariano")</f>
        <v>Mariano</v>
      </c>
      <c r="E1296" s="1" t="str">
        <f>IFERROR(__xludf.DUMMYFUNCTION("""COMPUTED_VALUE"""),"Mirandilla Alex R Act linyahan mo pang bpo hopper walang plano sa buhay 🤣")</f>
        <v>Mirandilla Alex R Act linyahan mo pang bpo hopper walang plano sa buhay 🤣</v>
      </c>
      <c r="F1296" s="1">
        <f>IFERROR(__xludf.DUMMYFUNCTION("""COMPUTED_VALUE"""),1.0)</f>
        <v>1</v>
      </c>
      <c r="G1296" s="1" t="str">
        <f>IFERROR(__xludf.DUMMYFUNCTION("""COMPUTED_VALUE"""),"3 mos")</f>
        <v>3 mos</v>
      </c>
      <c r="H1296" s="1" t="str">
        <f>IFERROR(__xludf.DUMMYFUNCTION("""COMPUTED_VALUE"""),"reply")</f>
        <v>reply</v>
      </c>
      <c r="I1296" s="2" t="str">
        <f>IFERROR(__xludf.DUMMYFUNCTION("""COMPUTED_VALUE"""),"https://www.facebook.com/rapplerdotcom/photos/a.317154781638645/5595733810447356/")</f>
        <v>https://www.facebook.com/rapplerdotcom/photos/a.317154781638645/5595733810447356/</v>
      </c>
      <c r="J1296" s="1" t="str">
        <f>IFERROR(__xludf.DUMMYFUNCTION("""COMPUTED_VALUE"""),"2022-07-04T15:41:10.240Z")</f>
        <v>2022-07-04T15:41:10.240Z</v>
      </c>
      <c r="K1296" s="1"/>
    </row>
    <row r="1297">
      <c r="A1297" s="2" t="str">
        <f>IFERROR(__xludf.DUMMYFUNCTION("""COMPUTED_VALUE"""),"https://www.facebook.com/gia.mitchell.9655")</f>
        <v>https://www.facebook.com/gia.mitchell.9655</v>
      </c>
      <c r="B1297" s="1" t="str">
        <f>IFERROR(__xludf.DUMMYFUNCTION("""COMPUTED_VALUE"""),"Gia Mitchell")</f>
        <v>Gia Mitchell</v>
      </c>
      <c r="C1297" s="1" t="str">
        <f>IFERROR(__xludf.DUMMYFUNCTION("""COMPUTED_VALUE"""),"Gia")</f>
        <v>Gia</v>
      </c>
      <c r="D1297" s="1" t="str">
        <f>IFERROR(__xludf.DUMMYFUNCTION("""COMPUTED_VALUE"""),"Mitchell")</f>
        <v>Mitchell</v>
      </c>
      <c r="E1297" s="1" t="str">
        <f>IFERROR(__xludf.DUMMYFUNCTION("""COMPUTED_VALUE"""),"Mirandilla Alex R Act idk tanong mo sa kapwa BBMs mo na binabayaran ng 50php lang")</f>
        <v>Mirandilla Alex R Act idk tanong mo sa kapwa BBMs mo na binabayaran ng 50php lang</v>
      </c>
      <c r="F1297" s="1"/>
      <c r="G1297" s="1" t="str">
        <f>IFERROR(__xludf.DUMMYFUNCTION("""COMPUTED_VALUE"""),"3 mos")</f>
        <v>3 mos</v>
      </c>
      <c r="H1297" s="1" t="str">
        <f>IFERROR(__xludf.DUMMYFUNCTION("""COMPUTED_VALUE"""),"reply")</f>
        <v>reply</v>
      </c>
      <c r="I1297" s="2" t="str">
        <f>IFERROR(__xludf.DUMMYFUNCTION("""COMPUTED_VALUE"""),"https://www.facebook.com/rapplerdotcom/photos/a.317154781638645/5595733810447356/")</f>
        <v>https://www.facebook.com/rapplerdotcom/photos/a.317154781638645/5595733810447356/</v>
      </c>
      <c r="J1297" s="1" t="str">
        <f>IFERROR(__xludf.DUMMYFUNCTION("""COMPUTED_VALUE"""),"2022-07-04T15:41:10.240Z")</f>
        <v>2022-07-04T15:41:10.240Z</v>
      </c>
      <c r="K1297" s="1"/>
    </row>
    <row r="1298">
      <c r="A1298" s="2" t="str">
        <f>IFERROR(__xludf.DUMMYFUNCTION("""COMPUTED_VALUE"""),"https://www.facebook.com/marlon.argonza")</f>
        <v>https://www.facebook.com/marlon.argonza</v>
      </c>
      <c r="B1298" s="1" t="str">
        <f>IFERROR(__xludf.DUMMYFUNCTION("""COMPUTED_VALUE"""),"Marlon Dela Rosa Argonza")</f>
        <v>Marlon Dela Rosa Argonza</v>
      </c>
      <c r="C1298" s="1" t="str">
        <f>IFERROR(__xludf.DUMMYFUNCTION("""COMPUTED_VALUE"""),"Marlon")</f>
        <v>Marlon</v>
      </c>
      <c r="D1298" s="1" t="str">
        <f>IFERROR(__xludf.DUMMYFUNCTION("""COMPUTED_VALUE"""),"Dela Rosa Argonza")</f>
        <v>Dela Rosa Argonza</v>
      </c>
      <c r="E1298" s="1" t="str">
        <f>IFERROR(__xludf.DUMMYFUNCTION("""COMPUTED_VALUE"""),"D lahat ng driver tatay kayo lng siguro...")</f>
        <v>D lahat ng driver tatay kayo lng siguro...</v>
      </c>
      <c r="F1298" s="1">
        <f>IFERROR(__xludf.DUMMYFUNCTION("""COMPUTED_VALUE"""),1.0)</f>
        <v>1</v>
      </c>
      <c r="G1298" s="1" t="str">
        <f>IFERROR(__xludf.DUMMYFUNCTION("""COMPUTED_VALUE"""),"3 mos")</f>
        <v>3 mos</v>
      </c>
      <c r="H1298" s="1" t="str">
        <f>IFERROR(__xludf.DUMMYFUNCTION("""COMPUTED_VALUE"""),"comment")</f>
        <v>comment</v>
      </c>
      <c r="I1298" s="2" t="str">
        <f>IFERROR(__xludf.DUMMYFUNCTION("""COMPUTED_VALUE"""),"https://www.facebook.com/rapplerdotcom/photos/a.317154781638645/5595733810447356/")</f>
        <v>https://www.facebook.com/rapplerdotcom/photos/a.317154781638645/5595733810447356/</v>
      </c>
      <c r="J1298" s="1" t="str">
        <f>IFERROR(__xludf.DUMMYFUNCTION("""COMPUTED_VALUE"""),"2022-07-04T15:41:10.240Z")</f>
        <v>2022-07-04T15:41:10.240Z</v>
      </c>
      <c r="K1298" s="1"/>
    </row>
    <row r="1299">
      <c r="A1299" s="2" t="str">
        <f>IFERROR(__xludf.DUMMYFUNCTION("""COMPUTED_VALUE"""),"https://www.facebook.com/vinz.jasareno")</f>
        <v>https://www.facebook.com/vinz.jasareno</v>
      </c>
      <c r="B1299" s="1" t="str">
        <f>IFERROR(__xludf.DUMMYFUNCTION("""COMPUTED_VALUE"""),"Vinz Jasareno")</f>
        <v>Vinz Jasareno</v>
      </c>
      <c r="C1299" s="1" t="str">
        <f>IFERROR(__xludf.DUMMYFUNCTION("""COMPUTED_VALUE"""),"Vinz")</f>
        <v>Vinz</v>
      </c>
      <c r="D1299" s="1" t="str">
        <f>IFERROR(__xludf.DUMMYFUNCTION("""COMPUTED_VALUE"""),"Jasareno")</f>
        <v>Jasareno</v>
      </c>
      <c r="E1299" s="1" t="str">
        <f>IFERROR(__xludf.DUMMYFUNCTION("""COMPUTED_VALUE"""),"Marlon Dela Rosa Argonza guilty")</f>
        <v>Marlon Dela Rosa Argonza guilty</v>
      </c>
      <c r="F1299" s="1"/>
      <c r="G1299" s="1" t="str">
        <f>IFERROR(__xludf.DUMMYFUNCTION("""COMPUTED_VALUE"""),"3 mos")</f>
        <v>3 mos</v>
      </c>
      <c r="H1299" s="1" t="str">
        <f>IFERROR(__xludf.DUMMYFUNCTION("""COMPUTED_VALUE"""),"reply")</f>
        <v>reply</v>
      </c>
      <c r="I1299" s="2" t="str">
        <f>IFERROR(__xludf.DUMMYFUNCTION("""COMPUTED_VALUE"""),"https://www.facebook.com/rapplerdotcom/photos/a.317154781638645/5595733810447356/")</f>
        <v>https://www.facebook.com/rapplerdotcom/photos/a.317154781638645/5595733810447356/</v>
      </c>
      <c r="J1299" s="1" t="str">
        <f>IFERROR(__xludf.DUMMYFUNCTION("""COMPUTED_VALUE"""),"2022-07-04T15:41:10.240Z")</f>
        <v>2022-07-04T15:41:10.240Z</v>
      </c>
      <c r="K1299" s="1"/>
    </row>
    <row r="1300">
      <c r="A1300" s="2" t="str">
        <f>IFERROR(__xludf.DUMMYFUNCTION("""COMPUTED_VALUE"""),"https://www.facebook.com/Mrs.prias.3")</f>
        <v>https://www.facebook.com/Mrs.prias.3</v>
      </c>
      <c r="B1300" s="1" t="str">
        <f>IFERROR(__xludf.DUMMYFUNCTION("""COMPUTED_VALUE"""),"Lioney Prias")</f>
        <v>Lioney Prias</v>
      </c>
      <c r="C1300" s="1" t="str">
        <f>IFERROR(__xludf.DUMMYFUNCTION("""COMPUTED_VALUE"""),"Lioney")</f>
        <v>Lioney</v>
      </c>
      <c r="D1300" s="1" t="str">
        <f>IFERROR(__xludf.DUMMYFUNCTION("""COMPUTED_VALUE"""),"Prias")</f>
        <v>Prias</v>
      </c>
      <c r="E1300" s="1" t="str">
        <f>IFERROR(__xludf.DUMMYFUNCTION("""COMPUTED_VALUE"""),"Pang full tank lng At pangkain")</f>
        <v>Pang full tank lng At pangkain</v>
      </c>
      <c r="F1300" s="1">
        <f>IFERROR(__xludf.DUMMYFUNCTION("""COMPUTED_VALUE"""),10.0)</f>
        <v>10</v>
      </c>
      <c r="G1300" s="1" t="str">
        <f>IFERROR(__xludf.DUMMYFUNCTION("""COMPUTED_VALUE"""),"3 mos")</f>
        <v>3 mos</v>
      </c>
      <c r="H1300" s="1" t="str">
        <f>IFERROR(__xludf.DUMMYFUNCTION("""COMPUTED_VALUE"""),"comment")</f>
        <v>comment</v>
      </c>
      <c r="I1300" s="2" t="str">
        <f>IFERROR(__xludf.DUMMYFUNCTION("""COMPUTED_VALUE"""),"https://www.facebook.com/rapplerdotcom/photos/a.317154781638645/5595733810447356/")</f>
        <v>https://www.facebook.com/rapplerdotcom/photos/a.317154781638645/5595733810447356/</v>
      </c>
      <c r="J1300" s="1" t="str">
        <f>IFERROR(__xludf.DUMMYFUNCTION("""COMPUTED_VALUE"""),"2022-07-04T15:41:10.240Z")</f>
        <v>2022-07-04T15:41:10.240Z</v>
      </c>
      <c r="K1300" s="1"/>
    </row>
    <row r="1301">
      <c r="A1301" s="2" t="str">
        <f>IFERROR(__xludf.DUMMYFUNCTION("""COMPUTED_VALUE"""),"https://www.facebook.com/maryjane.martizano")</f>
        <v>https://www.facebook.com/maryjane.martizano</v>
      </c>
      <c r="B1301" s="1" t="str">
        <f>IFERROR(__xludf.DUMMYFUNCTION("""COMPUTED_VALUE"""),"Mj Martizano")</f>
        <v>Mj Martizano</v>
      </c>
      <c r="C1301" s="1" t="str">
        <f>IFERROR(__xludf.DUMMYFUNCTION("""COMPUTED_VALUE"""),"Mj")</f>
        <v>Mj</v>
      </c>
      <c r="D1301" s="1" t="str">
        <f>IFERROR(__xludf.DUMMYFUNCTION("""COMPUTED_VALUE"""),"Martizano")</f>
        <v>Martizano</v>
      </c>
      <c r="E1301" s="1" t="str">
        <f>IFERROR(__xludf.DUMMYFUNCTION("""COMPUTED_VALUE"""),"Lioney Prias ikaw po ba nag abot ng pang pagkain at pang full tank ni tatay?")</f>
        <v>Lioney Prias ikaw po ba nag abot ng pang pagkain at pang full tank ni tatay?</v>
      </c>
      <c r="F1301" s="1">
        <f>IFERROR(__xludf.DUMMYFUNCTION("""COMPUTED_VALUE"""),3.0)</f>
        <v>3</v>
      </c>
      <c r="G1301" s="1" t="str">
        <f>IFERROR(__xludf.DUMMYFUNCTION("""COMPUTED_VALUE"""),"3 mos")</f>
        <v>3 mos</v>
      </c>
      <c r="H1301" s="1" t="str">
        <f>IFERROR(__xludf.DUMMYFUNCTION("""COMPUTED_VALUE"""),"reply")</f>
        <v>reply</v>
      </c>
      <c r="I1301" s="2" t="str">
        <f>IFERROR(__xludf.DUMMYFUNCTION("""COMPUTED_VALUE"""),"https://www.facebook.com/rapplerdotcom/photos/a.317154781638645/5595733810447356/")</f>
        <v>https://www.facebook.com/rapplerdotcom/photos/a.317154781638645/5595733810447356/</v>
      </c>
      <c r="J1301" s="1" t="str">
        <f>IFERROR(__xludf.DUMMYFUNCTION("""COMPUTED_VALUE"""),"2022-07-04T15:41:10.240Z")</f>
        <v>2022-07-04T15:41:10.240Z</v>
      </c>
      <c r="K1301" s="1"/>
    </row>
    <row r="1302">
      <c r="A1302" s="2" t="str">
        <f>IFERROR(__xludf.DUMMYFUNCTION("""COMPUTED_VALUE"""),"https://www.facebook.com/IamRoselleBaltazar")</f>
        <v>https://www.facebook.com/IamRoselleBaltazar</v>
      </c>
      <c r="B1302" s="1" t="str">
        <f>IFERROR(__xludf.DUMMYFUNCTION("""COMPUTED_VALUE"""),"Roselle Baltazar")</f>
        <v>Roselle Baltazar</v>
      </c>
      <c r="C1302" s="1" t="str">
        <f>IFERROR(__xludf.DUMMYFUNCTION("""COMPUTED_VALUE"""),"Roselle")</f>
        <v>Roselle</v>
      </c>
      <c r="D1302" s="1" t="str">
        <f>IFERROR(__xludf.DUMMYFUNCTION("""COMPUTED_VALUE"""),"Baltazar")</f>
        <v>Baltazar</v>
      </c>
      <c r="E1302" s="1" t="str">
        <f>IFERROR(__xludf.DUMMYFUNCTION("""COMPUTED_VALUE"""),"Lioney Prias yung gawain mo wag mo ibintang sa iba. 🤬")</f>
        <v>Lioney Prias yung gawain mo wag mo ibintang sa iba. 🤬</v>
      </c>
      <c r="F1302" s="1">
        <f>IFERROR(__xludf.DUMMYFUNCTION("""COMPUTED_VALUE"""),4.0)</f>
        <v>4</v>
      </c>
      <c r="G1302" s="1" t="str">
        <f>IFERROR(__xludf.DUMMYFUNCTION("""COMPUTED_VALUE"""),"3 mos")</f>
        <v>3 mos</v>
      </c>
      <c r="H1302" s="1" t="str">
        <f>IFERROR(__xludf.DUMMYFUNCTION("""COMPUTED_VALUE"""),"reply")</f>
        <v>reply</v>
      </c>
      <c r="I1302" s="2" t="str">
        <f>IFERROR(__xludf.DUMMYFUNCTION("""COMPUTED_VALUE"""),"https://www.facebook.com/rapplerdotcom/photos/a.317154781638645/5595733810447356/")</f>
        <v>https://www.facebook.com/rapplerdotcom/photos/a.317154781638645/5595733810447356/</v>
      </c>
      <c r="J1302" s="1" t="str">
        <f>IFERROR(__xludf.DUMMYFUNCTION("""COMPUTED_VALUE"""),"2022-07-04T15:41:10.241Z")</f>
        <v>2022-07-04T15:41:10.241Z</v>
      </c>
      <c r="K1302" s="1"/>
    </row>
    <row r="1303">
      <c r="A1303" s="2" t="str">
        <f>IFERROR(__xludf.DUMMYFUNCTION("""COMPUTED_VALUE"""),"https://www.facebook.com/migsaquino")</f>
        <v>https://www.facebook.com/migsaquino</v>
      </c>
      <c r="B1303" s="1" t="str">
        <f>IFERROR(__xludf.DUMMYFUNCTION("""COMPUTED_VALUE"""),"Miguel Aquino")</f>
        <v>Miguel Aquino</v>
      </c>
      <c r="C1303" s="1" t="str">
        <f>IFERROR(__xludf.DUMMYFUNCTION("""COMPUTED_VALUE"""),"Miguel")</f>
        <v>Miguel</v>
      </c>
      <c r="D1303" s="1" t="str">
        <f>IFERROR(__xludf.DUMMYFUNCTION("""COMPUTED_VALUE"""),"Aquino")</f>
        <v>Aquino</v>
      </c>
      <c r="E1303" s="1" t="str">
        <f>IFERROR(__xludf.DUMMYFUNCTION("""COMPUTED_VALUE"""),"Lioney Prias Liit naman. 😅 Sa kabila siguro 203 Billion. 👀")</f>
        <v>Lioney Prias Liit naman. 😅 Sa kabila siguro 203 Billion. 👀</v>
      </c>
      <c r="F1303" s="1">
        <f>IFERROR(__xludf.DUMMYFUNCTION("""COMPUTED_VALUE"""),3.0)</f>
        <v>3</v>
      </c>
      <c r="G1303" s="1" t="str">
        <f>IFERROR(__xludf.DUMMYFUNCTION("""COMPUTED_VALUE"""),"3 mos")</f>
        <v>3 mos</v>
      </c>
      <c r="H1303" s="1" t="str">
        <f>IFERROR(__xludf.DUMMYFUNCTION("""COMPUTED_VALUE"""),"reply")</f>
        <v>reply</v>
      </c>
      <c r="I1303" s="2" t="str">
        <f>IFERROR(__xludf.DUMMYFUNCTION("""COMPUTED_VALUE"""),"https://www.facebook.com/rapplerdotcom/photos/a.317154781638645/5595733810447356/")</f>
        <v>https://www.facebook.com/rapplerdotcom/photos/a.317154781638645/5595733810447356/</v>
      </c>
      <c r="J1303" s="1" t="str">
        <f>IFERROR(__xludf.DUMMYFUNCTION("""COMPUTED_VALUE"""),"2022-07-04T15:41:10.241Z")</f>
        <v>2022-07-04T15:41:10.241Z</v>
      </c>
      <c r="K1303" s="1"/>
    </row>
    <row r="1304">
      <c r="A1304" s="2" t="str">
        <f>IFERROR(__xludf.DUMMYFUNCTION("""COMPUTED_VALUE"""),"https://www.facebook.com/IamRoselleBaltazar")</f>
        <v>https://www.facebook.com/IamRoselleBaltazar</v>
      </c>
      <c r="B1304" s="1" t="str">
        <f>IFERROR(__xludf.DUMMYFUNCTION("""COMPUTED_VALUE"""),"Roselle Baltazar")</f>
        <v>Roselle Baltazar</v>
      </c>
      <c r="C1304" s="1" t="str">
        <f>IFERROR(__xludf.DUMMYFUNCTION("""COMPUTED_VALUE"""),"Roselle")</f>
        <v>Roselle</v>
      </c>
      <c r="D1304" s="1" t="str">
        <f>IFERROR(__xludf.DUMMYFUNCTION("""COMPUTED_VALUE"""),"Baltazar")</f>
        <v>Baltazar</v>
      </c>
      <c r="E1304" s="1" t="str">
        <f>IFERROR(__xludf.DUMMYFUNCTION("""COMPUTED_VALUE"""),"Lioney Prias  yung konsensya mo ba sinanla mo na talaga kay satanas? 72 y/o patuloy na nagbabanat ng buto para may mapakain sa pamilya tapos i-accuse mo sya ng ganyan? Nakakasukang pag-uugali.")</f>
        <v>Lioney Prias  yung konsensya mo ba sinanla mo na talaga kay satanas? 72 y/o patuloy na nagbabanat ng buto para may mapakain sa pamilya tapos i-accuse mo sya ng ganyan? Nakakasukang pag-uugali.</v>
      </c>
      <c r="F1304" s="1">
        <f>IFERROR(__xludf.DUMMYFUNCTION("""COMPUTED_VALUE"""),3.0)</f>
        <v>3</v>
      </c>
      <c r="G1304" s="1" t="str">
        <f>IFERROR(__xludf.DUMMYFUNCTION("""COMPUTED_VALUE"""),"3 mos")</f>
        <v>3 mos</v>
      </c>
      <c r="H1304" s="1" t="str">
        <f>IFERROR(__xludf.DUMMYFUNCTION("""COMPUTED_VALUE"""),"reply")</f>
        <v>reply</v>
      </c>
      <c r="I1304" s="2" t="str">
        <f>IFERROR(__xludf.DUMMYFUNCTION("""COMPUTED_VALUE"""),"https://www.facebook.com/rapplerdotcom/photos/a.317154781638645/5595733810447356/")</f>
        <v>https://www.facebook.com/rapplerdotcom/photos/a.317154781638645/5595733810447356/</v>
      </c>
      <c r="J1304" s="1" t="str">
        <f>IFERROR(__xludf.DUMMYFUNCTION("""COMPUTED_VALUE"""),"2022-07-04T15:41:10.241Z")</f>
        <v>2022-07-04T15:41:10.241Z</v>
      </c>
      <c r="K1304" s="1"/>
    </row>
    <row r="1305">
      <c r="A1305" s="2" t="str">
        <f>IFERROR(__xludf.DUMMYFUNCTION("""COMPUTED_VALUE"""),"https://www.facebook.com/richard.delacruz.75033")</f>
        <v>https://www.facebook.com/richard.delacruz.75033</v>
      </c>
      <c r="B1305" s="1" t="str">
        <f>IFERROR(__xludf.DUMMYFUNCTION("""COMPUTED_VALUE"""),"Richard de la Cruz")</f>
        <v>Richard de la Cruz</v>
      </c>
      <c r="C1305" s="1" t="str">
        <f>IFERROR(__xludf.DUMMYFUNCTION("""COMPUTED_VALUE"""),"Richard")</f>
        <v>Richard</v>
      </c>
      <c r="D1305" s="1" t="str">
        <f>IFERROR(__xludf.DUMMYFUNCTION("""COMPUTED_VALUE"""),"de la Cruz")</f>
        <v>de la Cruz</v>
      </c>
      <c r="E1305" s="1" t="str">
        <f>IFERROR(__xludf.DUMMYFUNCTION("""COMPUTED_VALUE"""),"Lioney Prias Sana maranasan mo yung dinadanas ng matanda hindi ka kasi maka-intindi...")</f>
        <v>Lioney Prias Sana maranasan mo yung dinadanas ng matanda hindi ka kasi maka-intindi...</v>
      </c>
      <c r="F1305" s="1">
        <f>IFERROR(__xludf.DUMMYFUNCTION("""COMPUTED_VALUE"""),2.0)</f>
        <v>2</v>
      </c>
      <c r="G1305" s="1" t="str">
        <f>IFERROR(__xludf.DUMMYFUNCTION("""COMPUTED_VALUE"""),"3 mos")</f>
        <v>3 mos</v>
      </c>
      <c r="H1305" s="1" t="str">
        <f>IFERROR(__xludf.DUMMYFUNCTION("""COMPUTED_VALUE"""),"reply")</f>
        <v>reply</v>
      </c>
      <c r="I1305" s="2" t="str">
        <f>IFERROR(__xludf.DUMMYFUNCTION("""COMPUTED_VALUE"""),"https://www.facebook.com/rapplerdotcom/photos/a.317154781638645/5595733810447356/")</f>
        <v>https://www.facebook.com/rapplerdotcom/photos/a.317154781638645/5595733810447356/</v>
      </c>
      <c r="J1305" s="1" t="str">
        <f>IFERROR(__xludf.DUMMYFUNCTION("""COMPUTED_VALUE"""),"2022-07-04T15:41:10.241Z")</f>
        <v>2022-07-04T15:41:10.241Z</v>
      </c>
      <c r="K1305" s="1"/>
    </row>
    <row r="1306">
      <c r="A1306" s="2" t="str">
        <f>IFERROR(__xludf.DUMMYFUNCTION("""COMPUTED_VALUE"""),"https://www.facebook.com/profile.php?id=100009637215034")</f>
        <v>https://www.facebook.com/profile.php?id=100009637215034</v>
      </c>
      <c r="B1306" s="1" t="str">
        <f>IFERROR(__xludf.DUMMYFUNCTION("""COMPUTED_VALUE"""),"Mari Cas")</f>
        <v>Mari Cas</v>
      </c>
      <c r="C1306" s="1" t="str">
        <f>IFERROR(__xludf.DUMMYFUNCTION("""COMPUTED_VALUE"""),"Mari")</f>
        <v>Mari</v>
      </c>
      <c r="D1306" s="1" t="str">
        <f>IFERROR(__xludf.DUMMYFUNCTION("""COMPUTED_VALUE"""),"Cas")</f>
        <v>Cas</v>
      </c>
      <c r="E1306" s="1" t="str">
        <f>IFERROR(__xludf.DUMMYFUNCTION("""COMPUTED_VALUE"""),"Lioney Prias Gawain mo yan eh,wag ka na mandamay")</f>
        <v>Lioney Prias Gawain mo yan eh,wag ka na mandamay</v>
      </c>
      <c r="F1306" s="1">
        <f>IFERROR(__xludf.DUMMYFUNCTION("""COMPUTED_VALUE"""),2.0)</f>
        <v>2</v>
      </c>
      <c r="G1306" s="1" t="str">
        <f>IFERROR(__xludf.DUMMYFUNCTION("""COMPUTED_VALUE"""),"3 mos")</f>
        <v>3 mos</v>
      </c>
      <c r="H1306" s="1" t="str">
        <f>IFERROR(__xludf.DUMMYFUNCTION("""COMPUTED_VALUE"""),"reply")</f>
        <v>reply</v>
      </c>
      <c r="I1306" s="2" t="str">
        <f>IFERROR(__xludf.DUMMYFUNCTION("""COMPUTED_VALUE"""),"https://www.facebook.com/rapplerdotcom/photos/a.317154781638645/5595733810447356/")</f>
        <v>https://www.facebook.com/rapplerdotcom/photos/a.317154781638645/5595733810447356/</v>
      </c>
      <c r="J1306" s="1" t="str">
        <f>IFERROR(__xludf.DUMMYFUNCTION("""COMPUTED_VALUE"""),"2022-07-04T15:41:10.241Z")</f>
        <v>2022-07-04T15:41:10.241Z</v>
      </c>
      <c r="K1306" s="1"/>
    </row>
    <row r="1307">
      <c r="A1307" s="2" t="str">
        <f>IFERROR(__xludf.DUMMYFUNCTION("""COMPUTED_VALUE"""),"https://www.facebook.com/cat.carrot.50")</f>
        <v>https://www.facebook.com/cat.carrot.50</v>
      </c>
      <c r="B1307" s="1" t="str">
        <f>IFERROR(__xludf.DUMMYFUNCTION("""COMPUTED_VALUE"""),"Cat Carrot")</f>
        <v>Cat Carrot</v>
      </c>
      <c r="C1307" s="1" t="str">
        <f>IFERROR(__xludf.DUMMYFUNCTION("""COMPUTED_VALUE"""),"Cat")</f>
        <v>Cat</v>
      </c>
      <c r="D1307" s="1" t="str">
        <f>IFERROR(__xludf.DUMMYFUNCTION("""COMPUTED_VALUE"""),"Carrot")</f>
        <v>Carrot</v>
      </c>
      <c r="E1307" s="1" t="str">
        <f>IFERROR(__xludf.DUMMYFUNCTION("""COMPUTED_VALUE"""),"Lioney Prias diba kayo yung nabigyan 50 pesos?")</f>
        <v>Lioney Prias diba kayo yung nabigyan 50 pesos?</v>
      </c>
      <c r="F1307" s="1">
        <f>IFERROR(__xludf.DUMMYFUNCTION("""COMPUTED_VALUE"""),1.0)</f>
        <v>1</v>
      </c>
      <c r="G1307" s="1" t="str">
        <f>IFERROR(__xludf.DUMMYFUNCTION("""COMPUTED_VALUE"""),"3 mos")</f>
        <v>3 mos</v>
      </c>
      <c r="H1307" s="1" t="str">
        <f>IFERROR(__xludf.DUMMYFUNCTION("""COMPUTED_VALUE"""),"reply")</f>
        <v>reply</v>
      </c>
      <c r="I1307" s="2" t="str">
        <f>IFERROR(__xludf.DUMMYFUNCTION("""COMPUTED_VALUE"""),"https://www.facebook.com/rapplerdotcom/photos/a.317154781638645/5595733810447356/")</f>
        <v>https://www.facebook.com/rapplerdotcom/photos/a.317154781638645/5595733810447356/</v>
      </c>
      <c r="J1307" s="1" t="str">
        <f>IFERROR(__xludf.DUMMYFUNCTION("""COMPUTED_VALUE"""),"2022-07-04T15:41:10.241Z")</f>
        <v>2022-07-04T15:41:10.241Z</v>
      </c>
      <c r="K1307" s="1"/>
    </row>
    <row r="1308">
      <c r="A1308" s="2" t="str">
        <f>IFERROR(__xludf.DUMMYFUNCTION("""COMPUTED_VALUE"""),"https://www.facebook.com/sunday.dugong")</f>
        <v>https://www.facebook.com/sunday.dugong</v>
      </c>
      <c r="B1308" s="1" t="str">
        <f>IFERROR(__xludf.DUMMYFUNCTION("""COMPUTED_VALUE"""),"Sunday Dugong")</f>
        <v>Sunday Dugong</v>
      </c>
      <c r="C1308" s="1" t="str">
        <f>IFERROR(__xludf.DUMMYFUNCTION("""COMPUTED_VALUE"""),"Sunday")</f>
        <v>Sunday</v>
      </c>
      <c r="D1308" s="1" t="str">
        <f>IFERROR(__xludf.DUMMYFUNCTION("""COMPUTED_VALUE"""),"Dugong")</f>
        <v>Dugong</v>
      </c>
      <c r="E1308" s="1" t="str">
        <f>IFERROR(__xludf.DUMMYFUNCTION("""COMPUTED_VALUE"""),"isoli ko na bukas driver license ko kayo na lng")</f>
        <v>isoli ko na bukas driver license ko kayo na lng</v>
      </c>
      <c r="F1308" s="1">
        <f>IFERROR(__xludf.DUMMYFUNCTION("""COMPUTED_VALUE"""),2.0)</f>
        <v>2</v>
      </c>
      <c r="G1308" s="1" t="str">
        <f>IFERROR(__xludf.DUMMYFUNCTION("""COMPUTED_VALUE"""),"3 mos")</f>
        <v>3 mos</v>
      </c>
      <c r="H1308" s="1" t="str">
        <f>IFERROR(__xludf.DUMMYFUNCTION("""COMPUTED_VALUE"""),"comment")</f>
        <v>comment</v>
      </c>
      <c r="I1308" s="2" t="str">
        <f>IFERROR(__xludf.DUMMYFUNCTION("""COMPUTED_VALUE"""),"https://www.facebook.com/rapplerdotcom/photos/a.317154781638645/5595733810447356/")</f>
        <v>https://www.facebook.com/rapplerdotcom/photos/a.317154781638645/5595733810447356/</v>
      </c>
      <c r="J1308" s="1" t="str">
        <f>IFERROR(__xludf.DUMMYFUNCTION("""COMPUTED_VALUE"""),"2022-07-04T15:41:10.241Z")</f>
        <v>2022-07-04T15:41:10.241Z</v>
      </c>
      <c r="K1308" s="1"/>
    </row>
    <row r="1309">
      <c r="A1309" s="2" t="str">
        <f>IFERROR(__xludf.DUMMYFUNCTION("""COMPUTED_VALUE"""),"https://www.facebook.com/pulubeng.kabute")</f>
        <v>https://www.facebook.com/pulubeng.kabute</v>
      </c>
      <c r="B1309" s="1" t="str">
        <f>IFERROR(__xludf.DUMMYFUNCTION("""COMPUTED_VALUE"""),"Gazelle Paulino")</f>
        <v>Gazelle Paulino</v>
      </c>
      <c r="C1309" s="1" t="str">
        <f>IFERROR(__xludf.DUMMYFUNCTION("""COMPUTED_VALUE"""),"Gazelle")</f>
        <v>Gazelle</v>
      </c>
      <c r="D1309" s="1" t="str">
        <f>IFERROR(__xludf.DUMMYFUNCTION("""COMPUTED_VALUE"""),"Paulino")</f>
        <v>Paulino</v>
      </c>
      <c r="E1309" s="1" t="str">
        <f>IFERROR(__xludf.DUMMYFUNCTION("""COMPUTED_VALUE"""),"Sunday Dugong sige nga.")</f>
        <v>Sunday Dugong sige nga.</v>
      </c>
      <c r="F1309" s="1"/>
      <c r="G1309" s="1" t="str">
        <f>IFERROR(__xludf.DUMMYFUNCTION("""COMPUTED_VALUE"""),"3 mos")</f>
        <v>3 mos</v>
      </c>
      <c r="H1309" s="1" t="str">
        <f>IFERROR(__xludf.DUMMYFUNCTION("""COMPUTED_VALUE"""),"reply")</f>
        <v>reply</v>
      </c>
      <c r="I1309" s="2" t="str">
        <f>IFERROR(__xludf.DUMMYFUNCTION("""COMPUTED_VALUE"""),"https://www.facebook.com/rapplerdotcom/photos/a.317154781638645/5595733810447356/")</f>
        <v>https://www.facebook.com/rapplerdotcom/photos/a.317154781638645/5595733810447356/</v>
      </c>
      <c r="J1309" s="1" t="str">
        <f>IFERROR(__xludf.DUMMYFUNCTION("""COMPUTED_VALUE"""),"2022-07-04T15:41:10.241Z")</f>
        <v>2022-07-04T15:41:10.241Z</v>
      </c>
      <c r="K1309" s="1"/>
    </row>
    <row r="1310">
      <c r="A1310" s="2" t="str">
        <f>IFERROR(__xludf.DUMMYFUNCTION("""COMPUTED_VALUE"""),"https://www.facebook.com/sunday.dugong")</f>
        <v>https://www.facebook.com/sunday.dugong</v>
      </c>
      <c r="B1310" s="1" t="str">
        <f>IFERROR(__xludf.DUMMYFUNCTION("""COMPUTED_VALUE"""),"Sunday Dugong")</f>
        <v>Sunday Dugong</v>
      </c>
      <c r="C1310" s="1" t="str">
        <f>IFERROR(__xludf.DUMMYFUNCTION("""COMPUTED_VALUE"""),"Sunday")</f>
        <v>Sunday</v>
      </c>
      <c r="D1310" s="1" t="str">
        <f>IFERROR(__xludf.DUMMYFUNCTION("""COMPUTED_VALUE"""),"Dugong")</f>
        <v>Dugong</v>
      </c>
      <c r="E1310" s="1" t="str">
        <f>IFERROR(__xludf.DUMMYFUNCTION("""COMPUTED_VALUE"""),"Bukas nga")</f>
        <v>Bukas nga</v>
      </c>
      <c r="F1310" s="1"/>
      <c r="G1310" s="1" t="str">
        <f>IFERROR(__xludf.DUMMYFUNCTION("""COMPUTED_VALUE"""),"3 mos")</f>
        <v>3 mos</v>
      </c>
      <c r="H1310" s="1" t="str">
        <f>IFERROR(__xludf.DUMMYFUNCTION("""COMPUTED_VALUE"""),"reply")</f>
        <v>reply</v>
      </c>
      <c r="I1310" s="2" t="str">
        <f>IFERROR(__xludf.DUMMYFUNCTION("""COMPUTED_VALUE"""),"https://www.facebook.com/rapplerdotcom/photos/a.317154781638645/5595733810447356/")</f>
        <v>https://www.facebook.com/rapplerdotcom/photos/a.317154781638645/5595733810447356/</v>
      </c>
      <c r="J1310" s="1" t="str">
        <f>IFERROR(__xludf.DUMMYFUNCTION("""COMPUTED_VALUE"""),"2022-07-04T15:41:10.241Z")</f>
        <v>2022-07-04T15:41:10.241Z</v>
      </c>
      <c r="K1310" s="1"/>
    </row>
    <row r="1311">
      <c r="A1311" s="2" t="str">
        <f>IFERROR(__xludf.DUMMYFUNCTION("""COMPUTED_VALUE"""),"https://www.facebook.com/gina.parin.7")</f>
        <v>https://www.facebook.com/gina.parin.7</v>
      </c>
      <c r="B1311" s="1" t="str">
        <f>IFERROR(__xludf.DUMMYFUNCTION("""COMPUTED_VALUE"""),"Gina Parin")</f>
        <v>Gina Parin</v>
      </c>
      <c r="C1311" s="1" t="str">
        <f>IFERROR(__xludf.DUMMYFUNCTION("""COMPUTED_VALUE"""),"Gina")</f>
        <v>Gina</v>
      </c>
      <c r="D1311" s="1" t="str">
        <f>IFERROR(__xludf.DUMMYFUNCTION("""COMPUTED_VALUE"""),"Parin")</f>
        <v>Parin</v>
      </c>
      <c r="E1311" s="1" t="str">
        <f>IFERROR(__xludf.DUMMYFUNCTION("""COMPUTED_VALUE"""),"Sunday Dugong 🤣🤣🤣🤣🤣")</f>
        <v>Sunday Dugong 🤣🤣🤣🤣🤣</v>
      </c>
      <c r="F1311" s="1"/>
      <c r="G1311" s="1" t="str">
        <f>IFERROR(__xludf.DUMMYFUNCTION("""COMPUTED_VALUE"""),"3 mos")</f>
        <v>3 mos</v>
      </c>
      <c r="H1311" s="1" t="str">
        <f>IFERROR(__xludf.DUMMYFUNCTION("""COMPUTED_VALUE"""),"reply")</f>
        <v>reply</v>
      </c>
      <c r="I1311" s="2" t="str">
        <f>IFERROR(__xludf.DUMMYFUNCTION("""COMPUTED_VALUE"""),"https://www.facebook.com/rapplerdotcom/photos/a.317154781638645/5595733810447356/")</f>
        <v>https://www.facebook.com/rapplerdotcom/photos/a.317154781638645/5595733810447356/</v>
      </c>
      <c r="J1311" s="1" t="str">
        <f>IFERROR(__xludf.DUMMYFUNCTION("""COMPUTED_VALUE"""),"2022-07-04T15:41:10.241Z")</f>
        <v>2022-07-04T15:41:10.241Z</v>
      </c>
      <c r="K1311" s="1"/>
    </row>
    <row r="1312">
      <c r="A1312" s="2" t="str">
        <f>IFERROR(__xludf.DUMMYFUNCTION("""COMPUTED_VALUE"""),"https://www.facebook.com/gia.mitchell.9655")</f>
        <v>https://www.facebook.com/gia.mitchell.9655</v>
      </c>
      <c r="B1312" s="1" t="str">
        <f>IFERROR(__xludf.DUMMYFUNCTION("""COMPUTED_VALUE"""),"Gia Mitchell")</f>
        <v>Gia Mitchell</v>
      </c>
      <c r="C1312" s="1" t="str">
        <f>IFERROR(__xludf.DUMMYFUNCTION("""COMPUTED_VALUE"""),"Gia")</f>
        <v>Gia</v>
      </c>
      <c r="D1312" s="1" t="str">
        <f>IFERROR(__xludf.DUMMYFUNCTION("""COMPUTED_VALUE"""),"Mitchell")</f>
        <v>Mitchell</v>
      </c>
      <c r="E1312" s="1" t="str">
        <f>IFERROR(__xludf.DUMMYFUNCTION("""COMPUTED_VALUE"""),"Sunday Dugong Isoli mo na ngayon")</f>
        <v>Sunday Dugong Isoli mo na ngayon</v>
      </c>
      <c r="F1312" s="1"/>
      <c r="G1312" s="1" t="str">
        <f>IFERROR(__xludf.DUMMYFUNCTION("""COMPUTED_VALUE"""),"3 mos")</f>
        <v>3 mos</v>
      </c>
      <c r="H1312" s="1" t="str">
        <f>IFERROR(__xludf.DUMMYFUNCTION("""COMPUTED_VALUE"""),"reply")</f>
        <v>reply</v>
      </c>
      <c r="I1312" s="2" t="str">
        <f>IFERROR(__xludf.DUMMYFUNCTION("""COMPUTED_VALUE"""),"https://www.facebook.com/rapplerdotcom/photos/a.317154781638645/5595733810447356/")</f>
        <v>https://www.facebook.com/rapplerdotcom/photos/a.317154781638645/5595733810447356/</v>
      </c>
      <c r="J1312" s="1" t="str">
        <f>IFERROR(__xludf.DUMMYFUNCTION("""COMPUTED_VALUE"""),"2022-07-04T15:41:10.241Z")</f>
        <v>2022-07-04T15:41:10.241Z</v>
      </c>
      <c r="K1312" s="1"/>
    </row>
    <row r="1313">
      <c r="A1313" s="2" t="str">
        <f>IFERROR(__xludf.DUMMYFUNCTION("""COMPUTED_VALUE"""),"https://www.facebook.com/sunday.dugong")</f>
        <v>https://www.facebook.com/sunday.dugong</v>
      </c>
      <c r="B1313" s="1" t="str">
        <f>IFERROR(__xludf.DUMMYFUNCTION("""COMPUTED_VALUE"""),"Sunday Dugong")</f>
        <v>Sunday Dugong</v>
      </c>
      <c r="C1313" s="1" t="str">
        <f>IFERROR(__xludf.DUMMYFUNCTION("""COMPUTED_VALUE"""),"Sunday")</f>
        <v>Sunday</v>
      </c>
      <c r="D1313" s="1" t="str">
        <f>IFERROR(__xludf.DUMMYFUNCTION("""COMPUTED_VALUE"""),"Dugong")</f>
        <v>Dugong</v>
      </c>
      <c r="E1313" s="1" t="str">
        <f>IFERROR(__xludf.DUMMYFUNCTION("""COMPUTED_VALUE"""),"Gia Mitchell linggo ngayon bukas ulit ha")</f>
        <v>Gia Mitchell linggo ngayon bukas ulit ha</v>
      </c>
      <c r="F1313" s="1"/>
      <c r="G1313" s="1" t="str">
        <f>IFERROR(__xludf.DUMMYFUNCTION("""COMPUTED_VALUE"""),"3 mos")</f>
        <v>3 mos</v>
      </c>
      <c r="H1313" s="1" t="str">
        <f>IFERROR(__xludf.DUMMYFUNCTION("""COMPUTED_VALUE"""),"reply")</f>
        <v>reply</v>
      </c>
      <c r="I1313" s="2" t="str">
        <f>IFERROR(__xludf.DUMMYFUNCTION("""COMPUTED_VALUE"""),"https://www.facebook.com/rapplerdotcom/photos/a.317154781638645/5595733810447356/")</f>
        <v>https://www.facebook.com/rapplerdotcom/photos/a.317154781638645/5595733810447356/</v>
      </c>
      <c r="J1313" s="1" t="str">
        <f>IFERROR(__xludf.DUMMYFUNCTION("""COMPUTED_VALUE"""),"2022-07-04T15:41:10.241Z")</f>
        <v>2022-07-04T15:41:10.241Z</v>
      </c>
      <c r="K1313" s="1"/>
    </row>
    <row r="1314">
      <c r="A1314" s="2" t="str">
        <f>IFERROR(__xludf.DUMMYFUNCTION("""COMPUTED_VALUE"""),"https://www.facebook.com/edison.lagota.1")</f>
        <v>https://www.facebook.com/edison.lagota.1</v>
      </c>
      <c r="B1314" s="1" t="str">
        <f>IFERROR(__xludf.DUMMYFUNCTION("""COMPUTED_VALUE"""),"Edison Soldao Lagota")</f>
        <v>Edison Soldao Lagota</v>
      </c>
      <c r="C1314" s="1" t="str">
        <f>IFERROR(__xludf.DUMMYFUNCTION("""COMPUTED_VALUE"""),"Edison")</f>
        <v>Edison</v>
      </c>
      <c r="D1314" s="1" t="str">
        <f>IFERROR(__xludf.DUMMYFUNCTION("""COMPUTED_VALUE"""),"Soldao Lagota")</f>
        <v>Soldao Lagota</v>
      </c>
      <c r="E1314" s="1" t="str">
        <f>IFERROR(__xludf.DUMMYFUNCTION("""COMPUTED_VALUE"""),"titigil na ako sa pamamasada")</f>
        <v>titigil na ako sa pamamasada</v>
      </c>
      <c r="F1314" s="1">
        <f>IFERROR(__xludf.DUMMYFUNCTION("""COMPUTED_VALUE"""),12.0)</f>
        <v>12</v>
      </c>
      <c r="G1314" s="1" t="str">
        <f>IFERROR(__xludf.DUMMYFUNCTION("""COMPUTED_VALUE"""),"3 mos")</f>
        <v>3 mos</v>
      </c>
      <c r="H1314" s="1" t="str">
        <f>IFERROR(__xludf.DUMMYFUNCTION("""COMPUTED_VALUE"""),"comment")</f>
        <v>comment</v>
      </c>
      <c r="I1314" s="2" t="str">
        <f>IFERROR(__xludf.DUMMYFUNCTION("""COMPUTED_VALUE"""),"https://www.facebook.com/rapplerdotcom/photos/a.317154781638645/5595733810447356/")</f>
        <v>https://www.facebook.com/rapplerdotcom/photos/a.317154781638645/5595733810447356/</v>
      </c>
      <c r="J1314" s="1" t="str">
        <f>IFERROR(__xludf.DUMMYFUNCTION("""COMPUTED_VALUE"""),"2022-07-04T15:41:10.241Z")</f>
        <v>2022-07-04T15:41:10.241Z</v>
      </c>
      <c r="K1314" s="1"/>
    </row>
    <row r="1315">
      <c r="A1315" s="2" t="str">
        <f>IFERROR(__xludf.DUMMYFUNCTION("""COMPUTED_VALUE"""),"https://www.facebook.com/aila0726")</f>
        <v>https://www.facebook.com/aila0726</v>
      </c>
      <c r="B1315" s="1" t="str">
        <f>IFERROR(__xludf.DUMMYFUNCTION("""COMPUTED_VALUE"""),"Rafaela Dy Pecante")</f>
        <v>Rafaela Dy Pecante</v>
      </c>
      <c r="C1315" s="1" t="str">
        <f>IFERROR(__xludf.DUMMYFUNCTION("""COMPUTED_VALUE"""),"Rafaela")</f>
        <v>Rafaela</v>
      </c>
      <c r="D1315" s="1" t="str">
        <f>IFERROR(__xludf.DUMMYFUNCTION("""COMPUTED_VALUE"""),"Dy Pecante")</f>
        <v>Dy Pecante</v>
      </c>
      <c r="E1315" s="1" t="str">
        <f>IFERROR(__xludf.DUMMYFUNCTION("""COMPUTED_VALUE"""),"Edison Soldao Lagota  Go ahead po. 👍")</f>
        <v>Edison Soldao Lagota  Go ahead po. 👍</v>
      </c>
      <c r="F1315" s="1">
        <f>IFERROR(__xludf.DUMMYFUNCTION("""COMPUTED_VALUE"""),13.0)</f>
        <v>13</v>
      </c>
      <c r="G1315" s="1" t="str">
        <f>IFERROR(__xludf.DUMMYFUNCTION("""COMPUTED_VALUE"""),"3 mos")</f>
        <v>3 mos</v>
      </c>
      <c r="H1315" s="1" t="str">
        <f>IFERROR(__xludf.DUMMYFUNCTION("""COMPUTED_VALUE"""),"reply")</f>
        <v>reply</v>
      </c>
      <c r="I1315" s="2" t="str">
        <f>IFERROR(__xludf.DUMMYFUNCTION("""COMPUTED_VALUE"""),"https://www.facebook.com/rapplerdotcom/photos/a.317154781638645/5595733810447356/")</f>
        <v>https://www.facebook.com/rapplerdotcom/photos/a.317154781638645/5595733810447356/</v>
      </c>
      <c r="J1315" s="1" t="str">
        <f>IFERROR(__xludf.DUMMYFUNCTION("""COMPUTED_VALUE"""),"2022-07-04T15:41:10.241Z")</f>
        <v>2022-07-04T15:41:10.241Z</v>
      </c>
      <c r="K1315" s="1"/>
    </row>
    <row r="1316">
      <c r="A1316" s="2" t="str">
        <f>IFERROR(__xludf.DUMMYFUNCTION("""COMPUTED_VALUE"""),"https://www.facebook.com/melay.rosales")</f>
        <v>https://www.facebook.com/melay.rosales</v>
      </c>
      <c r="B1316" s="1" t="str">
        <f>IFERROR(__xludf.DUMMYFUNCTION("""COMPUTED_VALUE"""),"Lee R. Rosales")</f>
        <v>Lee R. Rosales</v>
      </c>
      <c r="C1316" s="1" t="str">
        <f>IFERROR(__xludf.DUMMYFUNCTION("""COMPUTED_VALUE"""),"Lee")</f>
        <v>Lee</v>
      </c>
      <c r="D1316" s="1" t="str">
        <f>IFERROR(__xludf.DUMMYFUNCTION("""COMPUTED_VALUE"""),"R. Rosales")</f>
        <v>R. Rosales</v>
      </c>
      <c r="E1316" s="1" t="str">
        <f>IFERROR(__xludf.DUMMYFUNCTION("""COMPUTED_VALUE"""),"Edison Soldao Lagota  now na po🙏")</f>
        <v>Edison Soldao Lagota  now na po🙏</v>
      </c>
      <c r="F1316" s="1">
        <f>IFERROR(__xludf.DUMMYFUNCTION("""COMPUTED_VALUE"""),4.0)</f>
        <v>4</v>
      </c>
      <c r="G1316" s="1" t="str">
        <f>IFERROR(__xludf.DUMMYFUNCTION("""COMPUTED_VALUE"""),"3 mos")</f>
        <v>3 mos</v>
      </c>
      <c r="H1316" s="1" t="str">
        <f>IFERROR(__xludf.DUMMYFUNCTION("""COMPUTED_VALUE"""),"reply")</f>
        <v>reply</v>
      </c>
      <c r="I1316" s="2" t="str">
        <f>IFERROR(__xludf.DUMMYFUNCTION("""COMPUTED_VALUE"""),"https://www.facebook.com/rapplerdotcom/photos/a.317154781638645/5595733810447356/")</f>
        <v>https://www.facebook.com/rapplerdotcom/photos/a.317154781638645/5595733810447356/</v>
      </c>
      <c r="J1316" s="1" t="str">
        <f>IFERROR(__xludf.DUMMYFUNCTION("""COMPUTED_VALUE"""),"2022-07-04T15:41:10.241Z")</f>
        <v>2022-07-04T15:41:10.241Z</v>
      </c>
      <c r="K1316" s="1"/>
    </row>
    <row r="1317">
      <c r="A1317" s="2" t="str">
        <f>IFERROR(__xludf.DUMMYFUNCTION("""COMPUTED_VALUE"""),"https://www.facebook.com/rdoroon1")</f>
        <v>https://www.facebook.com/rdoroon1</v>
      </c>
      <c r="B1317" s="1" t="str">
        <f>IFERROR(__xludf.DUMMYFUNCTION("""COMPUTED_VALUE"""),"Marrose Doro-on Agustin")</f>
        <v>Marrose Doro-on Agustin</v>
      </c>
      <c r="C1317" s="1" t="str">
        <f>IFERROR(__xludf.DUMMYFUNCTION("""COMPUTED_VALUE"""),"Marrose")</f>
        <v>Marrose</v>
      </c>
      <c r="D1317" s="1" t="str">
        <f>IFERROR(__xludf.DUMMYFUNCTION("""COMPUTED_VALUE"""),"Doro-on Agustin")</f>
        <v>Doro-on Agustin</v>
      </c>
      <c r="E1317" s="1" t="str">
        <f>IFERROR(__xludf.DUMMYFUNCTION("""COMPUTED_VALUE"""),"Edison Soldao Lagota tama yan 😁😆")</f>
        <v>Edison Soldao Lagota tama yan 😁😆</v>
      </c>
      <c r="F1317" s="1">
        <f>IFERROR(__xludf.DUMMYFUNCTION("""COMPUTED_VALUE"""),1.0)</f>
        <v>1</v>
      </c>
      <c r="G1317" s="1" t="str">
        <f>IFERROR(__xludf.DUMMYFUNCTION("""COMPUTED_VALUE"""),"3 mos")</f>
        <v>3 mos</v>
      </c>
      <c r="H1317" s="1" t="str">
        <f>IFERROR(__xludf.DUMMYFUNCTION("""COMPUTED_VALUE"""),"reply")</f>
        <v>reply</v>
      </c>
      <c r="I1317" s="2" t="str">
        <f>IFERROR(__xludf.DUMMYFUNCTION("""COMPUTED_VALUE"""),"https://www.facebook.com/rapplerdotcom/photos/a.317154781638645/5595733810447356/")</f>
        <v>https://www.facebook.com/rapplerdotcom/photos/a.317154781638645/5595733810447356/</v>
      </c>
      <c r="J1317" s="1" t="str">
        <f>IFERROR(__xludf.DUMMYFUNCTION("""COMPUTED_VALUE"""),"2022-07-04T15:41:10.241Z")</f>
        <v>2022-07-04T15:41:10.241Z</v>
      </c>
      <c r="K1317" s="1"/>
    </row>
    <row r="1318">
      <c r="A1318" s="2" t="str">
        <f>IFERROR(__xludf.DUMMYFUNCTION("""COMPUTED_VALUE"""),"https://www.facebook.com/profile.php?id=100003506242168")</f>
        <v>https://www.facebook.com/profile.php?id=100003506242168</v>
      </c>
      <c r="B1318" s="1" t="str">
        <f>IFERROR(__xludf.DUMMYFUNCTION("""COMPUTED_VALUE"""),"Roberto Roxas Lopez")</f>
        <v>Roberto Roxas Lopez</v>
      </c>
      <c r="C1318" s="1" t="str">
        <f>IFERROR(__xludf.DUMMYFUNCTION("""COMPUTED_VALUE"""),"Roberto")</f>
        <v>Roberto</v>
      </c>
      <c r="D1318" s="1" t="str">
        <f>IFERROR(__xludf.DUMMYFUNCTION("""COMPUTED_VALUE"""),"Roxas Lopez")</f>
        <v>Roxas Lopez</v>
      </c>
      <c r="E1318" s="1" t="str">
        <f>IFERROR(__xludf.DUMMYFUNCTION("""COMPUTED_VALUE"""),"Edison Soldao Lagota tagal naman.....")</f>
        <v>Edison Soldao Lagota tagal naman.....</v>
      </c>
      <c r="F1318" s="1">
        <f>IFERROR(__xludf.DUMMYFUNCTION("""COMPUTED_VALUE"""),1.0)</f>
        <v>1</v>
      </c>
      <c r="G1318" s="1" t="str">
        <f>IFERROR(__xludf.DUMMYFUNCTION("""COMPUTED_VALUE"""),"3 mos")</f>
        <v>3 mos</v>
      </c>
      <c r="H1318" s="1" t="str">
        <f>IFERROR(__xludf.DUMMYFUNCTION("""COMPUTED_VALUE"""),"reply")</f>
        <v>reply</v>
      </c>
      <c r="I1318" s="2" t="str">
        <f>IFERROR(__xludf.DUMMYFUNCTION("""COMPUTED_VALUE"""),"https://www.facebook.com/rapplerdotcom/photos/a.317154781638645/5595733810447356/")</f>
        <v>https://www.facebook.com/rapplerdotcom/photos/a.317154781638645/5595733810447356/</v>
      </c>
      <c r="J1318" s="1" t="str">
        <f>IFERROR(__xludf.DUMMYFUNCTION("""COMPUTED_VALUE"""),"2022-07-04T15:41:10.241Z")</f>
        <v>2022-07-04T15:41:10.241Z</v>
      </c>
      <c r="K1318" s="1"/>
    </row>
    <row r="1319">
      <c r="A1319" s="2" t="str">
        <f>IFERROR(__xludf.DUMMYFUNCTION("""COMPUTED_VALUE"""),"https://www.facebook.com/alexasophiaaa")</f>
        <v>https://www.facebook.com/alexasophiaaa</v>
      </c>
      <c r="B1319" s="1" t="str">
        <f>IFERROR(__xludf.DUMMYFUNCTION("""COMPUTED_VALUE"""),"Alexa Sophia Orbeta")</f>
        <v>Alexa Sophia Orbeta</v>
      </c>
      <c r="C1319" s="1" t="str">
        <f>IFERROR(__xludf.DUMMYFUNCTION("""COMPUTED_VALUE"""),"Alexa")</f>
        <v>Alexa</v>
      </c>
      <c r="D1319" s="1" t="str">
        <f>IFERROR(__xludf.DUMMYFUNCTION("""COMPUTED_VALUE"""),"Sophia Orbeta")</f>
        <v>Sophia Orbeta</v>
      </c>
      <c r="E1319" s="1" t="str">
        <f>IFERROR(__xludf.DUMMYFUNCTION("""COMPUTED_VALUE"""),"Edison Soldao Lagota sure po wala pipigil sayo 😊")</f>
        <v>Edison Soldao Lagota sure po wala pipigil sayo 😊</v>
      </c>
      <c r="F1319" s="1">
        <f>IFERROR(__xludf.DUMMYFUNCTION("""COMPUTED_VALUE"""),2.0)</f>
        <v>2</v>
      </c>
      <c r="G1319" s="1" t="str">
        <f>IFERROR(__xludf.DUMMYFUNCTION("""COMPUTED_VALUE"""),"3 mos")</f>
        <v>3 mos</v>
      </c>
      <c r="H1319" s="1" t="str">
        <f>IFERROR(__xludf.DUMMYFUNCTION("""COMPUTED_VALUE"""),"reply")</f>
        <v>reply</v>
      </c>
      <c r="I1319" s="2" t="str">
        <f>IFERROR(__xludf.DUMMYFUNCTION("""COMPUTED_VALUE"""),"https://www.facebook.com/rapplerdotcom/photos/a.317154781638645/5595733810447356/")</f>
        <v>https://www.facebook.com/rapplerdotcom/photos/a.317154781638645/5595733810447356/</v>
      </c>
      <c r="J1319" s="1" t="str">
        <f>IFERROR(__xludf.DUMMYFUNCTION("""COMPUTED_VALUE"""),"2022-07-04T15:41:10.241Z")</f>
        <v>2022-07-04T15:41:10.241Z</v>
      </c>
      <c r="K1319" s="1"/>
    </row>
    <row r="1320">
      <c r="A1320" s="2" t="str">
        <f>IFERROR(__xludf.DUMMYFUNCTION("""COMPUTED_VALUE"""),"https://www.facebook.com/ivansalanguit21")</f>
        <v>https://www.facebook.com/ivansalanguit21</v>
      </c>
      <c r="B1320" s="1" t="str">
        <f>IFERROR(__xludf.DUMMYFUNCTION("""COMPUTED_VALUE"""),"Pau Salanguit")</f>
        <v>Pau Salanguit</v>
      </c>
      <c r="C1320" s="1" t="str">
        <f>IFERROR(__xludf.DUMMYFUNCTION("""COMPUTED_VALUE"""),"Pau")</f>
        <v>Pau</v>
      </c>
      <c r="D1320" s="1" t="str">
        <f>IFERROR(__xludf.DUMMYFUNCTION("""COMPUTED_VALUE"""),"Salanguit")</f>
        <v>Salanguit</v>
      </c>
      <c r="E1320" s="1" t="str">
        <f>IFERROR(__xludf.DUMMYFUNCTION("""COMPUTED_VALUE"""),"Edison Soldao Lagota This page is not an airport, you don’t need to announce your departure.")</f>
        <v>Edison Soldao Lagota This page is not an airport, you don’t need to announce your departure.</v>
      </c>
      <c r="F1320" s="1"/>
      <c r="G1320" s="1" t="str">
        <f>IFERROR(__xludf.DUMMYFUNCTION("""COMPUTED_VALUE"""),"3 mos")</f>
        <v>3 mos</v>
      </c>
      <c r="H1320" s="1" t="str">
        <f>IFERROR(__xludf.DUMMYFUNCTION("""COMPUTED_VALUE"""),"reply")</f>
        <v>reply</v>
      </c>
      <c r="I1320" s="2" t="str">
        <f>IFERROR(__xludf.DUMMYFUNCTION("""COMPUTED_VALUE"""),"https://www.facebook.com/rapplerdotcom/photos/a.317154781638645/5595733810447356/")</f>
        <v>https://www.facebook.com/rapplerdotcom/photos/a.317154781638645/5595733810447356/</v>
      </c>
      <c r="J1320" s="1" t="str">
        <f>IFERROR(__xludf.DUMMYFUNCTION("""COMPUTED_VALUE"""),"2022-07-04T15:41:10.241Z")</f>
        <v>2022-07-04T15:41:10.241Z</v>
      </c>
      <c r="K1320" s="1"/>
    </row>
    <row r="1321">
      <c r="A1321" s="2" t="str">
        <f>IFERROR(__xludf.DUMMYFUNCTION("""COMPUTED_VALUE"""),"https://www.facebook.com/profile.php?id=100069842376386")</f>
        <v>https://www.facebook.com/profile.php?id=100069842376386</v>
      </c>
      <c r="B1321" s="1" t="str">
        <f>IFERROR(__xludf.DUMMYFUNCTION("""COMPUTED_VALUE"""),"Aaron Balasta")</f>
        <v>Aaron Balasta</v>
      </c>
      <c r="C1321" s="1" t="str">
        <f>IFERROR(__xludf.DUMMYFUNCTION("""COMPUTED_VALUE"""),"Aaron")</f>
        <v>Aaron</v>
      </c>
      <c r="D1321" s="1" t="str">
        <f>IFERROR(__xludf.DUMMYFUNCTION("""COMPUTED_VALUE"""),"Balasta")</f>
        <v>Balasta</v>
      </c>
      <c r="E1321" s="1" t="str">
        <f>IFERROR(__xludf.DUMMYFUNCTION("""COMPUTED_VALUE"""),"Edison Soldao Lagota dami mong haters paps hahahah")</f>
        <v>Edison Soldao Lagota dami mong haters paps hahahah</v>
      </c>
      <c r="F1321" s="1"/>
      <c r="G1321" s="1" t="str">
        <f>IFERROR(__xludf.DUMMYFUNCTION("""COMPUTED_VALUE"""),"3 mos")</f>
        <v>3 mos</v>
      </c>
      <c r="H1321" s="1" t="str">
        <f>IFERROR(__xludf.DUMMYFUNCTION("""COMPUTED_VALUE"""),"reply")</f>
        <v>reply</v>
      </c>
      <c r="I1321" s="2" t="str">
        <f>IFERROR(__xludf.DUMMYFUNCTION("""COMPUTED_VALUE"""),"https://www.facebook.com/rapplerdotcom/photos/a.317154781638645/5595733810447356/")</f>
        <v>https://www.facebook.com/rapplerdotcom/photos/a.317154781638645/5595733810447356/</v>
      </c>
      <c r="J1321" s="1" t="str">
        <f>IFERROR(__xludf.DUMMYFUNCTION("""COMPUTED_VALUE"""),"2022-07-04T15:41:10.241Z")</f>
        <v>2022-07-04T15:41:10.241Z</v>
      </c>
      <c r="K1321" s="1"/>
    </row>
    <row r="1322">
      <c r="A1322" s="2" t="str">
        <f>IFERROR(__xludf.DUMMYFUNCTION("""COMPUTED_VALUE"""),"https://www.facebook.com/ancelcurativo")</f>
        <v>https://www.facebook.com/ancelcurativo</v>
      </c>
      <c r="B1322" s="1" t="str">
        <f>IFERROR(__xludf.DUMMYFUNCTION("""COMPUTED_VALUE"""),"Ancel Jay Curativo")</f>
        <v>Ancel Jay Curativo</v>
      </c>
      <c r="C1322" s="1" t="str">
        <f>IFERROR(__xludf.DUMMYFUNCTION("""COMPUTED_VALUE"""),"Ancel")</f>
        <v>Ancel</v>
      </c>
      <c r="D1322" s="1" t="str">
        <f>IFERROR(__xludf.DUMMYFUNCTION("""COMPUTED_VALUE"""),"Jay Curativo")</f>
        <v>Jay Curativo</v>
      </c>
      <c r="E1322" s="1" t="str">
        <f>IFERROR(__xludf.DUMMYFUNCTION("""COMPUTED_VALUE"""),"Di ka kawalan edison.")</f>
        <v>Di ka kawalan edison.</v>
      </c>
      <c r="F1322" s="1"/>
      <c r="G1322" s="1" t="str">
        <f>IFERROR(__xludf.DUMMYFUNCTION("""COMPUTED_VALUE"""),"3 mos")</f>
        <v>3 mos</v>
      </c>
      <c r="H1322" s="1" t="str">
        <f>IFERROR(__xludf.DUMMYFUNCTION("""COMPUTED_VALUE"""),"reply")</f>
        <v>reply</v>
      </c>
      <c r="I1322" s="2" t="str">
        <f>IFERROR(__xludf.DUMMYFUNCTION("""COMPUTED_VALUE"""),"https://www.facebook.com/rapplerdotcom/photos/a.317154781638645/5595733810447356/")</f>
        <v>https://www.facebook.com/rapplerdotcom/photos/a.317154781638645/5595733810447356/</v>
      </c>
      <c r="J1322" s="1" t="str">
        <f>IFERROR(__xludf.DUMMYFUNCTION("""COMPUTED_VALUE"""),"2022-07-04T15:41:10.241Z")</f>
        <v>2022-07-04T15:41:10.241Z</v>
      </c>
      <c r="K1322" s="1"/>
    </row>
    <row r="1323">
      <c r="A1323" s="2" t="str">
        <f>IFERROR(__xludf.DUMMYFUNCTION("""COMPUTED_VALUE"""),"https://www.facebook.com/mariano.josh99")</f>
        <v>https://www.facebook.com/mariano.josh99</v>
      </c>
      <c r="B1323" s="1" t="str">
        <f>IFERROR(__xludf.DUMMYFUNCTION("""COMPUTED_VALUE"""),"Josh Mariano")</f>
        <v>Josh Mariano</v>
      </c>
      <c r="C1323" s="1" t="str">
        <f>IFERROR(__xludf.DUMMYFUNCTION("""COMPUTED_VALUE"""),"Josh")</f>
        <v>Josh</v>
      </c>
      <c r="D1323" s="1" t="str">
        <f>IFERROR(__xludf.DUMMYFUNCTION("""COMPUTED_VALUE"""),"Mariano")</f>
        <v>Mariano</v>
      </c>
      <c r="E1323" s="1" t="str">
        <f>IFERROR(__xludf.DUMMYFUNCTION("""COMPUTED_VALUE"""),"Edison Soldao Lagota kala mo naman ang ganda ng motor mo kamote riders ka lang naman 🤣🤣🤣")</f>
        <v>Edison Soldao Lagota kala mo naman ang ganda ng motor mo kamote riders ka lang naman 🤣🤣🤣</v>
      </c>
      <c r="F1323" s="1"/>
      <c r="G1323" s="1" t="str">
        <f>IFERROR(__xludf.DUMMYFUNCTION("""COMPUTED_VALUE"""),"3 mos")</f>
        <v>3 mos</v>
      </c>
      <c r="H1323" s="1" t="str">
        <f>IFERROR(__xludf.DUMMYFUNCTION("""COMPUTED_VALUE"""),"reply")</f>
        <v>reply</v>
      </c>
      <c r="I1323" s="2" t="str">
        <f>IFERROR(__xludf.DUMMYFUNCTION("""COMPUTED_VALUE"""),"https://www.facebook.com/rapplerdotcom/photos/a.317154781638645/5595733810447356/")</f>
        <v>https://www.facebook.com/rapplerdotcom/photos/a.317154781638645/5595733810447356/</v>
      </c>
      <c r="J1323" s="1" t="str">
        <f>IFERROR(__xludf.DUMMYFUNCTION("""COMPUTED_VALUE"""),"2022-07-04T15:41:10.241Z")</f>
        <v>2022-07-04T15:41:10.241Z</v>
      </c>
      <c r="K1323" s="1"/>
    </row>
    <row r="1324">
      <c r="A1324" s="2" t="str">
        <f>IFERROR(__xludf.DUMMYFUNCTION("""COMPUTED_VALUE"""),"https://www.facebook.com/cat.carrot.50")</f>
        <v>https://www.facebook.com/cat.carrot.50</v>
      </c>
      <c r="B1324" s="1" t="str">
        <f>IFERROR(__xludf.DUMMYFUNCTION("""COMPUTED_VALUE"""),"Cat Carrot")</f>
        <v>Cat Carrot</v>
      </c>
      <c r="C1324" s="1" t="str">
        <f>IFERROR(__xludf.DUMMYFUNCTION("""COMPUTED_VALUE"""),"Cat")</f>
        <v>Cat</v>
      </c>
      <c r="D1324" s="1" t="str">
        <f>IFERROR(__xludf.DUMMYFUNCTION("""COMPUTED_VALUE"""),"Carrot")</f>
        <v>Carrot</v>
      </c>
      <c r="E1324" s="1" t="str">
        <f>IFERROR(__xludf.DUMMYFUNCTION("""COMPUTED_VALUE"""),"Edison Soldao Lagota san ka namamasada sa planet mars or sa wuhan?")</f>
        <v>Edison Soldao Lagota san ka namamasada sa planet mars or sa wuhan?</v>
      </c>
      <c r="F1324" s="1"/>
      <c r="G1324" s="1" t="str">
        <f>IFERROR(__xludf.DUMMYFUNCTION("""COMPUTED_VALUE"""),"3 mos")</f>
        <v>3 mos</v>
      </c>
      <c r="H1324" s="1" t="str">
        <f>IFERROR(__xludf.DUMMYFUNCTION("""COMPUTED_VALUE"""),"reply")</f>
        <v>reply</v>
      </c>
      <c r="I1324" s="2" t="str">
        <f>IFERROR(__xludf.DUMMYFUNCTION("""COMPUTED_VALUE"""),"https://www.facebook.com/rapplerdotcom/photos/a.317154781638645/5595733810447356/")</f>
        <v>https://www.facebook.com/rapplerdotcom/photos/a.317154781638645/5595733810447356/</v>
      </c>
      <c r="J1324" s="1" t="str">
        <f>IFERROR(__xludf.DUMMYFUNCTION("""COMPUTED_VALUE"""),"2022-07-04T15:41:10.241Z")</f>
        <v>2022-07-04T15:41:10.241Z</v>
      </c>
      <c r="K1324" s="1"/>
    </row>
    <row r="1325">
      <c r="A1325" s="2" t="str">
        <f>IFERROR(__xludf.DUMMYFUNCTION("""COMPUTED_VALUE"""),"https://www.facebook.com/renward4short")</f>
        <v>https://www.facebook.com/renward4short</v>
      </c>
      <c r="B1325" s="1" t="str">
        <f>IFERROR(__xludf.DUMMYFUNCTION("""COMPUTED_VALUE"""),"Renward Sanchez")</f>
        <v>Renward Sanchez</v>
      </c>
      <c r="C1325" s="1" t="str">
        <f>IFERROR(__xludf.DUMMYFUNCTION("""COMPUTED_VALUE"""),"Renward")</f>
        <v>Renward</v>
      </c>
      <c r="D1325" s="1" t="str">
        <f>IFERROR(__xludf.DUMMYFUNCTION("""COMPUTED_VALUE"""),"Sanchez")</f>
        <v>Sanchez</v>
      </c>
      <c r="E1325" s="1" t="str">
        <f>IFERROR(__xludf.DUMMYFUNCTION("""COMPUTED_VALUE"""),"Oh puwede naman pala mag bigay ng respeto ee, give n take lang ✌️♥️")</f>
        <v>Oh puwede naman pala mag bigay ng respeto ee, give n take lang ✌️♥️</v>
      </c>
      <c r="F1325" s="1"/>
      <c r="G1325" s="1" t="str">
        <f>IFERROR(__xludf.DUMMYFUNCTION("""COMPUTED_VALUE"""),"3 mos")</f>
        <v>3 mos</v>
      </c>
      <c r="H1325" s="1" t="str">
        <f>IFERROR(__xludf.DUMMYFUNCTION("""COMPUTED_VALUE"""),"comment")</f>
        <v>comment</v>
      </c>
      <c r="I1325" s="2" t="str">
        <f>IFERROR(__xludf.DUMMYFUNCTION("""COMPUTED_VALUE"""),"https://www.facebook.com/rapplerdotcom/photos/a.317154781638645/5595733810447356/")</f>
        <v>https://www.facebook.com/rapplerdotcom/photos/a.317154781638645/5595733810447356/</v>
      </c>
      <c r="J1325" s="1" t="str">
        <f>IFERROR(__xludf.DUMMYFUNCTION("""COMPUTED_VALUE"""),"2022-07-04T15:41:10.241Z")</f>
        <v>2022-07-04T15:41:10.241Z</v>
      </c>
      <c r="K1325" s="1"/>
    </row>
    <row r="1326">
      <c r="A1326" s="2" t="str">
        <f>IFERROR(__xludf.DUMMYFUNCTION("""COMPUTED_VALUE"""),"https://www.facebook.com/she.real.9883")</f>
        <v>https://www.facebook.com/she.real.9883</v>
      </c>
      <c r="B1326" s="1" t="str">
        <f>IFERROR(__xludf.DUMMYFUNCTION("""COMPUTED_VALUE"""),"She Real")</f>
        <v>She Real</v>
      </c>
      <c r="C1326" s="1" t="str">
        <f>IFERROR(__xludf.DUMMYFUNCTION("""COMPUTED_VALUE"""),"She")</f>
        <v>She</v>
      </c>
      <c r="D1326" s="1" t="str">
        <f>IFERROR(__xludf.DUMMYFUNCTION("""COMPUTED_VALUE"""),"Real")</f>
        <v>Real</v>
      </c>
      <c r="E1326" s="1" t="str">
        <f>IFERROR(__xludf.DUMMYFUNCTION("""COMPUTED_VALUE"""),"baka congressman lover  😝🥵")</f>
        <v>baka congressman lover  😝🥵</v>
      </c>
      <c r="F1326" s="1">
        <f>IFERROR(__xludf.DUMMYFUNCTION("""COMPUTED_VALUE"""),1.0)</f>
        <v>1</v>
      </c>
      <c r="G1326" s="1" t="str">
        <f>IFERROR(__xludf.DUMMYFUNCTION("""COMPUTED_VALUE"""),"3 mos")</f>
        <v>3 mos</v>
      </c>
      <c r="H1326" s="1" t="str">
        <f>IFERROR(__xludf.DUMMYFUNCTION("""COMPUTED_VALUE"""),"comment")</f>
        <v>comment</v>
      </c>
      <c r="I1326" s="2" t="str">
        <f>IFERROR(__xludf.DUMMYFUNCTION("""COMPUTED_VALUE"""),"https://www.facebook.com/rapplerdotcom/photos/a.317154781638645/5595733810447356/")</f>
        <v>https://www.facebook.com/rapplerdotcom/photos/a.317154781638645/5595733810447356/</v>
      </c>
      <c r="J1326" s="1" t="str">
        <f>IFERROR(__xludf.DUMMYFUNCTION("""COMPUTED_VALUE"""),"2022-07-04T15:41:10.241Z")</f>
        <v>2022-07-04T15:41:10.241Z</v>
      </c>
      <c r="K1326" s="1"/>
    </row>
    <row r="1327">
      <c r="A1327" s="2" t="str">
        <f>IFERROR(__xludf.DUMMYFUNCTION("""COMPUTED_VALUE"""),"https://www.facebook.com/nonongfroilan")</f>
        <v>https://www.facebook.com/nonongfroilan</v>
      </c>
      <c r="B1327" s="1" t="str">
        <f>IFERROR(__xludf.DUMMYFUNCTION("""COMPUTED_VALUE"""),"Froilan Rodriguez")</f>
        <v>Froilan Rodriguez</v>
      </c>
      <c r="C1327" s="1" t="str">
        <f>IFERROR(__xludf.DUMMYFUNCTION("""COMPUTED_VALUE"""),"Froilan")</f>
        <v>Froilan</v>
      </c>
      <c r="D1327" s="1" t="str">
        <f>IFERROR(__xludf.DUMMYFUNCTION("""COMPUTED_VALUE"""),"Rodriguez")</f>
        <v>Rodriguez</v>
      </c>
      <c r="E1327" s="1" t="str">
        <f>IFERROR(__xludf.DUMMYFUNCTION("""COMPUTED_VALUE"""),"isa sa mga nakulong nung panahon ng lockdown.. ayy hanggang ngaun pala nakalockdown pa ba tau😂😂😂😂😂😂")</f>
        <v>isa sa mga nakulong nung panahon ng lockdown.. ayy hanggang ngaun pala nakalockdown pa ba tau😂😂😂😂😂😂</v>
      </c>
      <c r="F1327" s="1"/>
      <c r="G1327" s="1" t="str">
        <f>IFERROR(__xludf.DUMMYFUNCTION("""COMPUTED_VALUE"""),"3 mos")</f>
        <v>3 mos</v>
      </c>
      <c r="H1327" s="1" t="str">
        <f>IFERROR(__xludf.DUMMYFUNCTION("""COMPUTED_VALUE"""),"comment")</f>
        <v>comment</v>
      </c>
      <c r="I1327" s="2" t="str">
        <f>IFERROR(__xludf.DUMMYFUNCTION("""COMPUTED_VALUE"""),"https://www.facebook.com/rapplerdotcom/photos/a.317154781638645/5595733810447356/")</f>
        <v>https://www.facebook.com/rapplerdotcom/photos/a.317154781638645/5595733810447356/</v>
      </c>
      <c r="J1327" s="1" t="str">
        <f>IFERROR(__xludf.DUMMYFUNCTION("""COMPUTED_VALUE"""),"2022-07-04T15:41:10.241Z")</f>
        <v>2022-07-04T15:41:10.241Z</v>
      </c>
      <c r="K1327" s="1"/>
    </row>
    <row r="1328">
      <c r="A1328" s="2" t="str">
        <f>IFERROR(__xludf.DUMMYFUNCTION("""COMPUTED_VALUE"""),"https://www.facebook.com/jeffrey.alfaro.10")</f>
        <v>https://www.facebook.com/jeffrey.alfaro.10</v>
      </c>
      <c r="B1328" s="1" t="str">
        <f>IFERROR(__xludf.DUMMYFUNCTION("""COMPUTED_VALUE"""),"Jef Docena")</f>
        <v>Jef Docena</v>
      </c>
      <c r="C1328" s="1" t="str">
        <f>IFERROR(__xludf.DUMMYFUNCTION("""COMPUTED_VALUE"""),"Jef")</f>
        <v>Jef</v>
      </c>
      <c r="D1328" s="1" t="str">
        <f>IFERROR(__xludf.DUMMYFUNCTION("""COMPUTED_VALUE"""),"Docena")</f>
        <v>Docena</v>
      </c>
      <c r="E1328" s="1" t="str">
        <f>IFERROR(__xludf.DUMMYFUNCTION("""COMPUTED_VALUE"""),"Pangit nang potangnang kalbong to 😂")</f>
        <v>Pangit nang potangnang kalbong to 😂</v>
      </c>
      <c r="F1328" s="1">
        <f>IFERROR(__xludf.DUMMYFUNCTION("""COMPUTED_VALUE"""),1.0)</f>
        <v>1</v>
      </c>
      <c r="G1328" s="1" t="str">
        <f>IFERROR(__xludf.DUMMYFUNCTION("""COMPUTED_VALUE"""),"3 mos")</f>
        <v>3 mos</v>
      </c>
      <c r="H1328" s="1" t="str">
        <f>IFERROR(__xludf.DUMMYFUNCTION("""COMPUTED_VALUE"""),"comment")</f>
        <v>comment</v>
      </c>
      <c r="I1328" s="2" t="str">
        <f>IFERROR(__xludf.DUMMYFUNCTION("""COMPUTED_VALUE"""),"https://www.facebook.com/rapplerdotcom/photos/a.317154781638645/5595733810447356/")</f>
        <v>https://www.facebook.com/rapplerdotcom/photos/a.317154781638645/5595733810447356/</v>
      </c>
      <c r="J1328" s="1" t="str">
        <f>IFERROR(__xludf.DUMMYFUNCTION("""COMPUTED_VALUE"""),"2022-07-04T15:41:10.241Z")</f>
        <v>2022-07-04T15:41:10.241Z</v>
      </c>
      <c r="K1328" s="1"/>
    </row>
    <row r="1329">
      <c r="A1329" s="2" t="str">
        <f>IFERROR(__xludf.DUMMYFUNCTION("""COMPUTED_VALUE"""),"https://www.facebook.com/profile.php?id=100010524198327")</f>
        <v>https://www.facebook.com/profile.php?id=100010524198327</v>
      </c>
      <c r="B1329" s="1" t="str">
        <f>IFERROR(__xludf.DUMMYFUNCTION("""COMPUTED_VALUE"""),"Namra Gisabac")</f>
        <v>Namra Gisabac</v>
      </c>
      <c r="C1329" s="1" t="str">
        <f>IFERROR(__xludf.DUMMYFUNCTION("""COMPUTED_VALUE"""),"Namra")</f>
        <v>Namra</v>
      </c>
      <c r="D1329" s="1" t="str">
        <f>IFERROR(__xludf.DUMMYFUNCTION("""COMPUTED_VALUE"""),"Gisabac")</f>
        <v>Gisabac</v>
      </c>
      <c r="E1329" s="1" t="str">
        <f>IFERROR(__xludf.DUMMYFUNCTION("""COMPUTED_VALUE"""),"Jeffrey Alfaro gumalang ka sa matanda hahaha")</f>
        <v>Jeffrey Alfaro gumalang ka sa matanda hahaha</v>
      </c>
      <c r="F1329" s="1">
        <f>IFERROR(__xludf.DUMMYFUNCTION("""COMPUTED_VALUE"""),1.0)</f>
        <v>1</v>
      </c>
      <c r="G1329" s="1" t="str">
        <f>IFERROR(__xludf.DUMMYFUNCTION("""COMPUTED_VALUE"""),"3 mos")</f>
        <v>3 mos</v>
      </c>
      <c r="H1329" s="1" t="str">
        <f>IFERROR(__xludf.DUMMYFUNCTION("""COMPUTED_VALUE"""),"reply")</f>
        <v>reply</v>
      </c>
      <c r="I1329" s="2" t="str">
        <f>IFERROR(__xludf.DUMMYFUNCTION("""COMPUTED_VALUE"""),"https://www.facebook.com/rapplerdotcom/photos/a.317154781638645/5595733810447356/")</f>
        <v>https://www.facebook.com/rapplerdotcom/photos/a.317154781638645/5595733810447356/</v>
      </c>
      <c r="J1329" s="1" t="str">
        <f>IFERROR(__xludf.DUMMYFUNCTION("""COMPUTED_VALUE"""),"2022-07-04T15:41:10.241Z")</f>
        <v>2022-07-04T15:41:10.241Z</v>
      </c>
      <c r="K1329" s="1"/>
    </row>
    <row r="1330">
      <c r="A1330" s="2" t="str">
        <f>IFERROR(__xludf.DUMMYFUNCTION("""COMPUTED_VALUE"""),"https://www.facebook.com/profile.php?id=100009637215034")</f>
        <v>https://www.facebook.com/profile.php?id=100009637215034</v>
      </c>
      <c r="B1330" s="1" t="str">
        <f>IFERROR(__xludf.DUMMYFUNCTION("""COMPUTED_VALUE"""),"Mari Cas")</f>
        <v>Mari Cas</v>
      </c>
      <c r="C1330" s="1" t="str">
        <f>IFERROR(__xludf.DUMMYFUNCTION("""COMPUTED_VALUE"""),"Mari")</f>
        <v>Mari</v>
      </c>
      <c r="D1330" s="1" t="str">
        <f>IFERROR(__xludf.DUMMYFUNCTION("""COMPUTED_VALUE"""),"Cas")</f>
        <v>Cas</v>
      </c>
      <c r="E1330" s="1" t="str">
        <f>IFERROR(__xludf.DUMMYFUNCTION("""COMPUTED_VALUE"""),"Jeffrey Alfaro ok lang yan, kahit may buhok ka pareho lang kayo")</f>
        <v>Jeffrey Alfaro ok lang yan, kahit may buhok ka pareho lang kayo</v>
      </c>
      <c r="F1330" s="1"/>
      <c r="G1330" s="1" t="str">
        <f>IFERROR(__xludf.DUMMYFUNCTION("""COMPUTED_VALUE"""),"3 mos")</f>
        <v>3 mos</v>
      </c>
      <c r="H1330" s="1" t="str">
        <f>IFERROR(__xludf.DUMMYFUNCTION("""COMPUTED_VALUE"""),"reply")</f>
        <v>reply</v>
      </c>
      <c r="I1330" s="2" t="str">
        <f>IFERROR(__xludf.DUMMYFUNCTION("""COMPUTED_VALUE"""),"https://www.facebook.com/rapplerdotcom/photos/a.317154781638645/5595733810447356/")</f>
        <v>https://www.facebook.com/rapplerdotcom/photos/a.317154781638645/5595733810447356/</v>
      </c>
      <c r="J1330" s="1" t="str">
        <f>IFERROR(__xludf.DUMMYFUNCTION("""COMPUTED_VALUE"""),"2022-07-04T15:41:10.241Z")</f>
        <v>2022-07-04T15:41:10.241Z</v>
      </c>
      <c r="K1330" s="1"/>
    </row>
    <row r="1331">
      <c r="A1331" s="2" t="str">
        <f>IFERROR(__xludf.DUMMYFUNCTION("""COMPUTED_VALUE"""),"https://www.facebook.com/kttykrsh")</f>
        <v>https://www.facebook.com/kttykrsh</v>
      </c>
      <c r="B1331" s="1" t="str">
        <f>IFERROR(__xludf.DUMMYFUNCTION("""COMPUTED_VALUE"""),"Kresha Fryn")</f>
        <v>Kresha Fryn</v>
      </c>
      <c r="C1331" s="1" t="str">
        <f>IFERROR(__xludf.DUMMYFUNCTION("""COMPUTED_VALUE"""),"Kresha")</f>
        <v>Kresha</v>
      </c>
      <c r="D1331" s="1" t="str">
        <f>IFERROR(__xludf.DUMMYFUNCTION("""COMPUTED_VALUE"""),"Fryn")</f>
        <v>Fryn</v>
      </c>
      <c r="E1331" s="1" t="str">
        <f>IFERROR(__xludf.DUMMYFUNCTION("""COMPUTED_VALUE"""),"Jeffrey Alfaro ew nahiya nmn sa itsura mo")</f>
        <v>Jeffrey Alfaro ew nahiya nmn sa itsura mo</v>
      </c>
      <c r="F1331" s="1"/>
      <c r="G1331" s="1" t="str">
        <f>IFERROR(__xludf.DUMMYFUNCTION("""COMPUTED_VALUE"""),"3 mos")</f>
        <v>3 mos</v>
      </c>
      <c r="H1331" s="1" t="str">
        <f>IFERROR(__xludf.DUMMYFUNCTION("""COMPUTED_VALUE"""),"reply")</f>
        <v>reply</v>
      </c>
      <c r="I1331" s="2" t="str">
        <f>IFERROR(__xludf.DUMMYFUNCTION("""COMPUTED_VALUE"""),"https://www.facebook.com/rapplerdotcom/photos/a.317154781638645/5595733810447356/")</f>
        <v>https://www.facebook.com/rapplerdotcom/photos/a.317154781638645/5595733810447356/</v>
      </c>
      <c r="J1331" s="1" t="str">
        <f>IFERROR(__xludf.DUMMYFUNCTION("""COMPUTED_VALUE"""),"2022-07-04T15:41:10.241Z")</f>
        <v>2022-07-04T15:41:10.241Z</v>
      </c>
      <c r="K1331" s="1"/>
    </row>
    <row r="1332">
      <c r="A1332" s="2" t="str">
        <f>IFERROR(__xludf.DUMMYFUNCTION("""COMPUTED_VALUE"""),"https://www.facebook.com/christina.aranda.188")</f>
        <v>https://www.facebook.com/christina.aranda.188</v>
      </c>
      <c r="B1332" s="1" t="str">
        <f>IFERROR(__xludf.DUMMYFUNCTION("""COMPUTED_VALUE"""),"Tina Estoesta")</f>
        <v>Tina Estoesta</v>
      </c>
      <c r="C1332" s="1" t="str">
        <f>IFERROR(__xludf.DUMMYFUNCTION("""COMPUTED_VALUE"""),"Tina")</f>
        <v>Tina</v>
      </c>
      <c r="D1332" s="1" t="str">
        <f>IFERROR(__xludf.DUMMYFUNCTION("""COMPUTED_VALUE"""),"Estoesta")</f>
        <v>Estoesta</v>
      </c>
      <c r="E1332" s="1" t="str">
        <f>IFERROR(__xludf.DUMMYFUNCTION("""COMPUTED_VALUE"""),"Jeffrey Alfaro mas pangit ka bastos kapa")</f>
        <v>Jeffrey Alfaro mas pangit ka bastos kapa</v>
      </c>
      <c r="F1332" s="1"/>
      <c r="G1332" s="1" t="str">
        <f>IFERROR(__xludf.DUMMYFUNCTION("""COMPUTED_VALUE"""),"3 mos")</f>
        <v>3 mos</v>
      </c>
      <c r="H1332" s="1" t="str">
        <f>IFERROR(__xludf.DUMMYFUNCTION("""COMPUTED_VALUE"""),"reply")</f>
        <v>reply</v>
      </c>
      <c r="I1332" s="2" t="str">
        <f>IFERROR(__xludf.DUMMYFUNCTION("""COMPUTED_VALUE"""),"https://www.facebook.com/rapplerdotcom/photos/a.317154781638645/5595733810447356/")</f>
        <v>https://www.facebook.com/rapplerdotcom/photos/a.317154781638645/5595733810447356/</v>
      </c>
      <c r="J1332" s="1" t="str">
        <f>IFERROR(__xludf.DUMMYFUNCTION("""COMPUTED_VALUE"""),"2022-07-04T15:41:10.241Z")</f>
        <v>2022-07-04T15:41:10.241Z</v>
      </c>
      <c r="K1332" s="1"/>
    </row>
    <row r="1333">
      <c r="A1333" s="2" t="str">
        <f>IFERROR(__xludf.DUMMYFUNCTION("""COMPUTED_VALUE"""),"https://www.facebook.com/alonso.severo.5")</f>
        <v>https://www.facebook.com/alonso.severo.5</v>
      </c>
      <c r="B1333" s="1" t="str">
        <f>IFERROR(__xludf.DUMMYFUNCTION("""COMPUTED_VALUE"""),"Alonso Severo")</f>
        <v>Alonso Severo</v>
      </c>
      <c r="C1333" s="1" t="str">
        <f>IFERROR(__xludf.DUMMYFUNCTION("""COMPUTED_VALUE"""),"Alonso")</f>
        <v>Alonso</v>
      </c>
      <c r="D1333" s="1" t="str">
        <f>IFERROR(__xludf.DUMMYFUNCTION("""COMPUTED_VALUE"""),"Severo")</f>
        <v>Severo</v>
      </c>
      <c r="E1333" s="1" t="str">
        <f>IFERROR(__xludf.DUMMYFUNCTION("""COMPUTED_VALUE"""),"God bless and thank you po sa inyong supporta,,PISTON!")</f>
        <v>God bless and thank you po sa inyong supporta,,PISTON!</v>
      </c>
      <c r="F1333" s="1"/>
      <c r="G1333" s="1" t="str">
        <f>IFERROR(__xludf.DUMMYFUNCTION("""COMPUTED_VALUE"""),"3 mos")</f>
        <v>3 mos</v>
      </c>
      <c r="H1333" s="1" t="str">
        <f>IFERROR(__xludf.DUMMYFUNCTION("""COMPUTED_VALUE"""),"comment")</f>
        <v>comment</v>
      </c>
      <c r="I1333" s="2" t="str">
        <f>IFERROR(__xludf.DUMMYFUNCTION("""COMPUTED_VALUE"""),"https://www.facebook.com/rapplerdotcom/photos/a.317154781638645/5595733810447356/")</f>
        <v>https://www.facebook.com/rapplerdotcom/photos/a.317154781638645/5595733810447356/</v>
      </c>
      <c r="J1333" s="1" t="str">
        <f>IFERROR(__xludf.DUMMYFUNCTION("""COMPUTED_VALUE"""),"2022-07-04T15:41:10.241Z")</f>
        <v>2022-07-04T15:41:10.241Z</v>
      </c>
      <c r="K1333" s="1"/>
    </row>
    <row r="1334">
      <c r="A1334" s="2" t="str">
        <f>IFERROR(__xludf.DUMMYFUNCTION("""COMPUTED_VALUE"""),"https://www.facebook.com/michelle.eslit")</f>
        <v>https://www.facebook.com/michelle.eslit</v>
      </c>
      <c r="B1334" s="1" t="str">
        <f>IFERROR(__xludf.DUMMYFUNCTION("""COMPUTED_VALUE"""),"Mitch B. Tilse")</f>
        <v>Mitch B. Tilse</v>
      </c>
      <c r="C1334" s="1" t="str">
        <f>IFERROR(__xludf.DUMMYFUNCTION("""COMPUTED_VALUE"""),"Mitch")</f>
        <v>Mitch</v>
      </c>
      <c r="D1334" s="1" t="str">
        <f>IFERROR(__xludf.DUMMYFUNCTION("""COMPUTED_VALUE"""),"B. Tilse")</f>
        <v>B. Tilse</v>
      </c>
      <c r="E1334" s="1" t="str">
        <f>IFERROR(__xludf.DUMMYFUNCTION("""COMPUTED_VALUE"""),"Lolo uli katulog ayaw na apil2x diha imna nato imo tambal didto")</f>
        <v>Lolo uli katulog ayaw na apil2x diha imna nato imo tambal didto</v>
      </c>
      <c r="F1334" s="1"/>
      <c r="G1334" s="1" t="str">
        <f>IFERROR(__xludf.DUMMYFUNCTION("""COMPUTED_VALUE"""),"3 mos")</f>
        <v>3 mos</v>
      </c>
      <c r="H1334" s="1" t="str">
        <f>IFERROR(__xludf.DUMMYFUNCTION("""COMPUTED_VALUE"""),"comment")</f>
        <v>comment</v>
      </c>
      <c r="I1334" s="2" t="str">
        <f>IFERROR(__xludf.DUMMYFUNCTION("""COMPUTED_VALUE"""),"https://www.facebook.com/rapplerdotcom/photos/a.317154781638645/5595733810447356/")</f>
        <v>https://www.facebook.com/rapplerdotcom/photos/a.317154781638645/5595733810447356/</v>
      </c>
      <c r="J1334" s="1" t="str">
        <f>IFERROR(__xludf.DUMMYFUNCTION("""COMPUTED_VALUE"""),"2022-07-04T15:41:10.241Z")</f>
        <v>2022-07-04T15:41:10.241Z</v>
      </c>
      <c r="K1334" s="1"/>
    </row>
    <row r="1335">
      <c r="A1335" s="2" t="str">
        <f>IFERROR(__xludf.DUMMYFUNCTION("""COMPUTED_VALUE"""),"https://www.facebook.com/saldy.herrera.73")</f>
        <v>https://www.facebook.com/saldy.herrera.73</v>
      </c>
      <c r="B1335" s="1" t="str">
        <f>IFERROR(__xludf.DUMMYFUNCTION("""COMPUTED_VALUE"""),"Saldy Herrera")</f>
        <v>Saldy Herrera</v>
      </c>
      <c r="C1335" s="1" t="str">
        <f>IFERROR(__xludf.DUMMYFUNCTION("""COMPUTED_VALUE"""),"Saldy")</f>
        <v>Saldy</v>
      </c>
      <c r="D1335" s="1" t="str">
        <f>IFERROR(__xludf.DUMMYFUNCTION("""COMPUTED_VALUE"""),"Herrera")</f>
        <v>Herrera</v>
      </c>
      <c r="E1335" s="1" t="str">
        <f>IFERROR(__xludf.DUMMYFUNCTION("""COMPUTED_VALUE"""),"kudita lover yan na nman")</f>
        <v>kudita lover yan na nman</v>
      </c>
      <c r="F1335" s="1"/>
      <c r="G1335" s="1" t="str">
        <f>IFERROR(__xludf.DUMMYFUNCTION("""COMPUTED_VALUE"""),"3 mos")</f>
        <v>3 mos</v>
      </c>
      <c r="H1335" s="1" t="str">
        <f>IFERROR(__xludf.DUMMYFUNCTION("""COMPUTED_VALUE"""),"comment")</f>
        <v>comment</v>
      </c>
      <c r="I1335" s="2" t="str">
        <f>IFERROR(__xludf.DUMMYFUNCTION("""COMPUTED_VALUE"""),"https://www.facebook.com/rapplerdotcom/photos/a.317154781638645/5595733810447356/")</f>
        <v>https://www.facebook.com/rapplerdotcom/photos/a.317154781638645/5595733810447356/</v>
      </c>
      <c r="J1335" s="1" t="str">
        <f>IFERROR(__xludf.DUMMYFUNCTION("""COMPUTED_VALUE"""),"2022-07-04T15:41:10.241Z")</f>
        <v>2022-07-04T15:41:10.241Z</v>
      </c>
      <c r="K1335" s="1"/>
    </row>
    <row r="1336">
      <c r="A1336" s="2" t="str">
        <f>IFERROR(__xludf.DUMMYFUNCTION("""COMPUTED_VALUE"""),"https://www.facebook.com/romel.palcis")</f>
        <v>https://www.facebook.com/romel.palcis</v>
      </c>
      <c r="B1336" s="1" t="str">
        <f>IFERROR(__xludf.DUMMYFUNCTION("""COMPUTED_VALUE"""),"Romel Cliff Palcis")</f>
        <v>Romel Cliff Palcis</v>
      </c>
      <c r="C1336" s="1" t="str">
        <f>IFERROR(__xludf.DUMMYFUNCTION("""COMPUTED_VALUE"""),"Romel")</f>
        <v>Romel</v>
      </c>
      <c r="D1336" s="1" t="str">
        <f>IFERROR(__xludf.DUMMYFUNCTION("""COMPUTED_VALUE"""),"Cliff Palcis")</f>
        <v>Cliff Palcis</v>
      </c>
      <c r="E1336" s="1" t="str">
        <f>IFERROR(__xludf.DUMMYFUNCTION("""COMPUTED_VALUE"""),"ito yung matandang pasaway nakulong")</f>
        <v>ito yung matandang pasaway nakulong</v>
      </c>
      <c r="F1336" s="1"/>
      <c r="G1336" s="1" t="str">
        <f>IFERROR(__xludf.DUMMYFUNCTION("""COMPUTED_VALUE"""),"3 mos")</f>
        <v>3 mos</v>
      </c>
      <c r="H1336" s="1" t="str">
        <f>IFERROR(__xludf.DUMMYFUNCTION("""COMPUTED_VALUE"""),"comment")</f>
        <v>comment</v>
      </c>
      <c r="I1336" s="2" t="str">
        <f>IFERROR(__xludf.DUMMYFUNCTION("""COMPUTED_VALUE"""),"https://www.facebook.com/rapplerdotcom/photos/a.317154781638645/5595733810447356/")</f>
        <v>https://www.facebook.com/rapplerdotcom/photos/a.317154781638645/5595733810447356/</v>
      </c>
      <c r="J1336" s="1" t="str">
        <f>IFERROR(__xludf.DUMMYFUNCTION("""COMPUTED_VALUE"""),"2022-07-04T15:41:10.241Z")</f>
        <v>2022-07-04T15:41:10.241Z</v>
      </c>
      <c r="K1336" s="1"/>
    </row>
    <row r="1337">
      <c r="A1337" s="2" t="str">
        <f>IFERROR(__xludf.DUMMYFUNCTION("""COMPUTED_VALUE"""),"https://www.facebook.com/celia.santos.397501")</f>
        <v>https://www.facebook.com/celia.santos.397501</v>
      </c>
      <c r="B1337" s="1" t="str">
        <f>IFERROR(__xludf.DUMMYFUNCTION("""COMPUTED_VALUE"""),"Celia Santos")</f>
        <v>Celia Santos</v>
      </c>
      <c r="C1337" s="1" t="str">
        <f>IFERROR(__xludf.DUMMYFUNCTION("""COMPUTED_VALUE"""),"Celia")</f>
        <v>Celia</v>
      </c>
      <c r="D1337" s="1" t="str">
        <f>IFERROR(__xludf.DUMMYFUNCTION("""COMPUTED_VALUE"""),"Santos")</f>
        <v>Santos</v>
      </c>
      <c r="E1337" s="1" t="str">
        <f>IFERROR(__xludf.DUMMYFUNCTION("""COMPUTED_VALUE"""),"Tatay man korap lang seimpre, puesta pa")</f>
        <v>Tatay man korap lang seimpre, puesta pa</v>
      </c>
      <c r="F1337" s="1"/>
      <c r="G1337" s="1" t="str">
        <f>IFERROR(__xludf.DUMMYFUNCTION("""COMPUTED_VALUE"""),"3 mos")</f>
        <v>3 mos</v>
      </c>
      <c r="H1337" s="1" t="str">
        <f>IFERROR(__xludf.DUMMYFUNCTION("""COMPUTED_VALUE"""),"comment")</f>
        <v>comment</v>
      </c>
      <c r="I1337" s="2" t="str">
        <f>IFERROR(__xludf.DUMMYFUNCTION("""COMPUTED_VALUE"""),"https://www.facebook.com/rapplerdotcom/photos/a.317154781638645/5595733810447356/")</f>
        <v>https://www.facebook.com/rapplerdotcom/photos/a.317154781638645/5595733810447356/</v>
      </c>
      <c r="J1337" s="1" t="str">
        <f>IFERROR(__xludf.DUMMYFUNCTION("""COMPUTED_VALUE"""),"2022-07-04T15:41:10.241Z")</f>
        <v>2022-07-04T15:41:10.241Z</v>
      </c>
      <c r="K1337" s="1"/>
    </row>
    <row r="1338">
      <c r="A1338" s="2" t="str">
        <f>IFERROR(__xludf.DUMMYFUNCTION("""COMPUTED_VALUE"""),"https://www.facebook.com/geobert.osma")</f>
        <v>https://www.facebook.com/geobert.osma</v>
      </c>
      <c r="B1338" s="1" t="str">
        <f>IFERROR(__xludf.DUMMYFUNCTION("""COMPUTED_VALUE"""),"Geobert Osma")</f>
        <v>Geobert Osma</v>
      </c>
      <c r="C1338" s="1" t="str">
        <f>IFERROR(__xludf.DUMMYFUNCTION("""COMPUTED_VALUE"""),"Geobert")</f>
        <v>Geobert</v>
      </c>
      <c r="D1338" s="1" t="str">
        <f>IFERROR(__xludf.DUMMYFUNCTION("""COMPUTED_VALUE"""),"Osma")</f>
        <v>Osma</v>
      </c>
      <c r="E1338" s="1" t="str">
        <f>IFERROR(__xludf.DUMMYFUNCTION("""COMPUTED_VALUE"""),"Salamat po.👍💕")</f>
        <v>Salamat po.👍💕</v>
      </c>
      <c r="F1338" s="1"/>
      <c r="G1338" s="1" t="str">
        <f>IFERROR(__xludf.DUMMYFUNCTION("""COMPUTED_VALUE"""),"3 mos")</f>
        <v>3 mos</v>
      </c>
      <c r="H1338" s="1" t="str">
        <f>IFERROR(__xludf.DUMMYFUNCTION("""COMPUTED_VALUE"""),"comment")</f>
        <v>comment</v>
      </c>
      <c r="I1338" s="2" t="str">
        <f>IFERROR(__xludf.DUMMYFUNCTION("""COMPUTED_VALUE"""),"https://www.facebook.com/rapplerdotcom/photos/a.317154781638645/5595733810447356/")</f>
        <v>https://www.facebook.com/rapplerdotcom/photos/a.317154781638645/5595733810447356/</v>
      </c>
      <c r="J1338" s="1" t="str">
        <f>IFERROR(__xludf.DUMMYFUNCTION("""COMPUTED_VALUE"""),"2022-07-04T15:41:10.241Z")</f>
        <v>2022-07-04T15:41:10.241Z</v>
      </c>
      <c r="K1338" s="1"/>
    </row>
    <row r="1339">
      <c r="A1339" s="2" t="str">
        <f>IFERROR(__xludf.DUMMYFUNCTION("""COMPUTED_VALUE"""),"https://www.facebook.com/profile.php?id=100078911753810")</f>
        <v>https://www.facebook.com/profile.php?id=100078911753810</v>
      </c>
      <c r="B1339" s="1" t="str">
        <f>IFERROR(__xludf.DUMMYFUNCTION("""COMPUTED_VALUE"""),"Asyong Aksaya")</f>
        <v>Asyong Aksaya</v>
      </c>
      <c r="C1339" s="1" t="str">
        <f>IFERROR(__xludf.DUMMYFUNCTION("""COMPUTED_VALUE"""),"Asyong")</f>
        <v>Asyong</v>
      </c>
      <c r="D1339" s="1" t="str">
        <f>IFERROR(__xludf.DUMMYFUNCTION("""COMPUTED_VALUE"""),"Aksaya")</f>
        <v>Aksaya</v>
      </c>
      <c r="E1339" s="1" t="str">
        <f>IFERROR(__xludf.DUMMYFUNCTION("""COMPUTED_VALUE"""),"hindi lahat tang")</f>
        <v>hindi lahat tang</v>
      </c>
      <c r="F1339" s="1"/>
      <c r="G1339" s="1" t="str">
        <f>IFERROR(__xludf.DUMMYFUNCTION("""COMPUTED_VALUE"""),"3 mos")</f>
        <v>3 mos</v>
      </c>
      <c r="H1339" s="1" t="str">
        <f>IFERROR(__xludf.DUMMYFUNCTION("""COMPUTED_VALUE"""),"comment")</f>
        <v>comment</v>
      </c>
      <c r="I1339" s="2" t="str">
        <f>IFERROR(__xludf.DUMMYFUNCTION("""COMPUTED_VALUE"""),"https://www.facebook.com/rapplerdotcom/photos/a.317154781638645/5595733810447356/")</f>
        <v>https://www.facebook.com/rapplerdotcom/photos/a.317154781638645/5595733810447356/</v>
      </c>
      <c r="J1339" s="1" t="str">
        <f>IFERROR(__xludf.DUMMYFUNCTION("""COMPUTED_VALUE"""),"2022-07-04T15:41:10.241Z")</f>
        <v>2022-07-04T15:41:10.241Z</v>
      </c>
      <c r="K1339" s="1"/>
    </row>
    <row r="1340">
      <c r="A1340" s="2" t="str">
        <f>IFERROR(__xludf.DUMMYFUNCTION("""COMPUTED_VALUE"""),"https://www.facebook.com/profile.php?id=100076597585055")</f>
        <v>https://www.facebook.com/profile.php?id=100076597585055</v>
      </c>
      <c r="B1340" s="1" t="str">
        <f>IFERROR(__xludf.DUMMYFUNCTION("""COMPUTED_VALUE"""),"Paulo Sanchez")</f>
        <v>Paulo Sanchez</v>
      </c>
      <c r="C1340" s="1" t="str">
        <f>IFERROR(__xludf.DUMMYFUNCTION("""COMPUTED_VALUE"""),"Paulo")</f>
        <v>Paulo</v>
      </c>
      <c r="D1340" s="1" t="str">
        <f>IFERROR(__xludf.DUMMYFUNCTION("""COMPUTED_VALUE"""),"Sanchez")</f>
        <v>Sanchez</v>
      </c>
      <c r="E1340" s="1" t="str">
        <f>IFERROR(__xludf.DUMMYFUNCTION("""COMPUTED_VALUE"""),"Hala kayo na pala congrats tay")</f>
        <v>Hala kayo na pala congrats tay</v>
      </c>
      <c r="F1340" s="1"/>
      <c r="G1340" s="1" t="str">
        <f>IFERROR(__xludf.DUMMYFUNCTION("""COMPUTED_VALUE"""),"3 mos")</f>
        <v>3 mos</v>
      </c>
      <c r="H1340" s="1" t="str">
        <f>IFERROR(__xludf.DUMMYFUNCTION("""COMPUTED_VALUE"""),"comment")</f>
        <v>comment</v>
      </c>
      <c r="I1340" s="2" t="str">
        <f>IFERROR(__xludf.DUMMYFUNCTION("""COMPUTED_VALUE"""),"https://www.facebook.com/rapplerdotcom/photos/a.317154781638645/5595733810447356/")</f>
        <v>https://www.facebook.com/rapplerdotcom/photos/a.317154781638645/5595733810447356/</v>
      </c>
      <c r="J1340" s="1" t="str">
        <f>IFERROR(__xludf.DUMMYFUNCTION("""COMPUTED_VALUE"""),"2022-07-04T15:41:10.241Z")</f>
        <v>2022-07-04T15:41:10.241Z</v>
      </c>
      <c r="K1340" s="1"/>
    </row>
    <row r="1341">
      <c r="A1341" s="2" t="str">
        <f>IFERROR(__xludf.DUMMYFUNCTION("""COMPUTED_VALUE"""),"https://www.facebook.com/profile.php?id=100012992791715")</f>
        <v>https://www.facebook.com/profile.php?id=100012992791715</v>
      </c>
      <c r="B1341" s="1" t="str">
        <f>IFERROR(__xludf.DUMMYFUNCTION("""COMPUTED_VALUE"""),"Valla Brecia Leoj")</f>
        <v>Valla Brecia Leoj</v>
      </c>
      <c r="C1341" s="1" t="str">
        <f>IFERROR(__xludf.DUMMYFUNCTION("""COMPUTED_VALUE"""),"Valla")</f>
        <v>Valla</v>
      </c>
      <c r="D1341" s="1" t="str">
        <f>IFERROR(__xludf.DUMMYFUNCTION("""COMPUTED_VALUE"""),"Brecia Leoj")</f>
        <v>Brecia Leoj</v>
      </c>
      <c r="E1341" s="1" t="str">
        <f>IFERROR(__xludf.DUMMYFUNCTION("""COMPUTED_VALUE"""),"si KA- Elmer pala yan 😃✌🙏")</f>
        <v>si KA- Elmer pala yan 😃✌🙏</v>
      </c>
      <c r="F1341" s="1"/>
      <c r="G1341" s="1" t="str">
        <f>IFERROR(__xludf.DUMMYFUNCTION("""COMPUTED_VALUE"""),"3 mos")</f>
        <v>3 mos</v>
      </c>
      <c r="H1341" s="1" t="str">
        <f>IFERROR(__xludf.DUMMYFUNCTION("""COMPUTED_VALUE"""),"comment")</f>
        <v>comment</v>
      </c>
      <c r="I1341" s="2" t="str">
        <f>IFERROR(__xludf.DUMMYFUNCTION("""COMPUTED_VALUE"""),"https://www.facebook.com/rapplerdotcom/photos/a.317154781638645/5595733810447356/")</f>
        <v>https://www.facebook.com/rapplerdotcom/photos/a.317154781638645/5595733810447356/</v>
      </c>
      <c r="J1341" s="1" t="str">
        <f>IFERROR(__xludf.DUMMYFUNCTION("""COMPUTED_VALUE"""),"2022-07-04T15:41:10.241Z")</f>
        <v>2022-07-04T15:41:10.241Z</v>
      </c>
      <c r="K1341" s="1"/>
    </row>
    <row r="1342">
      <c r="A1342" s="2" t="str">
        <f>IFERROR(__xludf.DUMMYFUNCTION("""COMPUTED_VALUE"""),"https://www.facebook.com/profile.php?id=100079988850982")</f>
        <v>https://www.facebook.com/profile.php?id=100079988850982</v>
      </c>
      <c r="B1342" s="1" t="str">
        <f>IFERROR(__xludf.DUMMYFUNCTION("""COMPUTED_VALUE"""),"Jo Revil")</f>
        <v>Jo Revil</v>
      </c>
      <c r="C1342" s="1" t="str">
        <f>IFERROR(__xludf.DUMMYFUNCTION("""COMPUTED_VALUE"""),"Jo")</f>
        <v>Jo</v>
      </c>
      <c r="D1342" s="1" t="str">
        <f>IFERROR(__xludf.DUMMYFUNCTION("""COMPUTED_VALUE"""),"Revil")</f>
        <v>Revil</v>
      </c>
      <c r="E1342" s="1" t="str">
        <f>IFERROR(__xludf.DUMMYFUNCTION("""COMPUTED_VALUE"""),"Ayos yan Tatay!")</f>
        <v>Ayos yan Tatay!</v>
      </c>
      <c r="F1342" s="1"/>
      <c r="G1342" s="1" t="str">
        <f>IFERROR(__xludf.DUMMYFUNCTION("""COMPUTED_VALUE"""),"3 mos")</f>
        <v>3 mos</v>
      </c>
      <c r="H1342" s="1" t="str">
        <f>IFERROR(__xludf.DUMMYFUNCTION("""COMPUTED_VALUE"""),"comment")</f>
        <v>comment</v>
      </c>
      <c r="I1342" s="2" t="str">
        <f>IFERROR(__xludf.DUMMYFUNCTION("""COMPUTED_VALUE"""),"https://www.facebook.com/rapplerdotcom/photos/a.317154781638645/5595733810447356/")</f>
        <v>https://www.facebook.com/rapplerdotcom/photos/a.317154781638645/5595733810447356/</v>
      </c>
      <c r="J1342" s="1" t="str">
        <f>IFERROR(__xludf.DUMMYFUNCTION("""COMPUTED_VALUE"""),"2022-07-04T15:41:10.241Z")</f>
        <v>2022-07-04T15:41:10.241Z</v>
      </c>
      <c r="K1342" s="1"/>
    </row>
    <row r="1343">
      <c r="A1343" s="2" t="str">
        <f>IFERROR(__xludf.DUMMYFUNCTION("""COMPUTED_VALUE"""),"https://www.facebook.com/profile.php?id=100073431611450")</f>
        <v>https://www.facebook.com/profile.php?id=100073431611450</v>
      </c>
      <c r="B1343" s="1" t="str">
        <f>IFERROR(__xludf.DUMMYFUNCTION("""COMPUTED_VALUE"""),"Jason King")</f>
        <v>Jason King</v>
      </c>
      <c r="C1343" s="1" t="str">
        <f>IFERROR(__xludf.DUMMYFUNCTION("""COMPUTED_VALUE"""),"Jason")</f>
        <v>Jason</v>
      </c>
      <c r="D1343" s="1" t="str">
        <f>IFERROR(__xludf.DUMMYFUNCTION("""COMPUTED_VALUE"""),"King")</f>
        <v>King</v>
      </c>
      <c r="E1343" s="1" t="str">
        <f>IFERROR(__xludf.DUMMYFUNCTION("""COMPUTED_VALUE"""),"Mag Kano binayad tay")</f>
        <v>Mag Kano binayad tay</v>
      </c>
      <c r="F1343" s="1">
        <f>IFERROR(__xludf.DUMMYFUNCTION("""COMPUTED_VALUE"""),4.0)</f>
        <v>4</v>
      </c>
      <c r="G1343" s="1" t="str">
        <f>IFERROR(__xludf.DUMMYFUNCTION("""COMPUTED_VALUE"""),"3 mos")</f>
        <v>3 mos</v>
      </c>
      <c r="H1343" s="1" t="str">
        <f>IFERROR(__xludf.DUMMYFUNCTION("""COMPUTED_VALUE"""),"comment")</f>
        <v>comment</v>
      </c>
      <c r="I1343" s="2" t="str">
        <f>IFERROR(__xludf.DUMMYFUNCTION("""COMPUTED_VALUE"""),"https://www.facebook.com/rapplerdotcom/photos/a.317154781638645/5595733810447356/")</f>
        <v>https://www.facebook.com/rapplerdotcom/photos/a.317154781638645/5595733810447356/</v>
      </c>
      <c r="J1343" s="1" t="str">
        <f>IFERROR(__xludf.DUMMYFUNCTION("""COMPUTED_VALUE"""),"2022-07-04T15:41:10.241Z")</f>
        <v>2022-07-04T15:41:10.241Z</v>
      </c>
      <c r="K1343" s="1"/>
    </row>
    <row r="1344">
      <c r="A1344" s="2" t="str">
        <f>IFERROR(__xludf.DUMMYFUNCTION("""COMPUTED_VALUE"""),"https://www.facebook.com/renato.francisco.16503")</f>
        <v>https://www.facebook.com/renato.francisco.16503</v>
      </c>
      <c r="B1344" s="1" t="str">
        <f>IFERROR(__xludf.DUMMYFUNCTION("""COMPUTED_VALUE"""),"Francisco Jojo")</f>
        <v>Francisco Jojo</v>
      </c>
      <c r="C1344" s="1" t="str">
        <f>IFERROR(__xludf.DUMMYFUNCTION("""COMPUTED_VALUE"""),"Francisco")</f>
        <v>Francisco</v>
      </c>
      <c r="D1344" s="1" t="str">
        <f>IFERROR(__xludf.DUMMYFUNCTION("""COMPUTED_VALUE"""),"Jojo")</f>
        <v>Jojo</v>
      </c>
      <c r="E1344" s="1" t="str">
        <f>IFERROR(__xludf.DUMMYFUNCTION("""COMPUTED_VALUE"""),"Ingat po tay🙏")</f>
        <v>Ingat po tay🙏</v>
      </c>
      <c r="F1344" s="1"/>
      <c r="G1344" s="1" t="str">
        <f>IFERROR(__xludf.DUMMYFUNCTION("""COMPUTED_VALUE"""),"3 mos")</f>
        <v>3 mos</v>
      </c>
      <c r="H1344" s="1" t="str">
        <f>IFERROR(__xludf.DUMMYFUNCTION("""COMPUTED_VALUE"""),"comment")</f>
        <v>comment</v>
      </c>
      <c r="I1344" s="2" t="str">
        <f>IFERROR(__xludf.DUMMYFUNCTION("""COMPUTED_VALUE"""),"https://www.facebook.com/rapplerdotcom/photos/a.317154781638645/5595733810447356/")</f>
        <v>https://www.facebook.com/rapplerdotcom/photos/a.317154781638645/5595733810447356/</v>
      </c>
      <c r="J1344" s="1" t="str">
        <f>IFERROR(__xludf.DUMMYFUNCTION("""COMPUTED_VALUE"""),"2022-07-04T15:41:10.241Z")</f>
        <v>2022-07-04T15:41:10.241Z</v>
      </c>
      <c r="K1344" s="1"/>
    </row>
    <row r="1345">
      <c r="A1345" s="2" t="str">
        <f>IFERROR(__xludf.DUMMYFUNCTION("""COMPUTED_VALUE"""),"https://www.facebook.com/dindo.ducay")</f>
        <v>https://www.facebook.com/dindo.ducay</v>
      </c>
      <c r="B1345" s="1" t="str">
        <f>IFERROR(__xludf.DUMMYFUNCTION("""COMPUTED_VALUE"""),"Dindo Ducay")</f>
        <v>Dindo Ducay</v>
      </c>
      <c r="C1345" s="1" t="str">
        <f>IFERROR(__xludf.DUMMYFUNCTION("""COMPUTED_VALUE"""),"Dindo")</f>
        <v>Dindo</v>
      </c>
      <c r="D1345" s="1" t="str">
        <f>IFERROR(__xludf.DUMMYFUNCTION("""COMPUTED_VALUE"""),"Ducay")</f>
        <v>Ducay</v>
      </c>
      <c r="E1345" s="1" t="str">
        <f>IFERROR(__xludf.DUMMYFUNCTION("""COMPUTED_VALUE"""),"Alam ko Kung bakit✌️✌️")</f>
        <v>Alam ko Kung bakit✌️✌️</v>
      </c>
      <c r="F1345" s="1"/>
      <c r="G1345" s="1" t="str">
        <f>IFERROR(__xludf.DUMMYFUNCTION("""COMPUTED_VALUE"""),"3 mos")</f>
        <v>3 mos</v>
      </c>
      <c r="H1345" s="1" t="str">
        <f>IFERROR(__xludf.DUMMYFUNCTION("""COMPUTED_VALUE"""),"comment")</f>
        <v>comment</v>
      </c>
      <c r="I1345" s="2" t="str">
        <f>IFERROR(__xludf.DUMMYFUNCTION("""COMPUTED_VALUE"""),"https://www.facebook.com/rapplerdotcom/photos/a.317154781638645/5595733810447356/")</f>
        <v>https://www.facebook.com/rapplerdotcom/photos/a.317154781638645/5595733810447356/</v>
      </c>
      <c r="J1345" s="1" t="str">
        <f>IFERROR(__xludf.DUMMYFUNCTION("""COMPUTED_VALUE"""),"2022-07-04T15:41:10.241Z")</f>
        <v>2022-07-04T15:41:10.241Z</v>
      </c>
      <c r="K1345" s="1"/>
    </row>
    <row r="1346">
      <c r="A1346" s="2" t="str">
        <f>IFERROR(__xludf.DUMMYFUNCTION("""COMPUTED_VALUE"""),"https://www.facebook.com/obiso.clarissa")</f>
        <v>https://www.facebook.com/obiso.clarissa</v>
      </c>
      <c r="B1346" s="1" t="str">
        <f>IFERROR(__xludf.DUMMYFUNCTION("""COMPUTED_VALUE"""),"Clarissa Obiso")</f>
        <v>Clarissa Obiso</v>
      </c>
      <c r="C1346" s="1" t="str">
        <f>IFERROR(__xludf.DUMMYFUNCTION("""COMPUTED_VALUE"""),"Clarissa")</f>
        <v>Clarissa</v>
      </c>
      <c r="D1346" s="1" t="str">
        <f>IFERROR(__xludf.DUMMYFUNCTION("""COMPUTED_VALUE"""),"Obiso")</f>
        <v>Obiso</v>
      </c>
      <c r="E1346" s="1" t="str">
        <f>IFERROR(__xludf.DUMMYFUNCTION("""COMPUTED_VALUE"""),"Sa Gobyernong Tapat, #AngatBuhayLahat")</f>
        <v>Sa Gobyernong Tapat, #AngatBuhayLahat</v>
      </c>
      <c r="F1346" s="1"/>
      <c r="G1346" s="1" t="str">
        <f>IFERROR(__xludf.DUMMYFUNCTION("""COMPUTED_VALUE"""),"3 mos")</f>
        <v>3 mos</v>
      </c>
      <c r="H1346" s="1" t="str">
        <f>IFERROR(__xludf.DUMMYFUNCTION("""COMPUTED_VALUE"""),"comment")</f>
        <v>comment</v>
      </c>
      <c r="I1346" s="2" t="str">
        <f>IFERROR(__xludf.DUMMYFUNCTION("""COMPUTED_VALUE"""),"https://www.facebook.com/rapplerdotcom/photos/a.317154781638645/5595733810447356/")</f>
        <v>https://www.facebook.com/rapplerdotcom/photos/a.317154781638645/5595733810447356/</v>
      </c>
      <c r="J1346" s="1" t="str">
        <f>IFERROR(__xludf.DUMMYFUNCTION("""COMPUTED_VALUE"""),"2022-07-04T15:41:10.241Z")</f>
        <v>2022-07-04T15:41:10.241Z</v>
      </c>
      <c r="K1346" s="1"/>
    </row>
    <row r="1347">
      <c r="A1347" s="2" t="str">
        <f>IFERROR(__xludf.DUMMYFUNCTION("""COMPUTED_VALUE"""),"https://www.facebook.com/benjamin.naces.3")</f>
        <v>https://www.facebook.com/benjamin.naces.3</v>
      </c>
      <c r="B1347" s="1" t="str">
        <f>IFERROR(__xludf.DUMMYFUNCTION("""COMPUTED_VALUE"""),"Benjie Naces")</f>
        <v>Benjie Naces</v>
      </c>
      <c r="C1347" s="1" t="str">
        <f>IFERROR(__xludf.DUMMYFUNCTION("""COMPUTED_VALUE"""),"Benjie")</f>
        <v>Benjie</v>
      </c>
      <c r="D1347" s="1" t="str">
        <f>IFERROR(__xludf.DUMMYFUNCTION("""COMPUTED_VALUE"""),"Naces")</f>
        <v>Naces</v>
      </c>
      <c r="E1347" s="1" t="str">
        <f>IFERROR(__xludf.DUMMYFUNCTION("""COMPUTED_VALUE"""),"Nakakamaniho pb yan?..")</f>
        <v>Nakakamaniho pb yan?..</v>
      </c>
      <c r="F1347" s="1"/>
      <c r="G1347" s="1" t="str">
        <f>IFERROR(__xludf.DUMMYFUNCTION("""COMPUTED_VALUE"""),"3 mos")</f>
        <v>3 mos</v>
      </c>
      <c r="H1347" s="1" t="str">
        <f>IFERROR(__xludf.DUMMYFUNCTION("""COMPUTED_VALUE"""),"comment")</f>
        <v>comment</v>
      </c>
      <c r="I1347" s="2" t="str">
        <f>IFERROR(__xludf.DUMMYFUNCTION("""COMPUTED_VALUE"""),"https://www.facebook.com/rapplerdotcom/photos/a.317154781638645/5595733810447356/")</f>
        <v>https://www.facebook.com/rapplerdotcom/photos/a.317154781638645/5595733810447356/</v>
      </c>
      <c r="J1347" s="1" t="str">
        <f>IFERROR(__xludf.DUMMYFUNCTION("""COMPUTED_VALUE"""),"2022-07-04T15:41:10.241Z")</f>
        <v>2022-07-04T15:41:10.241Z</v>
      </c>
      <c r="K1347" s="1"/>
    </row>
    <row r="1348">
      <c r="A1348" s="2" t="str">
        <f>IFERROR(__xludf.DUMMYFUNCTION("""COMPUTED_VALUE"""),"https://www.facebook.com/profile.php?id=100071816821889")</f>
        <v>https://www.facebook.com/profile.php?id=100071816821889</v>
      </c>
      <c r="B1348" s="1" t="str">
        <f>IFERROR(__xludf.DUMMYFUNCTION("""COMPUTED_VALUE"""),"John Paul Quipit Gabutan")</f>
        <v>John Paul Quipit Gabutan</v>
      </c>
      <c r="C1348" s="1" t="str">
        <f>IFERROR(__xludf.DUMMYFUNCTION("""COMPUTED_VALUE"""),"John")</f>
        <v>John</v>
      </c>
      <c r="D1348" s="1" t="str">
        <f>IFERROR(__xludf.DUMMYFUNCTION("""COMPUTED_VALUE"""),"Paul Quipit Gabutan")</f>
        <v>Paul Quipit Gabutan</v>
      </c>
      <c r="E1348" s="1" t="str">
        <f>IFERROR(__xludf.DUMMYFUNCTION("""COMPUTED_VALUE"""),"2jong")</f>
        <v>2jong</v>
      </c>
      <c r="F1348" s="1"/>
      <c r="G1348" s="1" t="str">
        <f>IFERROR(__xludf.DUMMYFUNCTION("""COMPUTED_VALUE"""),"3 mos")</f>
        <v>3 mos</v>
      </c>
      <c r="H1348" s="1" t="str">
        <f>IFERROR(__xludf.DUMMYFUNCTION("""COMPUTED_VALUE"""),"comment")</f>
        <v>comment</v>
      </c>
      <c r="I1348" s="2" t="str">
        <f>IFERROR(__xludf.DUMMYFUNCTION("""COMPUTED_VALUE"""),"https://www.facebook.com/rapplerdotcom/photos/a.317154781638645/5595733810447356/")</f>
        <v>https://www.facebook.com/rapplerdotcom/photos/a.317154781638645/5595733810447356/</v>
      </c>
      <c r="J1348" s="1" t="str">
        <f>IFERROR(__xludf.DUMMYFUNCTION("""COMPUTED_VALUE"""),"2022-07-04T15:41:10.241Z")</f>
        <v>2022-07-04T15:41:10.241Z</v>
      </c>
      <c r="K1348" s="1"/>
    </row>
    <row r="1349">
      <c r="A1349" s="2" t="str">
        <f>IFERROR(__xludf.DUMMYFUNCTION("""COMPUTED_VALUE"""),"https://www.facebook.com/tom.bolero1")</f>
        <v>https://www.facebook.com/tom.bolero1</v>
      </c>
      <c r="B1349" s="1" t="str">
        <f>IFERROR(__xludf.DUMMYFUNCTION("""COMPUTED_VALUE"""),"Alex Vistan")</f>
        <v>Alex Vistan</v>
      </c>
      <c r="C1349" s="1" t="str">
        <f>IFERROR(__xludf.DUMMYFUNCTION("""COMPUTED_VALUE"""),"Alex")</f>
        <v>Alex</v>
      </c>
      <c r="D1349" s="1" t="str">
        <f>IFERROR(__xludf.DUMMYFUNCTION("""COMPUTED_VALUE"""),"Vistan")</f>
        <v>Vistan</v>
      </c>
      <c r="E1349" s="1" t="str">
        <f>IFERROR(__xludf.DUMMYFUNCTION("""COMPUTED_VALUE"""),"Tanda na nya pero galing parin nya mag sulat!!!! Wow")</f>
        <v>Tanda na nya pero galing parin nya mag sulat!!!! Wow</v>
      </c>
      <c r="F1349" s="1">
        <f>IFERROR(__xludf.DUMMYFUNCTION("""COMPUTED_VALUE"""),1.0)</f>
        <v>1</v>
      </c>
      <c r="G1349" s="1" t="str">
        <f>IFERROR(__xludf.DUMMYFUNCTION("""COMPUTED_VALUE"""),"3 mos")</f>
        <v>3 mos</v>
      </c>
      <c r="H1349" s="1" t="str">
        <f>IFERROR(__xludf.DUMMYFUNCTION("""COMPUTED_VALUE"""),"comment")</f>
        <v>comment</v>
      </c>
      <c r="I1349" s="2" t="str">
        <f>IFERROR(__xludf.DUMMYFUNCTION("""COMPUTED_VALUE"""),"https://www.facebook.com/rapplerdotcom/photos/a.317154781638645/5595733810447356/")</f>
        <v>https://www.facebook.com/rapplerdotcom/photos/a.317154781638645/5595733810447356/</v>
      </c>
      <c r="J1349" s="1" t="str">
        <f>IFERROR(__xludf.DUMMYFUNCTION("""COMPUTED_VALUE"""),"2022-07-04T15:41:10.241Z")</f>
        <v>2022-07-04T15:41:10.241Z</v>
      </c>
      <c r="K1349" s="1"/>
    </row>
    <row r="1350">
      <c r="A1350" s="2" t="str">
        <f>IFERROR(__xludf.DUMMYFUNCTION("""COMPUTED_VALUE"""),"https://www.facebook.com/alex.guza")</f>
        <v>https://www.facebook.com/alex.guza</v>
      </c>
      <c r="B1350" s="1" t="str">
        <f>IFERROR(__xludf.DUMMYFUNCTION("""COMPUTED_VALUE"""),"Alex P. Guza")</f>
        <v>Alex P. Guza</v>
      </c>
      <c r="C1350" s="1" t="str">
        <f>IFERROR(__xludf.DUMMYFUNCTION("""COMPUTED_VALUE"""),"Alex")</f>
        <v>Alex</v>
      </c>
      <c r="D1350" s="1" t="str">
        <f>IFERROR(__xludf.DUMMYFUNCTION("""COMPUTED_VALUE"""),"P. Guza")</f>
        <v>P. Guza</v>
      </c>
      <c r="E1350" s="1" t="str">
        <f>IFERROR(__xludf.DUMMYFUNCTION("""COMPUTED_VALUE"""),"hindi lahat")</f>
        <v>hindi lahat</v>
      </c>
      <c r="F1350" s="1"/>
      <c r="G1350" s="1" t="str">
        <f>IFERROR(__xludf.DUMMYFUNCTION("""COMPUTED_VALUE"""),"3 mos")</f>
        <v>3 mos</v>
      </c>
      <c r="H1350" s="1" t="str">
        <f>IFERROR(__xludf.DUMMYFUNCTION("""COMPUTED_VALUE"""),"comment")</f>
        <v>comment</v>
      </c>
      <c r="I1350" s="2" t="str">
        <f>IFERROR(__xludf.DUMMYFUNCTION("""COMPUTED_VALUE"""),"https://www.facebook.com/rapplerdotcom/photos/a.317154781638645/5595733810447356/")</f>
        <v>https://www.facebook.com/rapplerdotcom/photos/a.317154781638645/5595733810447356/</v>
      </c>
      <c r="J1350" s="1" t="str">
        <f>IFERROR(__xludf.DUMMYFUNCTION("""COMPUTED_VALUE"""),"2022-07-04T15:41:10.241Z")</f>
        <v>2022-07-04T15:41:10.241Z</v>
      </c>
      <c r="K1350" s="1"/>
    </row>
    <row r="1351">
      <c r="A1351" s="2" t="str">
        <f>IFERROR(__xludf.DUMMYFUNCTION("""COMPUTED_VALUE"""),"https://www.facebook.com/carlito.dimayacyac")</f>
        <v>https://www.facebook.com/carlito.dimayacyac</v>
      </c>
      <c r="B1351" s="1" t="str">
        <f>IFERROR(__xludf.DUMMYFUNCTION("""COMPUTED_VALUE"""),"Carlito Dimayacyac")</f>
        <v>Carlito Dimayacyac</v>
      </c>
      <c r="C1351" s="1" t="str">
        <f>IFERROR(__xludf.DUMMYFUNCTION("""COMPUTED_VALUE"""),"Carlito")</f>
        <v>Carlito</v>
      </c>
      <c r="D1351" s="1" t="str">
        <f>IFERROR(__xludf.DUMMYFUNCTION("""COMPUTED_VALUE"""),"Dimayacyac")</f>
        <v>Dimayacyac</v>
      </c>
      <c r="E1351" s="1" t="str">
        <f>IFERROR(__xludf.DUMMYFUNCTION("""COMPUTED_VALUE"""),"Salamat po mabuhay ka po kuya")</f>
        <v>Salamat po mabuhay ka po kuya</v>
      </c>
      <c r="F1351" s="1"/>
      <c r="G1351" s="1" t="str">
        <f>IFERROR(__xludf.DUMMYFUNCTION("""COMPUTED_VALUE"""),"3 mos")</f>
        <v>3 mos</v>
      </c>
      <c r="H1351" s="1" t="str">
        <f>IFERROR(__xludf.DUMMYFUNCTION("""COMPUTED_VALUE"""),"comment")</f>
        <v>comment</v>
      </c>
      <c r="I1351" s="2" t="str">
        <f>IFERROR(__xludf.DUMMYFUNCTION("""COMPUTED_VALUE"""),"https://www.facebook.com/rapplerdotcom/photos/a.317154781638645/5595733810447356/")</f>
        <v>https://www.facebook.com/rapplerdotcom/photos/a.317154781638645/5595733810447356/</v>
      </c>
      <c r="J1351" s="1" t="str">
        <f>IFERROR(__xludf.DUMMYFUNCTION("""COMPUTED_VALUE"""),"2022-07-04T15:41:10.241Z")</f>
        <v>2022-07-04T15:41:10.241Z</v>
      </c>
      <c r="K1351" s="1"/>
    </row>
    <row r="1352">
      <c r="A1352" s="2" t="str">
        <f>IFERROR(__xludf.DUMMYFUNCTION("""COMPUTED_VALUE"""),"https://www.facebook.com/glenn.esmores.1")</f>
        <v>https://www.facebook.com/glenn.esmores.1</v>
      </c>
      <c r="B1352" s="1" t="str">
        <f>IFERROR(__xludf.DUMMYFUNCTION("""COMPUTED_VALUE"""),"Esmores Glenn")</f>
        <v>Esmores Glenn</v>
      </c>
      <c r="C1352" s="1" t="str">
        <f>IFERROR(__xludf.DUMMYFUNCTION("""COMPUTED_VALUE"""),"Esmores")</f>
        <v>Esmores</v>
      </c>
      <c r="D1352" s="1" t="str">
        <f>IFERROR(__xludf.DUMMYFUNCTION("""COMPUTED_VALUE"""),"Glenn")</f>
        <v>Glenn</v>
      </c>
      <c r="E1352" s="1" t="str">
        <f>IFERROR(__xludf.DUMMYFUNCTION("""COMPUTED_VALUE"""),"Driver dn ako pero respect lng kita Tay pero, BBMSARA solid ako.")</f>
        <v>Driver dn ako pero respect lng kita Tay pero, BBMSARA solid ako.</v>
      </c>
      <c r="F1352" s="1"/>
      <c r="G1352" s="1" t="str">
        <f>IFERROR(__xludf.DUMMYFUNCTION("""COMPUTED_VALUE"""),"3 mos")</f>
        <v>3 mos</v>
      </c>
      <c r="H1352" s="1" t="str">
        <f>IFERROR(__xludf.DUMMYFUNCTION("""COMPUTED_VALUE"""),"comment")</f>
        <v>comment</v>
      </c>
      <c r="I1352" s="2" t="str">
        <f>IFERROR(__xludf.DUMMYFUNCTION("""COMPUTED_VALUE"""),"https://www.facebook.com/rapplerdotcom/photos/a.317154781638645/5595733810447356/")</f>
        <v>https://www.facebook.com/rapplerdotcom/photos/a.317154781638645/5595733810447356/</v>
      </c>
      <c r="J1352" s="1" t="str">
        <f>IFERROR(__xludf.DUMMYFUNCTION("""COMPUTED_VALUE"""),"2022-07-04T15:41:10.241Z")</f>
        <v>2022-07-04T15:41:10.241Z</v>
      </c>
      <c r="K1352" s="1"/>
    </row>
    <row r="1353">
      <c r="A1353" s="2" t="str">
        <f>IFERROR(__xludf.DUMMYFUNCTION("""COMPUTED_VALUE"""),"https://www.facebook.com/alvarez.eragen")</f>
        <v>https://www.facebook.com/alvarez.eragen</v>
      </c>
      <c r="B1353" s="1" t="str">
        <f>IFERROR(__xludf.DUMMYFUNCTION("""COMPUTED_VALUE"""),"Eragen Landiza Alvarez")</f>
        <v>Eragen Landiza Alvarez</v>
      </c>
      <c r="C1353" s="1" t="str">
        <f>IFERROR(__xludf.DUMMYFUNCTION("""COMPUTED_VALUE"""),"Eragen")</f>
        <v>Eragen</v>
      </c>
      <c r="D1353" s="1" t="str">
        <f>IFERROR(__xludf.DUMMYFUNCTION("""COMPUTED_VALUE"""),"Landiza Alvarez")</f>
        <v>Landiza Alvarez</v>
      </c>
      <c r="E1353" s="1" t="str">
        <f>IFERROR(__xludf.DUMMYFUNCTION("""COMPUTED_VALUE"""),"Ikaw lang lo")</f>
        <v>Ikaw lang lo</v>
      </c>
      <c r="F1353" s="1"/>
      <c r="G1353" s="1" t="str">
        <f>IFERROR(__xludf.DUMMYFUNCTION("""COMPUTED_VALUE"""),"3 mos")</f>
        <v>3 mos</v>
      </c>
      <c r="H1353" s="1" t="str">
        <f>IFERROR(__xludf.DUMMYFUNCTION("""COMPUTED_VALUE"""),"comment")</f>
        <v>comment</v>
      </c>
      <c r="I1353" s="2" t="str">
        <f>IFERROR(__xludf.DUMMYFUNCTION("""COMPUTED_VALUE"""),"https://www.facebook.com/rapplerdotcom/photos/a.317154781638645/5595733810447356/")</f>
        <v>https://www.facebook.com/rapplerdotcom/photos/a.317154781638645/5595733810447356/</v>
      </c>
      <c r="J1353" s="1" t="str">
        <f>IFERROR(__xludf.DUMMYFUNCTION("""COMPUTED_VALUE"""),"2022-07-04T15:41:10.241Z")</f>
        <v>2022-07-04T15:41:10.241Z</v>
      </c>
      <c r="K1353" s="1"/>
    </row>
    <row r="1354">
      <c r="A1354" s="2" t="str">
        <f>IFERROR(__xludf.DUMMYFUNCTION("""COMPUTED_VALUE"""),"https://www.facebook.com/cirilobalong.lapaz")</f>
        <v>https://www.facebook.com/cirilobalong.lapaz</v>
      </c>
      <c r="B1354" s="1" t="str">
        <f>IFERROR(__xludf.DUMMYFUNCTION("""COMPUTED_VALUE"""),"Cirilobalong Lapaz")</f>
        <v>Cirilobalong Lapaz</v>
      </c>
      <c r="C1354" s="1" t="str">
        <f>IFERROR(__xludf.DUMMYFUNCTION("""COMPUTED_VALUE"""),"Cirilobalong")</f>
        <v>Cirilobalong</v>
      </c>
      <c r="D1354" s="1" t="str">
        <f>IFERROR(__xludf.DUMMYFUNCTION("""COMPUTED_VALUE"""),"Lapaz")</f>
        <v>Lapaz</v>
      </c>
      <c r="E1354" s="1" t="str">
        <f>IFERROR(__xludf.DUMMYFUNCTION("""COMPUTED_VALUE"""),"Papatayin kayo  sa  gutom  nyan  sa  bet nyo")</f>
        <v>Papatayin kayo  sa  gutom  nyan  sa  bet nyo</v>
      </c>
      <c r="F1354" s="1"/>
      <c r="G1354" s="1" t="str">
        <f>IFERROR(__xludf.DUMMYFUNCTION("""COMPUTED_VALUE"""),"3 mos")</f>
        <v>3 mos</v>
      </c>
      <c r="H1354" s="1" t="str">
        <f>IFERROR(__xludf.DUMMYFUNCTION("""COMPUTED_VALUE"""),"comment")</f>
        <v>comment</v>
      </c>
      <c r="I1354" s="2" t="str">
        <f>IFERROR(__xludf.DUMMYFUNCTION("""COMPUTED_VALUE"""),"https://www.facebook.com/rapplerdotcom/photos/a.317154781638645/5595733810447356/")</f>
        <v>https://www.facebook.com/rapplerdotcom/photos/a.317154781638645/5595733810447356/</v>
      </c>
      <c r="J1354" s="1" t="str">
        <f>IFERROR(__xludf.DUMMYFUNCTION("""COMPUTED_VALUE"""),"2022-07-04T15:41:10.241Z")</f>
        <v>2022-07-04T15:41:10.241Z</v>
      </c>
      <c r="K1354" s="1"/>
    </row>
    <row r="1355">
      <c r="A1355" s="2" t="str">
        <f>IFERROR(__xludf.DUMMYFUNCTION("""COMPUTED_VALUE"""),"https://www.facebook.com/janerick.mendozaalarcon")</f>
        <v>https://www.facebook.com/janerick.mendozaalarcon</v>
      </c>
      <c r="B1355" s="1" t="str">
        <f>IFERROR(__xludf.DUMMYFUNCTION("""COMPUTED_VALUE"""),"Erick Lim Alarcon")</f>
        <v>Erick Lim Alarcon</v>
      </c>
      <c r="C1355" s="1" t="str">
        <f>IFERROR(__xludf.DUMMYFUNCTION("""COMPUTED_VALUE"""),"Erick")</f>
        <v>Erick</v>
      </c>
      <c r="D1355" s="1" t="str">
        <f>IFERROR(__xludf.DUMMYFUNCTION("""COMPUTED_VALUE"""),"Lim Alarcon")</f>
        <v>Lim Alarcon</v>
      </c>
      <c r="E1355" s="1" t="str">
        <f>IFERROR(__xludf.DUMMYFUNCTION("""COMPUTED_VALUE"""),"Hay naku Wala nga nagawa nung lockdown.. maliban sa tawag agad ng media")</f>
        <v>Hay naku Wala nga nagawa nung lockdown.. maliban sa tawag agad ng media</v>
      </c>
      <c r="F1355" s="1"/>
      <c r="G1355" s="1" t="str">
        <f>IFERROR(__xludf.DUMMYFUNCTION("""COMPUTED_VALUE"""),"3 mos")</f>
        <v>3 mos</v>
      </c>
      <c r="H1355" s="1" t="str">
        <f>IFERROR(__xludf.DUMMYFUNCTION("""COMPUTED_VALUE"""),"comment")</f>
        <v>comment</v>
      </c>
      <c r="I1355" s="2" t="str">
        <f>IFERROR(__xludf.DUMMYFUNCTION("""COMPUTED_VALUE"""),"https://www.facebook.com/rapplerdotcom/photos/a.317154781638645/5595733810447356/")</f>
        <v>https://www.facebook.com/rapplerdotcom/photos/a.317154781638645/5595733810447356/</v>
      </c>
      <c r="J1355" s="1" t="str">
        <f>IFERROR(__xludf.DUMMYFUNCTION("""COMPUTED_VALUE"""),"2022-07-04T15:41:10.241Z")</f>
        <v>2022-07-04T15:41:10.241Z</v>
      </c>
      <c r="K1355" s="1"/>
    </row>
    <row r="1356">
      <c r="A1356" s="2" t="str">
        <f>IFERROR(__xludf.DUMMYFUNCTION("""COMPUTED_VALUE"""),"https://www.facebook.com/henry.daco")</f>
        <v>https://www.facebook.com/henry.daco</v>
      </c>
      <c r="B1356" s="1" t="str">
        <f>IFERROR(__xludf.DUMMYFUNCTION("""COMPUTED_VALUE"""),"Henry Daco")</f>
        <v>Henry Daco</v>
      </c>
      <c r="C1356" s="1" t="str">
        <f>IFERROR(__xludf.DUMMYFUNCTION("""COMPUTED_VALUE"""),"Henry")</f>
        <v>Henry</v>
      </c>
      <c r="D1356" s="1" t="str">
        <f>IFERROR(__xludf.DUMMYFUNCTION("""COMPUTED_VALUE"""),"Daco")</f>
        <v>Daco</v>
      </c>
      <c r="E1356" s="1" t="str">
        <f>IFERROR(__xludf.DUMMYFUNCTION("""COMPUTED_VALUE"""),"Henry Daco")</f>
        <v>Henry Daco</v>
      </c>
      <c r="F1356" s="1"/>
      <c r="G1356" s="1" t="str">
        <f>IFERROR(__xludf.DUMMYFUNCTION("""COMPUTED_VALUE"""),"3 mos")</f>
        <v>3 mos</v>
      </c>
      <c r="H1356" s="1" t="str">
        <f>IFERROR(__xludf.DUMMYFUNCTION("""COMPUTED_VALUE"""),"comment")</f>
        <v>comment</v>
      </c>
      <c r="I1356" s="2" t="str">
        <f>IFERROR(__xludf.DUMMYFUNCTION("""COMPUTED_VALUE"""),"https://www.facebook.com/rapplerdotcom/photos/a.317154781638645/5595733810447356/")</f>
        <v>https://www.facebook.com/rapplerdotcom/photos/a.317154781638645/5595733810447356/</v>
      </c>
      <c r="J1356" s="1" t="str">
        <f>IFERROR(__xludf.DUMMYFUNCTION("""COMPUTED_VALUE"""),"2022-07-04T15:41:10.241Z")</f>
        <v>2022-07-04T15:41:10.241Z</v>
      </c>
      <c r="K1356" s="1"/>
    </row>
    <row r="1357">
      <c r="A1357" s="2" t="str">
        <f>IFERROR(__xludf.DUMMYFUNCTION("""COMPUTED_VALUE"""),"https://www.facebook.com/maritesse.espinaz")</f>
        <v>https://www.facebook.com/maritesse.espinaz</v>
      </c>
      <c r="B1357" s="1" t="str">
        <f>IFERROR(__xludf.DUMMYFUNCTION("""COMPUTED_VALUE"""),"Maritess Januras Espinas")</f>
        <v>Maritess Januras Espinas</v>
      </c>
      <c r="C1357" s="1" t="str">
        <f>IFERROR(__xludf.DUMMYFUNCTION("""COMPUTED_VALUE"""),"Maritess")</f>
        <v>Maritess</v>
      </c>
      <c r="D1357" s="1" t="str">
        <f>IFERROR(__xludf.DUMMYFUNCTION("""COMPUTED_VALUE"""),"Januras Espinas")</f>
        <v>Januras Espinas</v>
      </c>
      <c r="E1357" s="1" t="str">
        <f>IFERROR(__xludf.DUMMYFUNCTION("""COMPUTED_VALUE"""),"Maritess Januras Espinas")</f>
        <v>Maritess Januras Espinas</v>
      </c>
      <c r="F1357" s="1"/>
      <c r="G1357" s="1" t="str">
        <f>IFERROR(__xludf.DUMMYFUNCTION("""COMPUTED_VALUE"""),"3 mos")</f>
        <v>3 mos</v>
      </c>
      <c r="H1357" s="1" t="str">
        <f>IFERROR(__xludf.DUMMYFUNCTION("""COMPUTED_VALUE"""),"comment")</f>
        <v>comment</v>
      </c>
      <c r="I1357" s="2" t="str">
        <f>IFERROR(__xludf.DUMMYFUNCTION("""COMPUTED_VALUE"""),"https://www.facebook.com/rapplerdotcom/photos/a.317154781638645/5595733810447356/")</f>
        <v>https://www.facebook.com/rapplerdotcom/photos/a.317154781638645/5595733810447356/</v>
      </c>
      <c r="J1357" s="1" t="str">
        <f>IFERROR(__xludf.DUMMYFUNCTION("""COMPUTED_VALUE"""),"2022-07-04T15:41:10.241Z")</f>
        <v>2022-07-04T15:41:10.241Z</v>
      </c>
      <c r="K1357" s="1"/>
    </row>
    <row r="1358">
      <c r="A1358" s="2" t="str">
        <f>IFERROR(__xludf.DUMMYFUNCTION("""COMPUTED_VALUE"""),"https://www.facebook.com/davidlacsina4")</f>
        <v>https://www.facebook.com/davidlacsina4</v>
      </c>
      <c r="B1358" s="1" t="str">
        <f>IFERROR(__xludf.DUMMYFUNCTION("""COMPUTED_VALUE"""),"David Lacsina")</f>
        <v>David Lacsina</v>
      </c>
      <c r="C1358" s="1" t="str">
        <f>IFERROR(__xludf.DUMMYFUNCTION("""COMPUTED_VALUE"""),"David")</f>
        <v>David</v>
      </c>
      <c r="D1358" s="1" t="str">
        <f>IFERROR(__xludf.DUMMYFUNCTION("""COMPUTED_VALUE"""),"Lacsina")</f>
        <v>Lacsina</v>
      </c>
      <c r="E1358" s="1" t="str">
        <f>IFERROR(__xludf.DUMMYFUNCTION("""COMPUTED_VALUE"""),"David Lacsina")</f>
        <v>David Lacsina</v>
      </c>
      <c r="F1358" s="1"/>
      <c r="G1358" s="1" t="str">
        <f>IFERROR(__xludf.DUMMYFUNCTION("""COMPUTED_VALUE"""),"3 mos")</f>
        <v>3 mos</v>
      </c>
      <c r="H1358" s="1" t="str">
        <f>IFERROR(__xludf.DUMMYFUNCTION("""COMPUTED_VALUE"""),"comment")</f>
        <v>comment</v>
      </c>
      <c r="I1358" s="2" t="str">
        <f>IFERROR(__xludf.DUMMYFUNCTION("""COMPUTED_VALUE"""),"https://www.facebook.com/rapplerdotcom/photos/a.317154781638645/5595733810447356/")</f>
        <v>https://www.facebook.com/rapplerdotcom/photos/a.317154781638645/5595733810447356/</v>
      </c>
      <c r="J1358" s="1" t="str">
        <f>IFERROR(__xludf.DUMMYFUNCTION("""COMPUTED_VALUE"""),"2022-07-04T15:41:10.241Z")</f>
        <v>2022-07-04T15:41:10.241Z</v>
      </c>
      <c r="K1358" s="1"/>
    </row>
    <row r="1359">
      <c r="A1359" s="2" t="str">
        <f>IFERROR(__xludf.DUMMYFUNCTION("""COMPUTED_VALUE"""),"https://www.facebook.com/romeo.banderado.56")</f>
        <v>https://www.facebook.com/romeo.banderado.56</v>
      </c>
      <c r="B1359" s="1" t="str">
        <f>IFERROR(__xludf.DUMMYFUNCTION("""COMPUTED_VALUE"""),"Romeo Banderado")</f>
        <v>Romeo Banderado</v>
      </c>
      <c r="C1359" s="1" t="str">
        <f>IFERROR(__xludf.DUMMYFUNCTION("""COMPUTED_VALUE"""),"Romeo")</f>
        <v>Romeo</v>
      </c>
      <c r="D1359" s="1" t="str">
        <f>IFERROR(__xludf.DUMMYFUNCTION("""COMPUTED_VALUE"""),"Banderado")</f>
        <v>Banderado</v>
      </c>
      <c r="E1359" s="1" t="str">
        <f>IFERROR(__xludf.DUMMYFUNCTION("""COMPUTED_VALUE"""),"Romeo Banderado")</f>
        <v>Romeo Banderado</v>
      </c>
      <c r="F1359" s="1"/>
      <c r="G1359" s="1" t="str">
        <f>IFERROR(__xludf.DUMMYFUNCTION("""COMPUTED_VALUE"""),"3 mos")</f>
        <v>3 mos</v>
      </c>
      <c r="H1359" s="1" t="str">
        <f>IFERROR(__xludf.DUMMYFUNCTION("""COMPUTED_VALUE"""),"comment")</f>
        <v>comment</v>
      </c>
      <c r="I1359" s="2" t="str">
        <f>IFERROR(__xludf.DUMMYFUNCTION("""COMPUTED_VALUE"""),"https://www.facebook.com/rapplerdotcom/photos/a.317154781638645/5595733810447356/")</f>
        <v>https://www.facebook.com/rapplerdotcom/photos/a.317154781638645/5595733810447356/</v>
      </c>
      <c r="J1359" s="1" t="str">
        <f>IFERROR(__xludf.DUMMYFUNCTION("""COMPUTED_VALUE"""),"2022-07-04T15:41:10.241Z")</f>
        <v>2022-07-04T15:41:10.241Z</v>
      </c>
      <c r="K1359" s="1"/>
    </row>
    <row r="1360">
      <c r="A1360" s="2" t="str">
        <f>IFERROR(__xludf.DUMMYFUNCTION("""COMPUTED_VALUE"""),"https://www.facebook.com/bobby.gonzaga.9404")</f>
        <v>https://www.facebook.com/bobby.gonzaga.9404</v>
      </c>
      <c r="B1360" s="1" t="str">
        <f>IFERROR(__xludf.DUMMYFUNCTION("""COMPUTED_VALUE"""),"Bobby Gonzaga")</f>
        <v>Bobby Gonzaga</v>
      </c>
      <c r="C1360" s="1" t="str">
        <f>IFERROR(__xludf.DUMMYFUNCTION("""COMPUTED_VALUE"""),"Bobby")</f>
        <v>Bobby</v>
      </c>
      <c r="D1360" s="1" t="str">
        <f>IFERROR(__xludf.DUMMYFUNCTION("""COMPUTED_VALUE"""),"Gonzaga")</f>
        <v>Gonzaga</v>
      </c>
      <c r="E1360" s="1" t="str">
        <f>IFERROR(__xludf.DUMMYFUNCTION("""COMPUTED_VALUE"""),"Bobby Gonzaga")</f>
        <v>Bobby Gonzaga</v>
      </c>
      <c r="F1360" s="1"/>
      <c r="G1360" s="1" t="str">
        <f>IFERROR(__xludf.DUMMYFUNCTION("""COMPUTED_VALUE"""),"3 mos")</f>
        <v>3 mos</v>
      </c>
      <c r="H1360" s="1" t="str">
        <f>IFERROR(__xludf.DUMMYFUNCTION("""COMPUTED_VALUE"""),"comment")</f>
        <v>comment</v>
      </c>
      <c r="I1360" s="2" t="str">
        <f>IFERROR(__xludf.DUMMYFUNCTION("""COMPUTED_VALUE"""),"https://www.facebook.com/rapplerdotcom/photos/a.317154781638645/5595733810447356/")</f>
        <v>https://www.facebook.com/rapplerdotcom/photos/a.317154781638645/5595733810447356/</v>
      </c>
      <c r="J1360" s="1" t="str">
        <f>IFERROR(__xludf.DUMMYFUNCTION("""COMPUTED_VALUE"""),"2022-07-04T15:41:10.241Z")</f>
        <v>2022-07-04T15:41:10.241Z</v>
      </c>
      <c r="K1360" s="1"/>
    </row>
    <row r="1361">
      <c r="A1361" s="2" t="str">
        <f>IFERROR(__xludf.DUMMYFUNCTION("""COMPUTED_VALUE"""),"https://www.facebook.com/wilbert.gadayan")</f>
        <v>https://www.facebook.com/wilbert.gadayan</v>
      </c>
      <c r="B1361" s="1" t="str">
        <f>IFERROR(__xludf.DUMMYFUNCTION("""COMPUTED_VALUE"""),"Wilbert Gadayan")</f>
        <v>Wilbert Gadayan</v>
      </c>
      <c r="C1361" s="1" t="str">
        <f>IFERROR(__xludf.DUMMYFUNCTION("""COMPUTED_VALUE"""),"Wilbert")</f>
        <v>Wilbert</v>
      </c>
      <c r="D1361" s="1" t="str">
        <f>IFERROR(__xludf.DUMMYFUNCTION("""COMPUTED_VALUE"""),"Gadayan")</f>
        <v>Gadayan</v>
      </c>
      <c r="E1361" s="1" t="str">
        <f>IFERROR(__xludf.DUMMYFUNCTION("""COMPUTED_VALUE"""),"Wilbert Gadayan")</f>
        <v>Wilbert Gadayan</v>
      </c>
      <c r="F1361" s="1"/>
      <c r="G1361" s="1" t="str">
        <f>IFERROR(__xludf.DUMMYFUNCTION("""COMPUTED_VALUE"""),"3 mos")</f>
        <v>3 mos</v>
      </c>
      <c r="H1361" s="1" t="str">
        <f>IFERROR(__xludf.DUMMYFUNCTION("""COMPUTED_VALUE"""),"comment")</f>
        <v>comment</v>
      </c>
      <c r="I1361" s="2" t="str">
        <f>IFERROR(__xludf.DUMMYFUNCTION("""COMPUTED_VALUE"""),"https://www.facebook.com/rapplerdotcom/photos/a.317154781638645/5595733810447356/")</f>
        <v>https://www.facebook.com/rapplerdotcom/photos/a.317154781638645/5595733810447356/</v>
      </c>
      <c r="J1361" s="1" t="str">
        <f>IFERROR(__xludf.DUMMYFUNCTION("""COMPUTED_VALUE"""),"2022-07-04T15:41:10.241Z")</f>
        <v>2022-07-04T15:41:10.241Z</v>
      </c>
      <c r="K1361" s="1"/>
    </row>
    <row r="1362">
      <c r="A1362" s="2" t="str">
        <f>IFERROR(__xludf.DUMMYFUNCTION("""COMPUTED_VALUE"""),"https://www.facebook.com/bobby.gonzaga.9404")</f>
        <v>https://www.facebook.com/bobby.gonzaga.9404</v>
      </c>
      <c r="B1362" s="1" t="str">
        <f>IFERROR(__xludf.DUMMYFUNCTION("""COMPUTED_VALUE"""),"Bobby Gonzaga")</f>
        <v>Bobby Gonzaga</v>
      </c>
      <c r="C1362" s="1" t="str">
        <f>IFERROR(__xludf.DUMMYFUNCTION("""COMPUTED_VALUE"""),"Bobby")</f>
        <v>Bobby</v>
      </c>
      <c r="D1362" s="1" t="str">
        <f>IFERROR(__xludf.DUMMYFUNCTION("""COMPUTED_VALUE"""),"Gonzaga")</f>
        <v>Gonzaga</v>
      </c>
      <c r="E1362" s="1" t="str">
        <f>IFERROR(__xludf.DUMMYFUNCTION("""COMPUTED_VALUE"""),"Bobby Gonzaga")</f>
        <v>Bobby Gonzaga</v>
      </c>
      <c r="F1362" s="1"/>
      <c r="G1362" s="1" t="str">
        <f>IFERROR(__xludf.DUMMYFUNCTION("""COMPUTED_VALUE"""),"3 mos")</f>
        <v>3 mos</v>
      </c>
      <c r="H1362" s="1" t="str">
        <f>IFERROR(__xludf.DUMMYFUNCTION("""COMPUTED_VALUE"""),"comment")</f>
        <v>comment</v>
      </c>
      <c r="I1362" s="2" t="str">
        <f>IFERROR(__xludf.DUMMYFUNCTION("""COMPUTED_VALUE"""),"https://www.facebook.com/rapplerdotcom/photos/a.317154781638645/5595733810447356/")</f>
        <v>https://www.facebook.com/rapplerdotcom/photos/a.317154781638645/5595733810447356/</v>
      </c>
      <c r="J1362" s="1" t="str">
        <f>IFERROR(__xludf.DUMMYFUNCTION("""COMPUTED_VALUE"""),"2022-07-04T15:41:10.241Z")</f>
        <v>2022-07-04T15:41:10.241Z</v>
      </c>
      <c r="K1362" s="1"/>
    </row>
    <row r="1363">
      <c r="A1363" s="2" t="str">
        <f>IFERROR(__xludf.DUMMYFUNCTION("""COMPUTED_VALUE"""),"https://www.facebook.com/ariesian.eleazar")</f>
        <v>https://www.facebook.com/ariesian.eleazar</v>
      </c>
      <c r="B1363" s="1" t="str">
        <f>IFERROR(__xludf.DUMMYFUNCTION("""COMPUTED_VALUE"""),"Jakeclarkee Richburg")</f>
        <v>Jakeclarkee Richburg</v>
      </c>
      <c r="C1363" s="1" t="str">
        <f>IFERROR(__xludf.DUMMYFUNCTION("""COMPUTED_VALUE"""),"Jakeclarkee")</f>
        <v>Jakeclarkee</v>
      </c>
      <c r="D1363" s="1" t="str">
        <f>IFERROR(__xludf.DUMMYFUNCTION("""COMPUTED_VALUE"""),"Richburg")</f>
        <v>Richburg</v>
      </c>
      <c r="E1363" s="1" t="str">
        <f>IFERROR(__xludf.DUMMYFUNCTION("""COMPUTED_VALUE"""),"Jakeclarkee Richburg")</f>
        <v>Jakeclarkee Richburg</v>
      </c>
      <c r="F1363" s="1"/>
      <c r="G1363" s="1" t="str">
        <f>IFERROR(__xludf.DUMMYFUNCTION("""COMPUTED_VALUE"""),"3 mos")</f>
        <v>3 mos</v>
      </c>
      <c r="H1363" s="1" t="str">
        <f>IFERROR(__xludf.DUMMYFUNCTION("""COMPUTED_VALUE"""),"comment")</f>
        <v>comment</v>
      </c>
      <c r="I1363" s="2" t="str">
        <f>IFERROR(__xludf.DUMMYFUNCTION("""COMPUTED_VALUE"""),"https://www.facebook.com/rapplerdotcom/photos/a.317154781638645/5595733810447356/")</f>
        <v>https://www.facebook.com/rapplerdotcom/photos/a.317154781638645/5595733810447356/</v>
      </c>
      <c r="J1363" s="1" t="str">
        <f>IFERROR(__xludf.DUMMYFUNCTION("""COMPUTED_VALUE"""),"2022-07-04T15:41:10.241Z")</f>
        <v>2022-07-04T15:41:10.241Z</v>
      </c>
      <c r="K1363" s="1"/>
    </row>
    <row r="1364">
      <c r="A1364" s="2" t="str">
        <f>IFERROR(__xludf.DUMMYFUNCTION("""COMPUTED_VALUE"""),"https://www.facebook.com/queeniejoy.echavez")</f>
        <v>https://www.facebook.com/queeniejoy.echavez</v>
      </c>
      <c r="B1364" s="1" t="str">
        <f>IFERROR(__xludf.DUMMYFUNCTION("""COMPUTED_VALUE"""),"Queenie Pie")</f>
        <v>Queenie Pie</v>
      </c>
      <c r="C1364" s="1" t="str">
        <f>IFERROR(__xludf.DUMMYFUNCTION("""COMPUTED_VALUE"""),"Queenie")</f>
        <v>Queenie</v>
      </c>
      <c r="D1364" s="1" t="str">
        <f>IFERROR(__xludf.DUMMYFUNCTION("""COMPUTED_VALUE"""),"Pie")</f>
        <v>Pie</v>
      </c>
      <c r="E1364" s="1" t="str">
        <f>IFERROR(__xludf.DUMMYFUNCTION("""COMPUTED_VALUE"""),"❤️💚")</f>
        <v>❤️💚</v>
      </c>
      <c r="F1364" s="1">
        <f>IFERROR(__xludf.DUMMYFUNCTION("""COMPUTED_VALUE"""),1.0)</f>
        <v>1</v>
      </c>
      <c r="G1364" s="1" t="str">
        <f>IFERROR(__xludf.DUMMYFUNCTION("""COMPUTED_VALUE"""),"3 mos")</f>
        <v>3 mos</v>
      </c>
      <c r="H1364" s="1" t="str">
        <f>IFERROR(__xludf.DUMMYFUNCTION("""COMPUTED_VALUE"""),"comment")</f>
        <v>comment</v>
      </c>
      <c r="I1364" s="2" t="str">
        <f>IFERROR(__xludf.DUMMYFUNCTION("""COMPUTED_VALUE"""),"https://www.facebook.com/rapplerdotcom/photos/a.317154781638645/5595733810447356/")</f>
        <v>https://www.facebook.com/rapplerdotcom/photos/a.317154781638645/5595733810447356/</v>
      </c>
      <c r="J1364" s="1" t="str">
        <f>IFERROR(__xludf.DUMMYFUNCTION("""COMPUTED_VALUE"""),"2022-07-04T15:41:10.241Z")</f>
        <v>2022-07-04T15:41:10.241Z</v>
      </c>
      <c r="K1364" s="1"/>
    </row>
    <row r="1365">
      <c r="A1365" s="2" t="str">
        <f>IFERROR(__xludf.DUMMYFUNCTION("""COMPUTED_VALUE"""),"https://www.facebook.com/carlomanuel.mendoza")</f>
        <v>https://www.facebook.com/carlomanuel.mendoza</v>
      </c>
      <c r="B1365" s="1" t="str">
        <f>IFERROR(__xludf.DUMMYFUNCTION("""COMPUTED_VALUE"""),"Carlo Manuel Teves Mendoza")</f>
        <v>Carlo Manuel Teves Mendoza</v>
      </c>
      <c r="C1365" s="1" t="str">
        <f>IFERROR(__xludf.DUMMYFUNCTION("""COMPUTED_VALUE"""),"Carlo")</f>
        <v>Carlo</v>
      </c>
      <c r="D1365" s="1" t="str">
        <f>IFERROR(__xludf.DUMMYFUNCTION("""COMPUTED_VALUE"""),"Manuel Teves Mendoza")</f>
        <v>Manuel Teves Mendoza</v>
      </c>
      <c r="E1365" s="1" t="str">
        <f>IFERROR(__xludf.DUMMYFUNCTION("""COMPUTED_VALUE"""),"Carlo Manuel Teves Mendoza")</f>
        <v>Carlo Manuel Teves Mendoza</v>
      </c>
      <c r="F1365" s="1"/>
      <c r="G1365" s="1" t="str">
        <f>IFERROR(__xludf.DUMMYFUNCTION("""COMPUTED_VALUE"""),"3 mos")</f>
        <v>3 mos</v>
      </c>
      <c r="H1365" s="1" t="str">
        <f>IFERROR(__xludf.DUMMYFUNCTION("""COMPUTED_VALUE"""),"comment")</f>
        <v>comment</v>
      </c>
      <c r="I1365" s="2" t="str">
        <f>IFERROR(__xludf.DUMMYFUNCTION("""COMPUTED_VALUE"""),"https://www.facebook.com/rapplerdotcom/photos/a.317154781638645/5595733810447356/")</f>
        <v>https://www.facebook.com/rapplerdotcom/photos/a.317154781638645/5595733810447356/</v>
      </c>
      <c r="J1365" s="1" t="str">
        <f>IFERROR(__xludf.DUMMYFUNCTION("""COMPUTED_VALUE"""),"2022-07-04T15:41:10.241Z")</f>
        <v>2022-07-04T15:41:10.241Z</v>
      </c>
      <c r="K1365" s="1"/>
    </row>
    <row r="1366">
      <c r="A1366" s="2" t="str">
        <f>IFERROR(__xludf.DUMMYFUNCTION("""COMPUTED_VALUE"""),"https://www.facebook.com/chloe.vncr")</f>
        <v>https://www.facebook.com/chloe.vncr</v>
      </c>
      <c r="B1366" s="1" t="str">
        <f>IFERROR(__xludf.DUMMYFUNCTION("""COMPUTED_VALUE"""),"Chloe Vencer")</f>
        <v>Chloe Vencer</v>
      </c>
      <c r="C1366" s="1" t="str">
        <f>IFERROR(__xludf.DUMMYFUNCTION("""COMPUTED_VALUE"""),"Chloe")</f>
        <v>Chloe</v>
      </c>
      <c r="D1366" s="1" t="str">
        <f>IFERROR(__xludf.DUMMYFUNCTION("""COMPUTED_VALUE"""),"Vencer")</f>
        <v>Vencer</v>
      </c>
      <c r="E1366" s="1" t="str">
        <f>IFERROR(__xludf.DUMMYFUNCTION("""COMPUTED_VALUE"""),"💗💗💗💗")</f>
        <v>💗💗💗💗</v>
      </c>
      <c r="F1366" s="1"/>
      <c r="G1366" s="1" t="str">
        <f>IFERROR(__xludf.DUMMYFUNCTION("""COMPUTED_VALUE"""),"3 mos")</f>
        <v>3 mos</v>
      </c>
      <c r="H1366" s="1" t="str">
        <f>IFERROR(__xludf.DUMMYFUNCTION("""COMPUTED_VALUE"""),"comment")</f>
        <v>comment</v>
      </c>
      <c r="I1366" s="2" t="str">
        <f>IFERROR(__xludf.DUMMYFUNCTION("""COMPUTED_VALUE"""),"https://www.facebook.com/rapplerdotcom/photos/a.317154781638645/5595733810447356/")</f>
        <v>https://www.facebook.com/rapplerdotcom/photos/a.317154781638645/5595733810447356/</v>
      </c>
      <c r="J1366" s="1" t="str">
        <f>IFERROR(__xludf.DUMMYFUNCTION("""COMPUTED_VALUE"""),"2022-07-04T15:41:10.241Z")</f>
        <v>2022-07-04T15:41:10.241Z</v>
      </c>
      <c r="K1366" s="1"/>
    </row>
    <row r="1367">
      <c r="A1367" s="2" t="str">
        <f>IFERROR(__xludf.DUMMYFUNCTION("""COMPUTED_VALUE"""),"https://www.facebook.com/cherrylynyapchapco.diaz")</f>
        <v>https://www.facebook.com/cherrylynyapchapco.diaz</v>
      </c>
      <c r="B1367" s="1" t="str">
        <f>IFERROR(__xludf.DUMMYFUNCTION("""COMPUTED_VALUE"""),"Che Diaz")</f>
        <v>Che Diaz</v>
      </c>
      <c r="C1367" s="1" t="str">
        <f>IFERROR(__xludf.DUMMYFUNCTION("""COMPUTED_VALUE"""),"Che")</f>
        <v>Che</v>
      </c>
      <c r="D1367" s="1" t="str">
        <f>IFERROR(__xludf.DUMMYFUNCTION("""COMPUTED_VALUE"""),"Diaz")</f>
        <v>Diaz</v>
      </c>
      <c r="E1367" s="1" t="str">
        <f>IFERROR(__xludf.DUMMYFUNCTION("""COMPUTED_VALUE"""),"💗💗💗")</f>
        <v>💗💗💗</v>
      </c>
      <c r="F1367" s="1">
        <f>IFERROR(__xludf.DUMMYFUNCTION("""COMPUTED_VALUE"""),3.0)</f>
        <v>3</v>
      </c>
      <c r="G1367" s="1" t="str">
        <f>IFERROR(__xludf.DUMMYFUNCTION("""COMPUTED_VALUE"""),"3 mos")</f>
        <v>3 mos</v>
      </c>
      <c r="H1367" s="1" t="str">
        <f>IFERROR(__xludf.DUMMYFUNCTION("""COMPUTED_VALUE"""),"comment")</f>
        <v>comment</v>
      </c>
      <c r="I1367" s="2" t="str">
        <f>IFERROR(__xludf.DUMMYFUNCTION("""COMPUTED_VALUE"""),"https://www.facebook.com/rapplerdotcom/photos/a.317154781638645/5595733810447356/")</f>
        <v>https://www.facebook.com/rapplerdotcom/photos/a.317154781638645/5595733810447356/</v>
      </c>
      <c r="J1367" s="1" t="str">
        <f>IFERROR(__xludf.DUMMYFUNCTION("""COMPUTED_VALUE"""),"2022-07-04T15:41:10.241Z")</f>
        <v>2022-07-04T15:41:10.241Z</v>
      </c>
      <c r="K1367" s="1"/>
    </row>
    <row r="1368">
      <c r="A1368" s="2" t="str">
        <f>IFERROR(__xludf.DUMMYFUNCTION("""COMPUTED_VALUE"""),"https://www.facebook.com/hz2094")</f>
        <v>https://www.facebook.com/hz2094</v>
      </c>
      <c r="B1368" s="1" t="str">
        <f>IFERROR(__xludf.DUMMYFUNCTION("""COMPUTED_VALUE"""),"Zyra Gil")</f>
        <v>Zyra Gil</v>
      </c>
      <c r="C1368" s="1" t="str">
        <f>IFERROR(__xludf.DUMMYFUNCTION("""COMPUTED_VALUE"""),"Zyra")</f>
        <v>Zyra</v>
      </c>
      <c r="D1368" s="1" t="str">
        <f>IFERROR(__xludf.DUMMYFUNCTION("""COMPUTED_VALUE"""),"Gil")</f>
        <v>Gil</v>
      </c>
      <c r="E1368" s="1" t="str">
        <f>IFERROR(__xludf.DUMMYFUNCTION("""COMPUTED_VALUE"""),"🌸🌸🌸🌸")</f>
        <v>🌸🌸🌸🌸</v>
      </c>
      <c r="F1368" s="1"/>
      <c r="G1368" s="1" t="str">
        <f>IFERROR(__xludf.DUMMYFUNCTION("""COMPUTED_VALUE"""),"3 mos")</f>
        <v>3 mos</v>
      </c>
      <c r="H1368" s="1" t="str">
        <f>IFERROR(__xludf.DUMMYFUNCTION("""COMPUTED_VALUE"""),"comment")</f>
        <v>comment</v>
      </c>
      <c r="I1368" s="2" t="str">
        <f>IFERROR(__xludf.DUMMYFUNCTION("""COMPUTED_VALUE"""),"https://www.facebook.com/rapplerdotcom/photos/a.317154781638645/5595733810447356/")</f>
        <v>https://www.facebook.com/rapplerdotcom/photos/a.317154781638645/5595733810447356/</v>
      </c>
      <c r="J1368" s="1" t="str">
        <f>IFERROR(__xludf.DUMMYFUNCTION("""COMPUTED_VALUE"""),"2022-07-04T15:41:10.241Z")</f>
        <v>2022-07-04T15:41:10.241Z</v>
      </c>
      <c r="K1368" s="1"/>
    </row>
    <row r="1369">
      <c r="A1369" s="2" t="str">
        <f>IFERROR(__xludf.DUMMYFUNCTION("""COMPUTED_VALUE"""),"https://www.facebook.com/profile.php?id=100009060038408")</f>
        <v>https://www.facebook.com/profile.php?id=100009060038408</v>
      </c>
      <c r="B1369" s="1" t="str">
        <f>IFERROR(__xludf.DUMMYFUNCTION("""COMPUTED_VALUE"""),"Wells Lew Dela Pieza")</f>
        <v>Wells Lew Dela Pieza</v>
      </c>
      <c r="C1369" s="1" t="str">
        <f>IFERROR(__xludf.DUMMYFUNCTION("""COMPUTED_VALUE"""),"Wells")</f>
        <v>Wells</v>
      </c>
      <c r="D1369" s="1" t="str">
        <f>IFERROR(__xludf.DUMMYFUNCTION("""COMPUTED_VALUE"""),"Lew Dela Pieza")</f>
        <v>Lew Dela Pieza</v>
      </c>
      <c r="E1369" s="1" t="str">
        <f>IFERROR(__xludf.DUMMYFUNCTION("""COMPUTED_VALUE"""),"♥️♥️♥️♥️💚💚💚💚💚💪💪💪💪💪💪💪")</f>
        <v>♥️♥️♥️♥️💚💚💚💚💚💪💪💪💪💪💪💪</v>
      </c>
      <c r="F1369" s="1"/>
      <c r="G1369" s="1" t="str">
        <f>IFERROR(__xludf.DUMMYFUNCTION("""COMPUTED_VALUE"""),"3 mos")</f>
        <v>3 mos</v>
      </c>
      <c r="H1369" s="1" t="str">
        <f>IFERROR(__xludf.DUMMYFUNCTION("""COMPUTED_VALUE"""),"comment")</f>
        <v>comment</v>
      </c>
      <c r="I1369" s="2" t="str">
        <f>IFERROR(__xludf.DUMMYFUNCTION("""COMPUTED_VALUE"""),"https://www.facebook.com/rapplerdotcom/photos/a.317154781638645/5595733810447356/")</f>
        <v>https://www.facebook.com/rapplerdotcom/photos/a.317154781638645/5595733810447356/</v>
      </c>
      <c r="J1369" s="1" t="str">
        <f>IFERROR(__xludf.DUMMYFUNCTION("""COMPUTED_VALUE"""),"2022-07-04T15:41:10.241Z")</f>
        <v>2022-07-04T15:41:10.241Z</v>
      </c>
      <c r="K1369" s="1"/>
    </row>
    <row r="1370">
      <c r="A1370" s="2" t="str">
        <f>IFERROR(__xludf.DUMMYFUNCTION("""COMPUTED_VALUE"""),"https://www.facebook.com/jegals.dep")</f>
        <v>https://www.facebook.com/jegals.dep</v>
      </c>
      <c r="B1370" s="1" t="str">
        <f>IFERROR(__xludf.DUMMYFUNCTION("""COMPUTED_VALUE"""),"Jhe LadraBalanza Gales Depitilla")</f>
        <v>Jhe LadraBalanza Gales Depitilla</v>
      </c>
      <c r="C1370" s="1" t="str">
        <f>IFERROR(__xludf.DUMMYFUNCTION("""COMPUTED_VALUE"""),"Jhe")</f>
        <v>Jhe</v>
      </c>
      <c r="D1370" s="1" t="str">
        <f>IFERROR(__xludf.DUMMYFUNCTION("""COMPUTED_VALUE"""),"LadraBalanza Gales Depitilla")</f>
        <v>LadraBalanza Gales Depitilla</v>
      </c>
      <c r="E1370" s="1" t="str">
        <f>IFERROR(__xludf.DUMMYFUNCTION("""COMPUTED_VALUE"""),"Wells Lew Dela Pieza 👍👍✌️✌️👊👊💪💪♥️💖♥️")</f>
        <v>Wells Lew Dela Pieza 👍👍✌️✌️👊👊💪💪♥️💖♥️</v>
      </c>
      <c r="F1370" s="1"/>
      <c r="G1370" s="1" t="str">
        <f>IFERROR(__xludf.DUMMYFUNCTION("""COMPUTED_VALUE"""),"3 mos")</f>
        <v>3 mos</v>
      </c>
      <c r="H1370" s="1" t="str">
        <f>IFERROR(__xludf.DUMMYFUNCTION("""COMPUTED_VALUE"""),"reply")</f>
        <v>reply</v>
      </c>
      <c r="I1370" s="2" t="str">
        <f>IFERROR(__xludf.DUMMYFUNCTION("""COMPUTED_VALUE"""),"https://www.facebook.com/rapplerdotcom/photos/a.317154781638645/5595733810447356/")</f>
        <v>https://www.facebook.com/rapplerdotcom/photos/a.317154781638645/5595733810447356/</v>
      </c>
      <c r="J1370" s="1" t="str">
        <f>IFERROR(__xludf.DUMMYFUNCTION("""COMPUTED_VALUE"""),"2022-07-04T15:41:10.241Z")</f>
        <v>2022-07-04T15:41:10.241Z</v>
      </c>
      <c r="K1370" s="1"/>
    </row>
    <row r="1371">
      <c r="A1371" s="2" t="str">
        <f>IFERROR(__xludf.DUMMYFUNCTION("""COMPUTED_VALUE"""),"https://www.facebook.com/myrna.zuasula")</f>
        <v>https://www.facebook.com/myrna.zuasula</v>
      </c>
      <c r="B1371" s="1" t="str">
        <f>IFERROR(__xludf.DUMMYFUNCTION("""COMPUTED_VALUE"""),"Myrna A. Zuasula")</f>
        <v>Myrna A. Zuasula</v>
      </c>
      <c r="C1371" s="1" t="str">
        <f>IFERROR(__xludf.DUMMYFUNCTION("""COMPUTED_VALUE"""),"Myrna")</f>
        <v>Myrna</v>
      </c>
      <c r="D1371" s="1" t="str">
        <f>IFERROR(__xludf.DUMMYFUNCTION("""COMPUTED_VALUE"""),"A. Zuasula")</f>
        <v>A. Zuasula</v>
      </c>
      <c r="E1371" s="1" t="str">
        <f>IFERROR(__xludf.DUMMYFUNCTION("""COMPUTED_VALUE"""),"💚❤️💚❤️💚❤️✌🏻👊🏻👍🏻")</f>
        <v>💚❤️💚❤️💚❤️✌🏻👊🏻👍🏻</v>
      </c>
      <c r="F1371" s="1"/>
      <c r="G1371" s="1" t="str">
        <f>IFERROR(__xludf.DUMMYFUNCTION("""COMPUTED_VALUE"""),"3 mos")</f>
        <v>3 mos</v>
      </c>
      <c r="H1371" s="1" t="str">
        <f>IFERROR(__xludf.DUMMYFUNCTION("""COMPUTED_VALUE"""),"comment")</f>
        <v>comment</v>
      </c>
      <c r="I1371" s="2" t="str">
        <f>IFERROR(__xludf.DUMMYFUNCTION("""COMPUTED_VALUE"""),"https://www.facebook.com/rapplerdotcom/photos/a.317154781638645/5595733810447356/")</f>
        <v>https://www.facebook.com/rapplerdotcom/photos/a.317154781638645/5595733810447356/</v>
      </c>
      <c r="J1371" s="1" t="str">
        <f>IFERROR(__xludf.DUMMYFUNCTION("""COMPUTED_VALUE"""),"2022-07-04T15:41:10.241Z")</f>
        <v>2022-07-04T15:41:10.241Z</v>
      </c>
      <c r="K1371" s="1"/>
    </row>
    <row r="1372">
      <c r="A1372" s="2" t="str">
        <f>IFERROR(__xludf.DUMMYFUNCTION("""COMPUTED_VALUE"""),"https://www.facebook.com/marlovasquezmiranda1979")</f>
        <v>https://www.facebook.com/marlovasquezmiranda1979</v>
      </c>
      <c r="B1372" s="1" t="str">
        <f>IFERROR(__xludf.DUMMYFUNCTION("""COMPUTED_VALUE"""),"Marlah Vasquez Lopez Miranda")</f>
        <v>Marlah Vasquez Lopez Miranda</v>
      </c>
      <c r="C1372" s="1" t="str">
        <f>IFERROR(__xludf.DUMMYFUNCTION("""COMPUTED_VALUE"""),"Marlah")</f>
        <v>Marlah</v>
      </c>
      <c r="D1372" s="1" t="str">
        <f>IFERROR(__xludf.DUMMYFUNCTION("""COMPUTED_VALUE"""),"Vasquez Lopez Miranda")</f>
        <v>Vasquez Lopez Miranda</v>
      </c>
      <c r="E1372" s="1" t="str">
        <f>IFERROR(__xludf.DUMMYFUNCTION("""COMPUTED_VALUE"""),"💗💗💗💗💗")</f>
        <v>💗💗💗💗💗</v>
      </c>
      <c r="F1372" s="1"/>
      <c r="G1372" s="1" t="str">
        <f>IFERROR(__xludf.DUMMYFUNCTION("""COMPUTED_VALUE"""),"3 mos")</f>
        <v>3 mos</v>
      </c>
      <c r="H1372" s="1" t="str">
        <f>IFERROR(__xludf.DUMMYFUNCTION("""COMPUTED_VALUE"""),"comment")</f>
        <v>comment</v>
      </c>
      <c r="I1372" s="2" t="str">
        <f>IFERROR(__xludf.DUMMYFUNCTION("""COMPUTED_VALUE"""),"https://www.facebook.com/rapplerdotcom/photos/a.317154781638645/5595733810447356/")</f>
        <v>https://www.facebook.com/rapplerdotcom/photos/a.317154781638645/5595733810447356/</v>
      </c>
      <c r="J1372" s="1" t="str">
        <f>IFERROR(__xludf.DUMMYFUNCTION("""COMPUTED_VALUE"""),"2022-07-04T15:41:10.242Z")</f>
        <v>2022-07-04T15:41:10.242Z</v>
      </c>
      <c r="K1372" s="1"/>
    </row>
    <row r="1373">
      <c r="A1373" s="2" t="str">
        <f>IFERROR(__xludf.DUMMYFUNCTION("""COMPUTED_VALUE"""),"https://www.facebook.com/claro.miranda.7")</f>
        <v>https://www.facebook.com/claro.miranda.7</v>
      </c>
      <c r="B1373" s="1" t="str">
        <f>IFERROR(__xludf.DUMMYFUNCTION("""COMPUTED_VALUE"""),"Claro Miranda")</f>
        <v>Claro Miranda</v>
      </c>
      <c r="C1373" s="1" t="str">
        <f>IFERROR(__xludf.DUMMYFUNCTION("""COMPUTED_VALUE"""),"Claro")</f>
        <v>Claro</v>
      </c>
      <c r="D1373" s="1" t="str">
        <f>IFERROR(__xludf.DUMMYFUNCTION("""COMPUTED_VALUE"""),"Miranda")</f>
        <v>Miranda</v>
      </c>
      <c r="E1373" s="1" t="str">
        <f>IFERROR(__xludf.DUMMYFUNCTION("""COMPUTED_VALUE"""),"💗💗💗")</f>
        <v>💗💗💗</v>
      </c>
      <c r="F1373" s="1"/>
      <c r="G1373" s="1" t="str">
        <f>IFERROR(__xludf.DUMMYFUNCTION("""COMPUTED_VALUE"""),"3 mos")</f>
        <v>3 mos</v>
      </c>
      <c r="H1373" s="1" t="str">
        <f>IFERROR(__xludf.DUMMYFUNCTION("""COMPUTED_VALUE"""),"comment")</f>
        <v>comment</v>
      </c>
      <c r="I1373" s="2" t="str">
        <f>IFERROR(__xludf.DUMMYFUNCTION("""COMPUTED_VALUE"""),"https://www.facebook.com/rapplerdotcom/photos/a.317154781638645/5595733810447356/")</f>
        <v>https://www.facebook.com/rapplerdotcom/photos/a.317154781638645/5595733810447356/</v>
      </c>
      <c r="J1373" s="1" t="str">
        <f>IFERROR(__xludf.DUMMYFUNCTION("""COMPUTED_VALUE"""),"2022-07-04T15:41:10.242Z")</f>
        <v>2022-07-04T15:41:10.242Z</v>
      </c>
      <c r="K1373" s="1"/>
    </row>
    <row r="1374">
      <c r="A1374" s="2" t="str">
        <f>IFERROR(__xludf.DUMMYFUNCTION("""COMPUTED_VALUE"""),"https://www.facebook.com/benjamin.alejandro.142")</f>
        <v>https://www.facebook.com/benjamin.alejandro.142</v>
      </c>
      <c r="B1374" s="1" t="str">
        <f>IFERROR(__xludf.DUMMYFUNCTION("""COMPUTED_VALUE"""),"Benjamin Alejandro")</f>
        <v>Benjamin Alejandro</v>
      </c>
      <c r="C1374" s="1" t="str">
        <f>IFERROR(__xludf.DUMMYFUNCTION("""COMPUTED_VALUE"""),"Benjamin")</f>
        <v>Benjamin</v>
      </c>
      <c r="D1374" s="1" t="str">
        <f>IFERROR(__xludf.DUMMYFUNCTION("""COMPUTED_VALUE"""),"Alejandro")</f>
        <v>Alejandro</v>
      </c>
      <c r="E1374" s="1" t="str">
        <f>IFERROR(__xludf.DUMMYFUNCTION("""COMPUTED_VALUE"""),"🌸")</f>
        <v>🌸</v>
      </c>
      <c r="F1374" s="1"/>
      <c r="G1374" s="1" t="str">
        <f>IFERROR(__xludf.DUMMYFUNCTION("""COMPUTED_VALUE"""),"3 mos")</f>
        <v>3 mos</v>
      </c>
      <c r="H1374" s="1" t="str">
        <f>IFERROR(__xludf.DUMMYFUNCTION("""COMPUTED_VALUE"""),"comment")</f>
        <v>comment</v>
      </c>
      <c r="I1374" s="2" t="str">
        <f>IFERROR(__xludf.DUMMYFUNCTION("""COMPUTED_VALUE"""),"https://www.facebook.com/rapplerdotcom/photos/a.317154781638645/5595733810447356/")</f>
        <v>https://www.facebook.com/rapplerdotcom/photos/a.317154781638645/5595733810447356/</v>
      </c>
      <c r="J1374" s="1" t="str">
        <f>IFERROR(__xludf.DUMMYFUNCTION("""COMPUTED_VALUE"""),"2022-07-04T15:41:10.242Z")</f>
        <v>2022-07-04T15:41:10.242Z</v>
      </c>
      <c r="K1374" s="1"/>
    </row>
    <row r="1375">
      <c r="A1375" s="2" t="str">
        <f>IFERROR(__xludf.DUMMYFUNCTION("""COMPUTED_VALUE"""),"https://www.facebook.com/obiso.clarissa")</f>
        <v>https://www.facebook.com/obiso.clarissa</v>
      </c>
      <c r="B1375" s="1" t="str">
        <f>IFERROR(__xludf.DUMMYFUNCTION("""COMPUTED_VALUE"""),"Clarissa Obiso")</f>
        <v>Clarissa Obiso</v>
      </c>
      <c r="C1375" s="1" t="str">
        <f>IFERROR(__xludf.DUMMYFUNCTION("""COMPUTED_VALUE"""),"Clarissa")</f>
        <v>Clarissa</v>
      </c>
      <c r="D1375" s="1" t="str">
        <f>IFERROR(__xludf.DUMMYFUNCTION("""COMPUTED_VALUE"""),"Obiso")</f>
        <v>Obiso</v>
      </c>
      <c r="E1375" s="1" t="str">
        <f>IFERROR(__xludf.DUMMYFUNCTION("""COMPUTED_VALUE"""),"#LetLeniLead")</f>
        <v>#LetLeniLead</v>
      </c>
      <c r="F1375" s="1"/>
      <c r="G1375" s="1" t="str">
        <f>IFERROR(__xludf.DUMMYFUNCTION("""COMPUTED_VALUE"""),"3 mos")</f>
        <v>3 mos</v>
      </c>
      <c r="H1375" s="1" t="str">
        <f>IFERROR(__xludf.DUMMYFUNCTION("""COMPUTED_VALUE"""),"comment")</f>
        <v>comment</v>
      </c>
      <c r="I1375" s="2" t="str">
        <f>IFERROR(__xludf.DUMMYFUNCTION("""COMPUTED_VALUE"""),"https://www.facebook.com/rapplerdotcom/photos/a.317154781638645/5595733810447356/")</f>
        <v>https://www.facebook.com/rapplerdotcom/photos/a.317154781638645/5595733810447356/</v>
      </c>
      <c r="J1375" s="1" t="str">
        <f>IFERROR(__xludf.DUMMYFUNCTION("""COMPUTED_VALUE"""),"2022-07-04T15:41:10.242Z")</f>
        <v>2022-07-04T15:41:10.242Z</v>
      </c>
      <c r="K1375" s="1"/>
    </row>
    <row r="1376">
      <c r="A1376" s="2" t="str">
        <f>IFERROR(__xludf.DUMMYFUNCTION("""COMPUTED_VALUE"""),"https://www.facebook.com/profile.php?id=100076809421771")</f>
        <v>https://www.facebook.com/profile.php?id=100076809421771</v>
      </c>
      <c r="B1376" s="1" t="str">
        <f>IFERROR(__xludf.DUMMYFUNCTION("""COMPUTED_VALUE"""),"Clarence Cortez")</f>
        <v>Clarence Cortez</v>
      </c>
      <c r="C1376" s="1" t="str">
        <f>IFERROR(__xludf.DUMMYFUNCTION("""COMPUTED_VALUE"""),"Clarence")</f>
        <v>Clarence</v>
      </c>
      <c r="D1376" s="1" t="str">
        <f>IFERROR(__xludf.DUMMYFUNCTION("""COMPUTED_VALUE"""),"Cortez")</f>
        <v>Cortez</v>
      </c>
      <c r="E1376" s="1" t="str">
        <f>IFERROR(__xludf.DUMMYFUNCTION("""COMPUTED_VALUE"""),"💗💗💗")</f>
        <v>💗💗💗</v>
      </c>
      <c r="F1376" s="1"/>
      <c r="G1376" s="1" t="str">
        <f>IFERROR(__xludf.DUMMYFUNCTION("""COMPUTED_VALUE"""),"3 mos")</f>
        <v>3 mos</v>
      </c>
      <c r="H1376" s="1" t="str">
        <f>IFERROR(__xludf.DUMMYFUNCTION("""COMPUTED_VALUE"""),"comment")</f>
        <v>comment</v>
      </c>
      <c r="I1376" s="2" t="str">
        <f>IFERROR(__xludf.DUMMYFUNCTION("""COMPUTED_VALUE"""),"https://www.facebook.com/rapplerdotcom/photos/a.317154781638645/5595733810447356/")</f>
        <v>https://www.facebook.com/rapplerdotcom/photos/a.317154781638645/5595733810447356/</v>
      </c>
      <c r="J1376" s="1" t="str">
        <f>IFERROR(__xludf.DUMMYFUNCTION("""COMPUTED_VALUE"""),"2022-07-04T15:41:10.242Z")</f>
        <v>2022-07-04T15:41:10.242Z</v>
      </c>
      <c r="K1376" s="1"/>
    </row>
    <row r="1377">
      <c r="A1377" s="2" t="str">
        <f>IFERROR(__xludf.DUMMYFUNCTION("""COMPUTED_VALUE"""),"https://www.facebook.com/profile.php?id=100074931561512")</f>
        <v>https://www.facebook.com/profile.php?id=100074931561512</v>
      </c>
      <c r="B1377" s="1" t="str">
        <f>IFERROR(__xludf.DUMMYFUNCTION("""COMPUTED_VALUE"""),"Jonathan De Guzman")</f>
        <v>Jonathan De Guzman</v>
      </c>
      <c r="C1377" s="1" t="str">
        <f>IFERROR(__xludf.DUMMYFUNCTION("""COMPUTED_VALUE"""),"Jonathan")</f>
        <v>Jonathan</v>
      </c>
      <c r="D1377" s="1" t="str">
        <f>IFERROR(__xludf.DUMMYFUNCTION("""COMPUTED_VALUE"""),"De Guzman")</f>
        <v>De Guzman</v>
      </c>
      <c r="E1377" s="1" t="str">
        <f>IFERROR(__xludf.DUMMYFUNCTION("""COMPUTED_VALUE"""),"Matalinong botante si tatay mabuhay ka at god bless you po.")</f>
        <v>Matalinong botante si tatay mabuhay ka at god bless you po.</v>
      </c>
      <c r="F1377" s="1">
        <f>IFERROR(__xludf.DUMMYFUNCTION("""COMPUTED_VALUE"""),8.0)</f>
        <v>8</v>
      </c>
      <c r="G1377" s="1" t="str">
        <f>IFERROR(__xludf.DUMMYFUNCTION("""COMPUTED_VALUE"""),"3 mos")</f>
        <v>3 mos</v>
      </c>
      <c r="H1377" s="1" t="str">
        <f>IFERROR(__xludf.DUMMYFUNCTION("""COMPUTED_VALUE"""),"comment")</f>
        <v>comment</v>
      </c>
      <c r="I1377" s="2" t="str">
        <f>IFERROR(__xludf.DUMMYFUNCTION("""COMPUTED_VALUE"""),"https://www.facebook.com/rapplerdotcom/photos/a.317154781638645/5595733810447356/")</f>
        <v>https://www.facebook.com/rapplerdotcom/photos/a.317154781638645/5595733810447356/</v>
      </c>
      <c r="J1377" s="1" t="str">
        <f>IFERROR(__xludf.DUMMYFUNCTION("""COMPUTED_VALUE"""),"2022-07-04T15:41:10.242Z")</f>
        <v>2022-07-04T15:41:10.242Z</v>
      </c>
      <c r="K1377" s="1"/>
    </row>
    <row r="1378">
      <c r="A1378" s="2" t="str">
        <f>IFERROR(__xludf.DUMMYFUNCTION("""COMPUTED_VALUE"""),"https://www.facebook.com/jimmy.rebollo")</f>
        <v>https://www.facebook.com/jimmy.rebollo</v>
      </c>
      <c r="B1378" s="1" t="str">
        <f>IFERROR(__xludf.DUMMYFUNCTION("""COMPUTED_VALUE"""),"Jimmy Pascual Rebollo")</f>
        <v>Jimmy Pascual Rebollo</v>
      </c>
      <c r="C1378" s="1" t="str">
        <f>IFERROR(__xludf.DUMMYFUNCTION("""COMPUTED_VALUE"""),"Jimmy")</f>
        <v>Jimmy</v>
      </c>
      <c r="D1378" s="1" t="str">
        <f>IFERROR(__xludf.DUMMYFUNCTION("""COMPUTED_VALUE"""),"Pascual Rebollo")</f>
        <v>Pascual Rebollo</v>
      </c>
      <c r="E1378" s="1" t="str">
        <f>IFERROR(__xludf.DUMMYFUNCTION("""COMPUTED_VALUE"""),"Jonathan De Guzman matalino daw 🤣🤣🤣🤣🤣🤣")</f>
        <v>Jonathan De Guzman matalino daw 🤣🤣🤣🤣🤣🤣</v>
      </c>
      <c r="F1378" s="1">
        <f>IFERROR(__xludf.DUMMYFUNCTION("""COMPUTED_VALUE"""),1.0)</f>
        <v>1</v>
      </c>
      <c r="G1378" s="1" t="str">
        <f>IFERROR(__xludf.DUMMYFUNCTION("""COMPUTED_VALUE"""),"3 mos")</f>
        <v>3 mos</v>
      </c>
      <c r="H1378" s="1" t="str">
        <f>IFERROR(__xludf.DUMMYFUNCTION("""COMPUTED_VALUE"""),"reply")</f>
        <v>reply</v>
      </c>
      <c r="I1378" s="2" t="str">
        <f>IFERROR(__xludf.DUMMYFUNCTION("""COMPUTED_VALUE"""),"https://www.facebook.com/rapplerdotcom/photos/a.317154781638645/5595733810447356/")</f>
        <v>https://www.facebook.com/rapplerdotcom/photos/a.317154781638645/5595733810447356/</v>
      </c>
      <c r="J1378" s="1" t="str">
        <f>IFERROR(__xludf.DUMMYFUNCTION("""COMPUTED_VALUE"""),"2022-07-04T15:41:10.242Z")</f>
        <v>2022-07-04T15:41:10.242Z</v>
      </c>
      <c r="K1378" s="1"/>
    </row>
    <row r="1379">
      <c r="A1379" s="2" t="str">
        <f>IFERROR(__xludf.DUMMYFUNCTION("""COMPUTED_VALUE"""),"https://www.facebook.com/profile.php?id=100074931561512")</f>
        <v>https://www.facebook.com/profile.php?id=100074931561512</v>
      </c>
      <c r="B1379" s="1" t="str">
        <f>IFERROR(__xludf.DUMMYFUNCTION("""COMPUTED_VALUE"""),"Jonathan De Guzman")</f>
        <v>Jonathan De Guzman</v>
      </c>
      <c r="C1379" s="1" t="str">
        <f>IFERROR(__xludf.DUMMYFUNCTION("""COMPUTED_VALUE"""),"Jonathan")</f>
        <v>Jonathan</v>
      </c>
      <c r="D1379" s="1" t="str">
        <f>IFERROR(__xludf.DUMMYFUNCTION("""COMPUTED_VALUE"""),"De Guzman")</f>
        <v>De Guzman</v>
      </c>
      <c r="E1379" s="1" t="str">
        <f>IFERROR(__xludf.DUMMYFUNCTION("""COMPUTED_VALUE"""),"Jimmy Pascual Rebollo  nagbasa kaba?")</f>
        <v>Jimmy Pascual Rebollo  nagbasa kaba?</v>
      </c>
      <c r="F1379" s="1"/>
      <c r="G1379" s="1" t="str">
        <f>IFERROR(__xludf.DUMMYFUNCTION("""COMPUTED_VALUE"""),"3 mos")</f>
        <v>3 mos</v>
      </c>
      <c r="H1379" s="1" t="str">
        <f>IFERROR(__xludf.DUMMYFUNCTION("""COMPUTED_VALUE"""),"reply")</f>
        <v>reply</v>
      </c>
      <c r="I1379" s="2" t="str">
        <f>IFERROR(__xludf.DUMMYFUNCTION("""COMPUTED_VALUE"""),"https://www.facebook.com/rapplerdotcom/photos/a.317154781638645/5595733810447356/")</f>
        <v>https://www.facebook.com/rapplerdotcom/photos/a.317154781638645/5595733810447356/</v>
      </c>
      <c r="J1379" s="1" t="str">
        <f>IFERROR(__xludf.DUMMYFUNCTION("""COMPUTED_VALUE"""),"2022-07-04T15:41:10.242Z")</f>
        <v>2022-07-04T15:41:10.242Z</v>
      </c>
      <c r="K1379" s="1"/>
    </row>
    <row r="1380">
      <c r="A1380" s="2" t="str">
        <f>IFERROR(__xludf.DUMMYFUNCTION("""COMPUTED_VALUE"""),"https://www.facebook.com/roland.somera.129")</f>
        <v>https://www.facebook.com/roland.somera.129</v>
      </c>
      <c r="B1380" s="1" t="str">
        <f>IFERROR(__xludf.DUMMYFUNCTION("""COMPUTED_VALUE"""),"Somera Gonzaga Roland")</f>
        <v>Somera Gonzaga Roland</v>
      </c>
      <c r="C1380" s="1" t="str">
        <f>IFERROR(__xludf.DUMMYFUNCTION("""COMPUTED_VALUE"""),"Somera")</f>
        <v>Somera</v>
      </c>
      <c r="D1380" s="1" t="str">
        <f>IFERROR(__xludf.DUMMYFUNCTION("""COMPUTED_VALUE"""),"Gonzaga Roland")</f>
        <v>Gonzaga Roland</v>
      </c>
      <c r="E1380" s="1" t="str">
        <f>IFERROR(__xludf.DUMMYFUNCTION("""COMPUTED_VALUE"""),"Jonathan De Guzman  my 500 yan 🤣")</f>
        <v>Jonathan De Guzman  my 500 yan 🤣</v>
      </c>
      <c r="F1380" s="1"/>
      <c r="G1380" s="1" t="str">
        <f>IFERROR(__xludf.DUMMYFUNCTION("""COMPUTED_VALUE"""),"3 mos")</f>
        <v>3 mos</v>
      </c>
      <c r="H1380" s="1" t="str">
        <f>IFERROR(__xludf.DUMMYFUNCTION("""COMPUTED_VALUE"""),"reply")</f>
        <v>reply</v>
      </c>
      <c r="I1380" s="2" t="str">
        <f>IFERROR(__xludf.DUMMYFUNCTION("""COMPUTED_VALUE"""),"https://www.facebook.com/rapplerdotcom/photos/a.317154781638645/5595733810447356/")</f>
        <v>https://www.facebook.com/rapplerdotcom/photos/a.317154781638645/5595733810447356/</v>
      </c>
      <c r="J1380" s="1" t="str">
        <f>IFERROR(__xludf.DUMMYFUNCTION("""COMPUTED_VALUE"""),"2022-07-04T15:41:10.242Z")</f>
        <v>2022-07-04T15:41:10.242Z</v>
      </c>
      <c r="K1380" s="1"/>
    </row>
    <row r="1381">
      <c r="A1381" s="2" t="str">
        <f>IFERROR(__xludf.DUMMYFUNCTION("""COMPUTED_VALUE"""),"https://www.facebook.com/profile.php?id=100074931561512")</f>
        <v>https://www.facebook.com/profile.php?id=100074931561512</v>
      </c>
      <c r="B1381" s="1" t="str">
        <f>IFERROR(__xludf.DUMMYFUNCTION("""COMPUTED_VALUE"""),"Jonathan De Guzman")</f>
        <v>Jonathan De Guzman</v>
      </c>
      <c r="C1381" s="1" t="str">
        <f>IFERROR(__xludf.DUMMYFUNCTION("""COMPUTED_VALUE"""),"Jonathan")</f>
        <v>Jonathan</v>
      </c>
      <c r="D1381" s="1" t="str">
        <f>IFERROR(__xludf.DUMMYFUNCTION("""COMPUTED_VALUE"""),"De Guzman")</f>
        <v>De Guzman</v>
      </c>
      <c r="E1381" s="1" t="str">
        <f>IFERROR(__xludf.DUMMYFUNCTION("""COMPUTED_VALUE"""),"Somera Gonzaga Roland weh")</f>
        <v>Somera Gonzaga Roland weh</v>
      </c>
      <c r="F1381" s="1"/>
      <c r="G1381" s="1" t="str">
        <f>IFERROR(__xludf.DUMMYFUNCTION("""COMPUTED_VALUE"""),"3 mos")</f>
        <v>3 mos</v>
      </c>
      <c r="H1381" s="1" t="str">
        <f>IFERROR(__xludf.DUMMYFUNCTION("""COMPUTED_VALUE"""),"reply")</f>
        <v>reply</v>
      </c>
      <c r="I1381" s="2" t="str">
        <f>IFERROR(__xludf.DUMMYFUNCTION("""COMPUTED_VALUE"""),"https://www.facebook.com/rapplerdotcom/photos/a.317154781638645/5595733810447356/")</f>
        <v>https://www.facebook.com/rapplerdotcom/photos/a.317154781638645/5595733810447356/</v>
      </c>
      <c r="J1381" s="1" t="str">
        <f>IFERROR(__xludf.DUMMYFUNCTION("""COMPUTED_VALUE"""),"2022-07-04T15:41:10.242Z")</f>
        <v>2022-07-04T15:41:10.242Z</v>
      </c>
      <c r="K1381" s="1"/>
    </row>
    <row r="1382">
      <c r="A1382" s="2" t="str">
        <f>IFERROR(__xludf.DUMMYFUNCTION("""COMPUTED_VALUE"""),"https://www.facebook.com/profile.php?id=100074931561512")</f>
        <v>https://www.facebook.com/profile.php?id=100074931561512</v>
      </c>
      <c r="B1382" s="1" t="str">
        <f>IFERROR(__xludf.DUMMYFUNCTION("""COMPUTED_VALUE"""),"Jonathan De Guzman")</f>
        <v>Jonathan De Guzman</v>
      </c>
      <c r="C1382" s="1" t="str">
        <f>IFERROR(__xludf.DUMMYFUNCTION("""COMPUTED_VALUE"""),"Jonathan")</f>
        <v>Jonathan</v>
      </c>
      <c r="D1382" s="1" t="str">
        <f>IFERROR(__xludf.DUMMYFUNCTION("""COMPUTED_VALUE"""),"De Guzman")</f>
        <v>De Guzman</v>
      </c>
      <c r="E1382" s="1" t="str">
        <f>IFERROR(__xludf.DUMMYFUNCTION("""COMPUTED_VALUE"""),"Somera Gonzaga Roland ganyan ba ang tingin mo sa mga pinoy?")</f>
        <v>Somera Gonzaga Roland ganyan ba ang tingin mo sa mga pinoy?</v>
      </c>
      <c r="F1382" s="1"/>
      <c r="G1382" s="1" t="str">
        <f>IFERROR(__xludf.DUMMYFUNCTION("""COMPUTED_VALUE"""),"3 mos")</f>
        <v>3 mos</v>
      </c>
      <c r="H1382" s="1" t="str">
        <f>IFERROR(__xludf.DUMMYFUNCTION("""COMPUTED_VALUE"""),"reply")</f>
        <v>reply</v>
      </c>
      <c r="I1382" s="2" t="str">
        <f>IFERROR(__xludf.DUMMYFUNCTION("""COMPUTED_VALUE"""),"https://www.facebook.com/rapplerdotcom/photos/a.317154781638645/5595733810447356/")</f>
        <v>https://www.facebook.com/rapplerdotcom/photos/a.317154781638645/5595733810447356/</v>
      </c>
      <c r="J1382" s="1" t="str">
        <f>IFERROR(__xludf.DUMMYFUNCTION("""COMPUTED_VALUE"""),"2022-07-04T15:41:10.242Z")</f>
        <v>2022-07-04T15:41:10.242Z</v>
      </c>
      <c r="K1382" s="1"/>
    </row>
    <row r="1383">
      <c r="A1383" s="2" t="str">
        <f>IFERROR(__xludf.DUMMYFUNCTION("""COMPUTED_VALUE"""),"https://www.facebook.com/june.vicentino.11")</f>
        <v>https://www.facebook.com/june.vicentino.11</v>
      </c>
      <c r="B1383" s="1" t="str">
        <f>IFERROR(__xludf.DUMMYFUNCTION("""COMPUTED_VALUE"""),"John Salvador Vicentino")</f>
        <v>John Salvador Vicentino</v>
      </c>
      <c r="C1383" s="1" t="str">
        <f>IFERROR(__xludf.DUMMYFUNCTION("""COMPUTED_VALUE"""),"John")</f>
        <v>John</v>
      </c>
      <c r="D1383" s="1" t="str">
        <f>IFERROR(__xludf.DUMMYFUNCTION("""COMPUTED_VALUE"""),"Salvador Vicentino")</f>
        <v>Salvador Vicentino</v>
      </c>
      <c r="E1383" s="1" t="str">
        <f>IFERROR(__xludf.DUMMYFUNCTION("""COMPUTED_VALUE"""),"Bayad yarnnnn")</f>
        <v>Bayad yarnnnn</v>
      </c>
      <c r="F1383" s="1">
        <f>IFERROR(__xludf.DUMMYFUNCTION("""COMPUTED_VALUE"""),8.0)</f>
        <v>8</v>
      </c>
      <c r="G1383" s="1" t="str">
        <f>IFERROR(__xludf.DUMMYFUNCTION("""COMPUTED_VALUE"""),"3 mos")</f>
        <v>3 mos</v>
      </c>
      <c r="H1383" s="1" t="str">
        <f>IFERROR(__xludf.DUMMYFUNCTION("""COMPUTED_VALUE"""),"comment")</f>
        <v>comment</v>
      </c>
      <c r="I1383" s="2" t="str">
        <f>IFERROR(__xludf.DUMMYFUNCTION("""COMPUTED_VALUE"""),"https://www.facebook.com/rapplerdotcom/photos/a.317154781638645/5595733810447356/")</f>
        <v>https://www.facebook.com/rapplerdotcom/photos/a.317154781638645/5595733810447356/</v>
      </c>
      <c r="J1383" s="1" t="str">
        <f>IFERROR(__xludf.DUMMYFUNCTION("""COMPUTED_VALUE"""),"2022-07-04T15:41:10.242Z")</f>
        <v>2022-07-04T15:41:10.242Z</v>
      </c>
      <c r="K1383" s="1"/>
    </row>
    <row r="1384">
      <c r="A1384" s="2" t="str">
        <f>IFERROR(__xludf.DUMMYFUNCTION("""COMPUTED_VALUE"""),"https://www.facebook.com/emeleen.17")</f>
        <v>https://www.facebook.com/emeleen.17</v>
      </c>
      <c r="B1384" s="1" t="str">
        <f>IFERROR(__xludf.DUMMYFUNCTION("""COMPUTED_VALUE"""),"SweetEmelyn Villados")</f>
        <v>SweetEmelyn Villados</v>
      </c>
      <c r="C1384" s="1" t="str">
        <f>IFERROR(__xludf.DUMMYFUNCTION("""COMPUTED_VALUE"""),"SweetEmelyn")</f>
        <v>SweetEmelyn</v>
      </c>
      <c r="D1384" s="1" t="str">
        <f>IFERROR(__xludf.DUMMYFUNCTION("""COMPUTED_VALUE"""),"Villados")</f>
        <v>Villados</v>
      </c>
      <c r="E1384" s="1" t="str">
        <f>IFERROR(__xludf.DUMMYFUNCTION("""COMPUTED_VALUE"""),"John Salvador Vicentino mukha kayong ""bayad yarn""... ikaw rin ba?")</f>
        <v>John Salvador Vicentino mukha kayong "bayad yarn"... ikaw rin ba?</v>
      </c>
      <c r="F1384" s="1"/>
      <c r="G1384" s="1" t="str">
        <f>IFERROR(__xludf.DUMMYFUNCTION("""COMPUTED_VALUE"""),"3 mos")</f>
        <v>3 mos</v>
      </c>
      <c r="H1384" s="1" t="str">
        <f>IFERROR(__xludf.DUMMYFUNCTION("""COMPUTED_VALUE"""),"reply")</f>
        <v>reply</v>
      </c>
      <c r="I1384" s="2" t="str">
        <f>IFERROR(__xludf.DUMMYFUNCTION("""COMPUTED_VALUE"""),"https://www.facebook.com/rapplerdotcom/photos/a.317154781638645/5595733810447356/")</f>
        <v>https://www.facebook.com/rapplerdotcom/photos/a.317154781638645/5595733810447356/</v>
      </c>
      <c r="J1384" s="1" t="str">
        <f>IFERROR(__xludf.DUMMYFUNCTION("""COMPUTED_VALUE"""),"2022-07-04T15:41:10.242Z")</f>
        <v>2022-07-04T15:41:10.242Z</v>
      </c>
      <c r="K1384" s="1"/>
    </row>
    <row r="1385">
      <c r="A1385" s="2" t="str">
        <f>IFERROR(__xludf.DUMMYFUNCTION("""COMPUTED_VALUE"""),"https://www.facebook.com/taipan.shantel")</f>
        <v>https://www.facebook.com/taipan.shantel</v>
      </c>
      <c r="B1385" s="1" t="str">
        <f>IFERROR(__xludf.DUMMYFUNCTION("""COMPUTED_VALUE"""),"Taipan Shantel")</f>
        <v>Taipan Shantel</v>
      </c>
      <c r="C1385" s="1" t="str">
        <f>IFERROR(__xludf.DUMMYFUNCTION("""COMPUTED_VALUE"""),"Taipan")</f>
        <v>Taipan</v>
      </c>
      <c r="D1385" s="1" t="str">
        <f>IFERROR(__xludf.DUMMYFUNCTION("""COMPUTED_VALUE"""),"Shantel")</f>
        <v>Shantel</v>
      </c>
      <c r="E1385" s="1" t="str">
        <f>IFERROR(__xludf.DUMMYFUNCTION("""COMPUTED_VALUE"""),"John Salvador Vicentino  panu mo nasabi*?")</f>
        <v>John Salvador Vicentino  panu mo nasabi*?</v>
      </c>
      <c r="F1385" s="1">
        <f>IFERROR(__xludf.DUMMYFUNCTION("""COMPUTED_VALUE"""),2.0)</f>
        <v>2</v>
      </c>
      <c r="G1385" s="1" t="str">
        <f>IFERROR(__xludf.DUMMYFUNCTION("""COMPUTED_VALUE"""),"3 mos")</f>
        <v>3 mos</v>
      </c>
      <c r="H1385" s="1" t="str">
        <f>IFERROR(__xludf.DUMMYFUNCTION("""COMPUTED_VALUE"""),"reply")</f>
        <v>reply</v>
      </c>
      <c r="I1385" s="2" t="str">
        <f>IFERROR(__xludf.DUMMYFUNCTION("""COMPUTED_VALUE"""),"https://www.facebook.com/rapplerdotcom/photos/a.317154781638645/5595733810447356/")</f>
        <v>https://www.facebook.com/rapplerdotcom/photos/a.317154781638645/5595733810447356/</v>
      </c>
      <c r="J1385" s="1" t="str">
        <f>IFERROR(__xludf.DUMMYFUNCTION("""COMPUTED_VALUE"""),"2022-07-04T15:41:10.242Z")</f>
        <v>2022-07-04T15:41:10.242Z</v>
      </c>
      <c r="K1385" s="1"/>
    </row>
    <row r="1386">
      <c r="A1386" s="2" t="str">
        <f>IFERROR(__xludf.DUMMYFUNCTION("""COMPUTED_VALUE"""),"https://www.facebook.com/minato.batousai")</f>
        <v>https://www.facebook.com/minato.batousai</v>
      </c>
      <c r="B1386" s="1" t="str">
        <f>IFERROR(__xludf.DUMMYFUNCTION("""COMPUTED_VALUE"""),"Fujima Nagato")</f>
        <v>Fujima Nagato</v>
      </c>
      <c r="C1386" s="1" t="str">
        <f>IFERROR(__xludf.DUMMYFUNCTION("""COMPUTED_VALUE"""),"Fujima")</f>
        <v>Fujima</v>
      </c>
      <c r="D1386" s="1" t="str">
        <f>IFERROR(__xludf.DUMMYFUNCTION("""COMPUTED_VALUE"""),"Nagato")</f>
        <v>Nagato</v>
      </c>
      <c r="E1386" s="1" t="str">
        <f>IFERROR(__xludf.DUMMYFUNCTION("""COMPUTED_VALUE"""),"Solid kakampink")</f>
        <v>Solid kakampink</v>
      </c>
      <c r="F1386" s="1">
        <f>IFERROR(__xludf.DUMMYFUNCTION("""COMPUTED_VALUE"""),5.0)</f>
        <v>5</v>
      </c>
      <c r="G1386" s="1" t="str">
        <f>IFERROR(__xludf.DUMMYFUNCTION("""COMPUTED_VALUE"""),"3 mos")</f>
        <v>3 mos</v>
      </c>
      <c r="H1386" s="1" t="str">
        <f>IFERROR(__xludf.DUMMYFUNCTION("""COMPUTED_VALUE"""),"comment")</f>
        <v>comment</v>
      </c>
      <c r="I1386" s="2" t="str">
        <f>IFERROR(__xludf.DUMMYFUNCTION("""COMPUTED_VALUE"""),"https://www.facebook.com/rapplerdotcom/photos/a.317154781638645/5595733810447356/")</f>
        <v>https://www.facebook.com/rapplerdotcom/photos/a.317154781638645/5595733810447356/</v>
      </c>
      <c r="J1386" s="1" t="str">
        <f>IFERROR(__xludf.DUMMYFUNCTION("""COMPUTED_VALUE"""),"2022-07-04T15:41:10.242Z")</f>
        <v>2022-07-04T15:41:10.242Z</v>
      </c>
      <c r="K1386" s="1"/>
    </row>
    <row r="1387">
      <c r="A1387" s="2" t="str">
        <f>IFERROR(__xludf.DUMMYFUNCTION("""COMPUTED_VALUE"""),"https://www.facebook.com/profile.php?id=100069939051229")</f>
        <v>https://www.facebook.com/profile.php?id=100069939051229</v>
      </c>
      <c r="B1387" s="1" t="str">
        <f>IFERROR(__xludf.DUMMYFUNCTION("""COMPUTED_VALUE"""),"Vince Carter")</f>
        <v>Vince Carter</v>
      </c>
      <c r="C1387" s="1" t="str">
        <f>IFERROR(__xludf.DUMMYFUNCTION("""COMPUTED_VALUE"""),"Vince")</f>
        <v>Vince</v>
      </c>
      <c r="D1387" s="1" t="str">
        <f>IFERROR(__xludf.DUMMYFUNCTION("""COMPUTED_VALUE"""),"Carter")</f>
        <v>Carter</v>
      </c>
      <c r="E1387" s="1" t="str">
        <f>IFERROR(__xludf.DUMMYFUNCTION("""COMPUTED_VALUE"""),"#AngatSila")</f>
        <v>#AngatSila</v>
      </c>
      <c r="F1387" s="1"/>
      <c r="G1387" s="1" t="str">
        <f>IFERROR(__xludf.DUMMYFUNCTION("""COMPUTED_VALUE"""),"3 mos")</f>
        <v>3 mos</v>
      </c>
      <c r="H1387" s="1" t="str">
        <f>IFERROR(__xludf.DUMMYFUNCTION("""COMPUTED_VALUE"""),"comment")</f>
        <v>comment</v>
      </c>
      <c r="I1387" s="2" t="str">
        <f>IFERROR(__xludf.DUMMYFUNCTION("""COMPUTED_VALUE"""),"https://www.facebook.com/rapplerdotcom/photos/a.317154781638645/5595733810447356/")</f>
        <v>https://www.facebook.com/rapplerdotcom/photos/a.317154781638645/5595733810447356/</v>
      </c>
      <c r="J1387" s="1" t="str">
        <f>IFERROR(__xludf.DUMMYFUNCTION("""COMPUTED_VALUE"""),"2022-07-04T15:41:10.242Z")</f>
        <v>2022-07-04T15:41:10.242Z</v>
      </c>
      <c r="K1387" s="1"/>
    </row>
    <row r="1388">
      <c r="A1388" s="2" t="str">
        <f>IFERROR(__xludf.DUMMYFUNCTION("""COMPUTED_VALUE"""),"https://www.facebook.com/djlansang")</f>
        <v>https://www.facebook.com/djlansang</v>
      </c>
      <c r="B1388" s="1" t="str">
        <f>IFERROR(__xludf.DUMMYFUNCTION("""COMPUTED_VALUE"""),"Joy Ben Lan")</f>
        <v>Joy Ben Lan</v>
      </c>
      <c r="C1388" s="1" t="str">
        <f>IFERROR(__xludf.DUMMYFUNCTION("""COMPUTED_VALUE"""),"Joy")</f>
        <v>Joy</v>
      </c>
      <c r="D1388" s="1" t="str">
        <f>IFERROR(__xludf.DUMMYFUNCTION("""COMPUTED_VALUE"""),"Ben Lan")</f>
        <v>Ben Lan</v>
      </c>
      <c r="E1388" s="1" t="str">
        <f>IFERROR(__xludf.DUMMYFUNCTION("""COMPUTED_VALUE"""),"""Tumindig kayo; tinitiyak ko, mayroon ding titindig sa tabi ninyo."" #10RobredoForPresident #LeniKiko2022 #AngatBuhayLahat Mabuhay ang mga Filipino! TO GOD BE THE GLORY🙏 GOD BLESS THE PHILIPPINES 🇵🇭 https://media.giphy.com/media/OyEUuw53Z4HlTEyItq/gip"&amp;"hy.gif")</f>
        <v>"Tumindig kayo; tinitiyak ko, mayroon ding titindig sa tabi ninyo." #10RobredoForPresident #LeniKiko2022 #AngatBuhayLahat Mabuhay ang mga Filipino! TO GOD BE THE GLORY🙏 GOD BLESS THE PHILIPPINES 🇵🇭 https://media.giphy.com/media/OyEUuw53Z4HlTEyItq/giphy.gif</v>
      </c>
      <c r="F1388" s="1">
        <f>IFERROR(__xludf.DUMMYFUNCTION("""COMPUTED_VALUE"""),84.0)</f>
        <v>84</v>
      </c>
      <c r="G1388" s="1" t="str">
        <f>IFERROR(__xludf.DUMMYFUNCTION("""COMPUTED_VALUE"""),"3 mos")</f>
        <v>3 mos</v>
      </c>
      <c r="H1388" s="1" t="str">
        <f>IFERROR(__xludf.DUMMYFUNCTION("""COMPUTED_VALUE"""),"comment")</f>
        <v>comment</v>
      </c>
      <c r="I1388" s="2" t="str">
        <f>IFERROR(__xludf.DUMMYFUNCTION("""COMPUTED_VALUE"""),"https://www.facebook.com/watch/?v=570590637273208")</f>
        <v>https://www.facebook.com/watch/?v=570590637273208</v>
      </c>
      <c r="J1388" s="1" t="str">
        <f>IFERROR(__xludf.DUMMYFUNCTION("""COMPUTED_VALUE"""),"2022-07-04T15:42:11.152Z")</f>
        <v>2022-07-04T15:42:11.152Z</v>
      </c>
      <c r="K1388" s="1"/>
    </row>
    <row r="1389">
      <c r="A1389" s="2" t="str">
        <f>IFERROR(__xludf.DUMMYFUNCTION("""COMPUTED_VALUE"""),"https://www.facebook.com/profile.php?id=100078441967269")</f>
        <v>https://www.facebook.com/profile.php?id=100078441967269</v>
      </c>
      <c r="B1389" s="1" t="str">
        <f>IFERROR(__xludf.DUMMYFUNCTION("""COMPUTED_VALUE"""),"Matheo Lopes Roa")</f>
        <v>Matheo Lopes Roa</v>
      </c>
      <c r="C1389" s="1" t="str">
        <f>IFERROR(__xludf.DUMMYFUNCTION("""COMPUTED_VALUE"""),"Matheo")</f>
        <v>Matheo</v>
      </c>
      <c r="D1389" s="1" t="str">
        <f>IFERROR(__xludf.DUMMYFUNCTION("""COMPUTED_VALUE"""),"Lopes Roa")</f>
        <v>Lopes Roa</v>
      </c>
      <c r="E1389" s="1" t="str">
        <f>IFERROR(__xludf.DUMMYFUNCTION("""COMPUTED_VALUE"""),"Su Bangero  may nsligaw na langaw")</f>
        <v>Su Bangero  may nsligaw na langaw</v>
      </c>
      <c r="F1389" s="1">
        <f>IFERROR(__xludf.DUMMYFUNCTION("""COMPUTED_VALUE"""),2.0)</f>
        <v>2</v>
      </c>
      <c r="G1389" s="1" t="str">
        <f>IFERROR(__xludf.DUMMYFUNCTION("""COMPUTED_VALUE"""),"3 mos")</f>
        <v>3 mos</v>
      </c>
      <c r="H1389" s="1" t="str">
        <f>IFERROR(__xludf.DUMMYFUNCTION("""COMPUTED_VALUE"""),"reply")</f>
        <v>reply</v>
      </c>
      <c r="I1389" s="2" t="str">
        <f>IFERROR(__xludf.DUMMYFUNCTION("""COMPUTED_VALUE"""),"https://www.facebook.com/watch/?v=570590637273208")</f>
        <v>https://www.facebook.com/watch/?v=570590637273208</v>
      </c>
      <c r="J1389" s="1" t="str">
        <f>IFERROR(__xludf.DUMMYFUNCTION("""COMPUTED_VALUE"""),"2022-07-04T15:42:11.152Z")</f>
        <v>2022-07-04T15:42:11.152Z</v>
      </c>
      <c r="K1389" s="1"/>
    </row>
    <row r="1390">
      <c r="A1390" s="2" t="str">
        <f>IFERROR(__xludf.DUMMYFUNCTION("""COMPUTED_VALUE"""),"https://www.facebook.com/profile.php?id=100076165174797")</f>
        <v>https://www.facebook.com/profile.php?id=100076165174797</v>
      </c>
      <c r="B1390" s="1" t="str">
        <f>IFERROR(__xludf.DUMMYFUNCTION("""COMPUTED_VALUE"""),"Joshua Madronero")</f>
        <v>Joshua Madronero</v>
      </c>
      <c r="C1390" s="1" t="str">
        <f>IFERROR(__xludf.DUMMYFUNCTION("""COMPUTED_VALUE"""),"Joshua")</f>
        <v>Joshua</v>
      </c>
      <c r="D1390" s="1" t="str">
        <f>IFERROR(__xludf.DUMMYFUNCTION("""COMPUTED_VALUE"""),"Madronero")</f>
        <v>Madronero</v>
      </c>
      <c r="E1390" s="1" t="str">
        <f>IFERROR(__xludf.DUMMYFUNCTION("""COMPUTED_VALUE"""),"😂😂🤣🤣🤣")</f>
        <v>😂😂🤣🤣🤣</v>
      </c>
      <c r="F1390" s="1"/>
      <c r="G1390" s="1" t="str">
        <f>IFERROR(__xludf.DUMMYFUNCTION("""COMPUTED_VALUE"""),"3 mos")</f>
        <v>3 mos</v>
      </c>
      <c r="H1390" s="1" t="str">
        <f>IFERROR(__xludf.DUMMYFUNCTION("""COMPUTED_VALUE"""),"reply")</f>
        <v>reply</v>
      </c>
      <c r="I1390" s="2" t="str">
        <f>IFERROR(__xludf.DUMMYFUNCTION("""COMPUTED_VALUE"""),"https://www.facebook.com/watch/?v=570590637273208")</f>
        <v>https://www.facebook.com/watch/?v=570590637273208</v>
      </c>
      <c r="J1390" s="1" t="str">
        <f>IFERROR(__xludf.DUMMYFUNCTION("""COMPUTED_VALUE"""),"2022-07-04T15:42:11.152Z")</f>
        <v>2022-07-04T15:42:11.152Z</v>
      </c>
      <c r="K1390" s="1"/>
    </row>
    <row r="1391">
      <c r="A1391" s="2" t="str">
        <f>IFERROR(__xludf.DUMMYFUNCTION("""COMPUTED_VALUE"""),"https://www.facebook.com/profile.php?id=100076165174797")</f>
        <v>https://www.facebook.com/profile.php?id=100076165174797</v>
      </c>
      <c r="B1391" s="1" t="str">
        <f>IFERROR(__xludf.DUMMYFUNCTION("""COMPUTED_VALUE"""),"Joshua Madronero")</f>
        <v>Joshua Madronero</v>
      </c>
      <c r="C1391" s="1" t="str">
        <f>IFERROR(__xludf.DUMMYFUNCTION("""COMPUTED_VALUE"""),"Joshua")</f>
        <v>Joshua</v>
      </c>
      <c r="D1391" s="1" t="str">
        <f>IFERROR(__xludf.DUMMYFUNCTION("""COMPUTED_VALUE"""),"Madronero")</f>
        <v>Madronero</v>
      </c>
      <c r="E1391" s="1" t="str">
        <f>IFERROR(__xludf.DUMMYFUNCTION("""COMPUTED_VALUE"""),"Joshua Madronero")</f>
        <v>Joshua Madronero</v>
      </c>
      <c r="F1391" s="1"/>
      <c r="G1391" s="1" t="str">
        <f>IFERROR(__xludf.DUMMYFUNCTION("""COMPUTED_VALUE"""),"3 mos")</f>
        <v>3 mos</v>
      </c>
      <c r="H1391" s="1" t="str">
        <f>IFERROR(__xludf.DUMMYFUNCTION("""COMPUTED_VALUE"""),"reply")</f>
        <v>reply</v>
      </c>
      <c r="I1391" s="2" t="str">
        <f>IFERROR(__xludf.DUMMYFUNCTION("""COMPUTED_VALUE"""),"https://www.facebook.com/watch/?v=570590637273208")</f>
        <v>https://www.facebook.com/watch/?v=570590637273208</v>
      </c>
      <c r="J1391" s="1" t="str">
        <f>IFERROR(__xludf.DUMMYFUNCTION("""COMPUTED_VALUE"""),"2022-07-04T15:42:11.152Z")</f>
        <v>2022-07-04T15:42:11.152Z</v>
      </c>
      <c r="K1391" s="1"/>
    </row>
    <row r="1392">
      <c r="A1392" s="2" t="str">
        <f>IFERROR(__xludf.DUMMYFUNCTION("""COMPUTED_VALUE"""),"https://www.facebook.com/bechabye")</f>
        <v>https://www.facebook.com/bechabye</v>
      </c>
      <c r="B1392" s="1" t="str">
        <f>IFERROR(__xludf.DUMMYFUNCTION("""COMPUTED_VALUE"""),"Beth Sebastian Salazar")</f>
        <v>Beth Sebastian Salazar</v>
      </c>
      <c r="C1392" s="1" t="str">
        <f>IFERROR(__xludf.DUMMYFUNCTION("""COMPUTED_VALUE"""),"Beth")</f>
        <v>Beth</v>
      </c>
      <c r="D1392" s="1" t="str">
        <f>IFERROR(__xludf.DUMMYFUNCTION("""COMPUTED_VALUE"""),"Sebastian Salazar")</f>
        <v>Sebastian Salazar</v>
      </c>
      <c r="E1392" s="1" t="str">
        <f>IFERROR(__xludf.DUMMYFUNCTION("""COMPUTED_VALUE"""),"Thanks N.E......sending our love from California and Quezon province.")</f>
        <v>Thanks N.E......sending our love from California and Quezon province.</v>
      </c>
      <c r="F1392" s="1">
        <f>IFERROR(__xludf.DUMMYFUNCTION("""COMPUTED_VALUE"""),16.0)</f>
        <v>16</v>
      </c>
      <c r="G1392" s="1" t="str">
        <f>IFERROR(__xludf.DUMMYFUNCTION("""COMPUTED_VALUE"""),"3 mos")</f>
        <v>3 mos</v>
      </c>
      <c r="H1392" s="1" t="str">
        <f>IFERROR(__xludf.DUMMYFUNCTION("""COMPUTED_VALUE"""),"comment")</f>
        <v>comment</v>
      </c>
      <c r="I1392" s="2" t="str">
        <f>IFERROR(__xludf.DUMMYFUNCTION("""COMPUTED_VALUE"""),"https://www.facebook.com/watch/?v=570590637273208")</f>
        <v>https://www.facebook.com/watch/?v=570590637273208</v>
      </c>
      <c r="J1392" s="1" t="str">
        <f>IFERROR(__xludf.DUMMYFUNCTION("""COMPUTED_VALUE"""),"2022-07-04T15:42:11.152Z")</f>
        <v>2022-07-04T15:42:11.152Z</v>
      </c>
      <c r="K1392" s="1"/>
    </row>
    <row r="1393">
      <c r="A1393" s="2" t="str">
        <f>IFERROR(__xludf.DUMMYFUNCTION("""COMPUTED_VALUE"""),"https://www.facebook.com/richardo.deloreto")</f>
        <v>https://www.facebook.com/richardo.deloreto</v>
      </c>
      <c r="B1393" s="1" t="str">
        <f>IFERROR(__xludf.DUMMYFUNCTION("""COMPUTED_VALUE"""),"Richardo Yao De Loreto")</f>
        <v>Richardo Yao De Loreto</v>
      </c>
      <c r="C1393" s="1" t="str">
        <f>IFERROR(__xludf.DUMMYFUNCTION("""COMPUTED_VALUE"""),"Richardo")</f>
        <v>Richardo</v>
      </c>
      <c r="D1393" s="1" t="str">
        <f>IFERROR(__xludf.DUMMYFUNCTION("""COMPUTED_VALUE"""),"Yao De Loreto")</f>
        <v>Yao De Loreto</v>
      </c>
      <c r="E1393" s="1" t="str">
        <f>IFERROR(__xludf.DUMMYFUNCTION("""COMPUTED_VALUE"""),"Tunay na patuloy ang pag laban ng Central Luzon! 🙏💗🇵🇭 Tumindig, humakbang, kumilos, lumaban at magdasal para sa pamilya at bayan. Magkaisa tayo para magandang kinabukasan ng ating bayan 🙏💗 Para ito lalo na sa mahihirap nating kababayan.  Marami ng n"&amp;"agigising sa katotohanan. Yung mga nagbubulag-bulagan or may masamang interest ipagdasal natin na makonsensya. Pag hindi pa rin Diyos na bahala sa kanila. Doon lang tayo sa tama, totoo, tapat, servant leader, mapagmahal at maka-Diyos. #MasRadikalAngMagmah"&amp;"al #LeniKiko2022 #GobyernongTapatAngatBuhayLahat")</f>
        <v>Tunay na patuloy ang pag laban ng Central Luzon! 🙏💗🇵🇭 Tumindig, humakbang, kumilos, lumaban at magdasal para sa pamilya at bayan. Magkaisa tayo para magandang kinabukasan ng ating bayan 🙏💗 Para ito lalo na sa mahihirap nating kababayan.  Marami ng nagigising sa katotohanan. Yung mga nagbubulag-bulagan or may masamang interest ipagdasal natin na makonsensya. Pag hindi pa rin Diyos na bahala sa kanila. Doon lang tayo sa tama, totoo, tapat, servant leader, mapagmahal at maka-Diyos. #MasRadikalAngMagmahal #LeniKiko2022 #GobyernongTapatAngatBuhayLahat</v>
      </c>
      <c r="F1393" s="1">
        <f>IFERROR(__xludf.DUMMYFUNCTION("""COMPUTED_VALUE"""),22.0)</f>
        <v>22</v>
      </c>
      <c r="G1393" s="1" t="str">
        <f>IFERROR(__xludf.DUMMYFUNCTION("""COMPUTED_VALUE"""),"3 mos")</f>
        <v>3 mos</v>
      </c>
      <c r="H1393" s="1" t="str">
        <f>IFERROR(__xludf.DUMMYFUNCTION("""COMPUTED_VALUE"""),"comment")</f>
        <v>comment</v>
      </c>
      <c r="I1393" s="2" t="str">
        <f>IFERROR(__xludf.DUMMYFUNCTION("""COMPUTED_VALUE"""),"https://www.facebook.com/watch/?v=570590637273208")</f>
        <v>https://www.facebook.com/watch/?v=570590637273208</v>
      </c>
      <c r="J1393" s="1" t="str">
        <f>IFERROR(__xludf.DUMMYFUNCTION("""COMPUTED_VALUE"""),"2022-07-04T15:42:11.152Z")</f>
        <v>2022-07-04T15:42:11.152Z</v>
      </c>
      <c r="K1393" s="1"/>
    </row>
    <row r="1394">
      <c r="A1394" s="2" t="str">
        <f>IFERROR(__xludf.DUMMYFUNCTION("""COMPUTED_VALUE"""),"https://www.facebook.com/vincedexter.teves")</f>
        <v>https://www.facebook.com/vincedexter.teves</v>
      </c>
      <c r="B1394" s="1" t="str">
        <f>IFERROR(__xludf.DUMMYFUNCTION("""COMPUTED_VALUE"""),"Vince Dexter Teves")</f>
        <v>Vince Dexter Teves</v>
      </c>
      <c r="C1394" s="1" t="str">
        <f>IFERROR(__xludf.DUMMYFUNCTION("""COMPUTED_VALUE"""),"Vince")</f>
        <v>Vince</v>
      </c>
      <c r="D1394" s="1" t="str">
        <f>IFERROR(__xludf.DUMMYFUNCTION("""COMPUTED_VALUE"""),"Dexter Teves")</f>
        <v>Dexter Teves</v>
      </c>
      <c r="E1394" s="1" t="str">
        <f>IFERROR(__xludf.DUMMYFUNCTION("""COMPUTED_VALUE"""),"Richardo Yao De Loreto ❤❤💚💚✌")</f>
        <v>Richardo Yao De Loreto ❤❤💚💚✌</v>
      </c>
      <c r="F1394" s="1"/>
      <c r="G1394" s="1" t="str">
        <f>IFERROR(__xludf.DUMMYFUNCTION("""COMPUTED_VALUE"""),"3 mos")</f>
        <v>3 mos</v>
      </c>
      <c r="H1394" s="1" t="str">
        <f>IFERROR(__xludf.DUMMYFUNCTION("""COMPUTED_VALUE"""),"reply")</f>
        <v>reply</v>
      </c>
      <c r="I1394" s="2" t="str">
        <f>IFERROR(__xludf.DUMMYFUNCTION("""COMPUTED_VALUE"""),"https://www.facebook.com/watch/?v=570590637273208")</f>
        <v>https://www.facebook.com/watch/?v=570590637273208</v>
      </c>
      <c r="J1394" s="1" t="str">
        <f>IFERROR(__xludf.DUMMYFUNCTION("""COMPUTED_VALUE"""),"2022-07-04T15:42:11.152Z")</f>
        <v>2022-07-04T15:42:11.152Z</v>
      </c>
      <c r="K1394" s="1"/>
    </row>
    <row r="1395">
      <c r="A1395" s="2" t="str">
        <f>IFERROR(__xludf.DUMMYFUNCTION("""COMPUTED_VALUE"""),"https://www.facebook.com/jhonatan.dordas")</f>
        <v>https://www.facebook.com/jhonatan.dordas</v>
      </c>
      <c r="B1395" s="1" t="str">
        <f>IFERROR(__xludf.DUMMYFUNCTION("""COMPUTED_VALUE"""),"Willdordas Conde Dordas")</f>
        <v>Willdordas Conde Dordas</v>
      </c>
      <c r="C1395" s="1" t="str">
        <f>IFERROR(__xludf.DUMMYFUNCTION("""COMPUTED_VALUE"""),"Willdordas")</f>
        <v>Willdordas</v>
      </c>
      <c r="D1395" s="1" t="str">
        <f>IFERROR(__xludf.DUMMYFUNCTION("""COMPUTED_VALUE"""),"Conde Dordas")</f>
        <v>Conde Dordas</v>
      </c>
      <c r="E1395" s="1" t="str">
        <f>IFERROR(__xludf.DUMMYFUNCTION("""COMPUTED_VALUE"""),"Richardo Yao De Loreto tama")</f>
        <v>Richardo Yao De Loreto tama</v>
      </c>
      <c r="F1395" s="1">
        <f>IFERROR(__xludf.DUMMYFUNCTION("""COMPUTED_VALUE"""),1.0)</f>
        <v>1</v>
      </c>
      <c r="G1395" s="1" t="str">
        <f>IFERROR(__xludf.DUMMYFUNCTION("""COMPUTED_VALUE"""),"2 mos")</f>
        <v>2 mos</v>
      </c>
      <c r="H1395" s="1" t="str">
        <f>IFERROR(__xludf.DUMMYFUNCTION("""COMPUTED_VALUE"""),"reply")</f>
        <v>reply</v>
      </c>
      <c r="I1395" s="2" t="str">
        <f>IFERROR(__xludf.DUMMYFUNCTION("""COMPUTED_VALUE"""),"https://www.facebook.com/watch/?v=570590637273208")</f>
        <v>https://www.facebook.com/watch/?v=570590637273208</v>
      </c>
      <c r="J1395" s="1" t="str">
        <f>IFERROR(__xludf.DUMMYFUNCTION("""COMPUTED_VALUE"""),"2022-07-04T15:42:11.152Z")</f>
        <v>2022-07-04T15:42:11.152Z</v>
      </c>
      <c r="K1395" s="1"/>
    </row>
    <row r="1396">
      <c r="A1396" s="2" t="str">
        <f>IFERROR(__xludf.DUMMYFUNCTION("""COMPUTED_VALUE"""),"https://www.facebook.com/james.yodong")</f>
        <v>https://www.facebook.com/james.yodong</v>
      </c>
      <c r="B1396" s="1" t="str">
        <f>IFERROR(__xludf.DUMMYFUNCTION("""COMPUTED_VALUE"""),"James Yodong")</f>
        <v>James Yodong</v>
      </c>
      <c r="C1396" s="1" t="str">
        <f>IFERROR(__xludf.DUMMYFUNCTION("""COMPUTED_VALUE"""),"James")</f>
        <v>James</v>
      </c>
      <c r="D1396" s="1" t="str">
        <f>IFERROR(__xludf.DUMMYFUNCTION("""COMPUTED_VALUE"""),"Yodong")</f>
        <v>Yodong</v>
      </c>
      <c r="E1396" s="1" t="str">
        <f>IFERROR(__xludf.DUMMYFUNCTION("""COMPUTED_VALUE"""),"Richardo Yao De Loreto Tama ka makadiyos sa iyo pero makadiyos ba and taoñg nanghuhusga sÀ kapwa ganyan ka Rin cguro mapaghusga")</f>
        <v>Richardo Yao De Loreto Tama ka makadiyos sa iyo pero makadiyos ba and taoñg nanghuhusga sÀ kapwa ganyan ka Rin cguro mapaghusga</v>
      </c>
      <c r="F1396" s="1"/>
      <c r="G1396" s="1" t="str">
        <f>IFERROR(__xludf.DUMMYFUNCTION("""COMPUTED_VALUE"""),"2 mos")</f>
        <v>2 mos</v>
      </c>
      <c r="H1396" s="1" t="str">
        <f>IFERROR(__xludf.DUMMYFUNCTION("""COMPUTED_VALUE"""),"reply")</f>
        <v>reply</v>
      </c>
      <c r="I1396" s="2" t="str">
        <f>IFERROR(__xludf.DUMMYFUNCTION("""COMPUTED_VALUE"""),"https://www.facebook.com/watch/?v=570590637273208")</f>
        <v>https://www.facebook.com/watch/?v=570590637273208</v>
      </c>
      <c r="J1396" s="1" t="str">
        <f>IFERROR(__xludf.DUMMYFUNCTION("""COMPUTED_VALUE"""),"2022-07-04T15:42:11.152Z")</f>
        <v>2022-07-04T15:42:11.152Z</v>
      </c>
      <c r="K1396" s="1"/>
    </row>
    <row r="1397">
      <c r="A1397" s="2" t="str">
        <f>IFERROR(__xludf.DUMMYFUNCTION("""COMPUTED_VALUE"""),"https://www.facebook.com/profile.php?id=100007491668111")</f>
        <v>https://www.facebook.com/profile.php?id=100007491668111</v>
      </c>
      <c r="B1397" s="1" t="str">
        <f>IFERROR(__xludf.DUMMYFUNCTION("""COMPUTED_VALUE"""),"Ross Lind")</f>
        <v>Ross Lind</v>
      </c>
      <c r="C1397" s="1" t="str">
        <f>IFERROR(__xludf.DUMMYFUNCTION("""COMPUTED_VALUE"""),"Ross")</f>
        <v>Ross</v>
      </c>
      <c r="D1397" s="1" t="str">
        <f>IFERROR(__xludf.DUMMYFUNCTION("""COMPUTED_VALUE"""),"Lind")</f>
        <v>Lind</v>
      </c>
      <c r="E1397" s="1" t="str">
        <f>IFERROR(__xludf.DUMMYFUNCTION("""COMPUTED_VALUE"""),"God bless you Madam VP #LeniAngatSaLahat")</f>
        <v>God bless you Madam VP #LeniAngatSaLahat</v>
      </c>
      <c r="F1397" s="1">
        <f>IFERROR(__xludf.DUMMYFUNCTION("""COMPUTED_VALUE"""),35.0)</f>
        <v>35</v>
      </c>
      <c r="G1397" s="1" t="str">
        <f>IFERROR(__xludf.DUMMYFUNCTION("""COMPUTED_VALUE"""),"3 mos")</f>
        <v>3 mos</v>
      </c>
      <c r="H1397" s="1" t="str">
        <f>IFERROR(__xludf.DUMMYFUNCTION("""COMPUTED_VALUE"""),"comment")</f>
        <v>comment</v>
      </c>
      <c r="I1397" s="2" t="str">
        <f>IFERROR(__xludf.DUMMYFUNCTION("""COMPUTED_VALUE"""),"https://www.facebook.com/watch/?v=570590637273208")</f>
        <v>https://www.facebook.com/watch/?v=570590637273208</v>
      </c>
      <c r="J1397" s="1" t="str">
        <f>IFERROR(__xludf.DUMMYFUNCTION("""COMPUTED_VALUE"""),"2022-07-04T15:42:11.152Z")</f>
        <v>2022-07-04T15:42:11.152Z</v>
      </c>
      <c r="K1397" s="1"/>
    </row>
    <row r="1398">
      <c r="A1398" s="2" t="str">
        <f>IFERROR(__xludf.DUMMYFUNCTION("""COMPUTED_VALUE"""),"https://www.facebook.com/pensylvania.eightythree")</f>
        <v>https://www.facebook.com/pensylvania.eightythree</v>
      </c>
      <c r="B1398" s="1" t="str">
        <f>IFERROR(__xludf.DUMMYFUNCTION("""COMPUTED_VALUE"""),"Pensylvania Eighty-three")</f>
        <v>Pensylvania Eighty-three</v>
      </c>
      <c r="C1398" s="1" t="str">
        <f>IFERROR(__xludf.DUMMYFUNCTION("""COMPUTED_VALUE"""),"Pensylvania")</f>
        <v>Pensylvania</v>
      </c>
      <c r="D1398" s="1" t="str">
        <f>IFERROR(__xludf.DUMMYFUNCTION("""COMPUTED_VALUE"""),"Eighty-three")</f>
        <v>Eighty-three</v>
      </c>
      <c r="E1398" s="1" t="str">
        <f>IFERROR(__xludf.DUMMYFUNCTION("""COMPUTED_VALUE"""),"100 PERCENT MANALO SI BBMSARAH WALANG KOKONTRA CONGRATS GOD BLESS")</f>
        <v>100 PERCENT MANALO SI BBMSARAH WALANG KOKONTRA CONGRATS GOD BLESS</v>
      </c>
      <c r="F1398" s="1">
        <f>IFERROR(__xludf.DUMMYFUNCTION("""COMPUTED_VALUE"""),8.0)</f>
        <v>8</v>
      </c>
      <c r="G1398" s="1" t="str">
        <f>IFERROR(__xludf.DUMMYFUNCTION("""COMPUTED_VALUE"""),"3 mos")</f>
        <v>3 mos</v>
      </c>
      <c r="H1398" s="1" t="str">
        <f>IFERROR(__xludf.DUMMYFUNCTION("""COMPUTED_VALUE"""),"comment")</f>
        <v>comment</v>
      </c>
      <c r="I1398" s="2" t="str">
        <f>IFERROR(__xludf.DUMMYFUNCTION("""COMPUTED_VALUE"""),"https://www.facebook.com/watch/?v=570590637273208")</f>
        <v>https://www.facebook.com/watch/?v=570590637273208</v>
      </c>
      <c r="J1398" s="1" t="str">
        <f>IFERROR(__xludf.DUMMYFUNCTION("""COMPUTED_VALUE"""),"2022-07-04T15:42:11.152Z")</f>
        <v>2022-07-04T15:42:11.152Z</v>
      </c>
      <c r="K1398" s="1"/>
    </row>
    <row r="1399">
      <c r="A1399" s="2" t="str">
        <f>IFERROR(__xludf.DUMMYFUNCTION("""COMPUTED_VALUE"""),"https://www.facebook.com/sedfrey.canizares")</f>
        <v>https://www.facebook.com/sedfrey.canizares</v>
      </c>
      <c r="B1399" s="1" t="str">
        <f>IFERROR(__xludf.DUMMYFUNCTION("""COMPUTED_VALUE"""),"GearKid Ferolino")</f>
        <v>GearKid Ferolino</v>
      </c>
      <c r="C1399" s="1" t="str">
        <f>IFERROR(__xludf.DUMMYFUNCTION("""COMPUTED_VALUE"""),"GearKid")</f>
        <v>GearKid</v>
      </c>
      <c r="D1399" s="1" t="str">
        <f>IFERROR(__xludf.DUMMYFUNCTION("""COMPUTED_VALUE"""),"Ferolino")</f>
        <v>Ferolino</v>
      </c>
      <c r="E1399" s="1" t="str">
        <f>IFERROR(__xludf.DUMMYFUNCTION("""COMPUTED_VALUE"""),"Pensylvania Eighty-three ano ba nagawa ng LBM mo? Kokontra ako kasi kailangan mag isip")</f>
        <v>Pensylvania Eighty-three ano ba nagawa ng LBM mo? Kokontra ako kasi kailangan mag isip</v>
      </c>
      <c r="F1399" s="1">
        <f>IFERROR(__xludf.DUMMYFUNCTION("""COMPUTED_VALUE"""),1.0)</f>
        <v>1</v>
      </c>
      <c r="G1399" s="1" t="str">
        <f>IFERROR(__xludf.DUMMYFUNCTION("""COMPUTED_VALUE"""),"3 mos")</f>
        <v>3 mos</v>
      </c>
      <c r="H1399" s="1" t="str">
        <f>IFERROR(__xludf.DUMMYFUNCTION("""COMPUTED_VALUE"""),"reply")</f>
        <v>reply</v>
      </c>
      <c r="I1399" s="2" t="str">
        <f>IFERROR(__xludf.DUMMYFUNCTION("""COMPUTED_VALUE"""),"https://www.facebook.com/watch/?v=570590637273208")</f>
        <v>https://www.facebook.com/watch/?v=570590637273208</v>
      </c>
      <c r="J1399" s="1" t="str">
        <f>IFERROR(__xludf.DUMMYFUNCTION("""COMPUTED_VALUE"""),"2022-07-04T15:42:11.152Z")</f>
        <v>2022-07-04T15:42:11.152Z</v>
      </c>
      <c r="K1399" s="1"/>
    </row>
    <row r="1400">
      <c r="A1400" s="2" t="str">
        <f>IFERROR(__xludf.DUMMYFUNCTION("""COMPUTED_VALUE"""),"https://www.facebook.com/eunicemay.bbe")</f>
        <v>https://www.facebook.com/eunicemay.bbe</v>
      </c>
      <c r="B1400" s="1" t="str">
        <f>IFERROR(__xludf.DUMMYFUNCTION("""COMPUTED_VALUE"""),"Eunice May")</f>
        <v>Eunice May</v>
      </c>
      <c r="C1400" s="1" t="str">
        <f>IFERROR(__xludf.DUMMYFUNCTION("""COMPUTED_VALUE"""),"Eunice")</f>
        <v>Eunice</v>
      </c>
      <c r="D1400" s="1" t="str">
        <f>IFERROR(__xludf.DUMMYFUNCTION("""COMPUTED_VALUE"""),"May")</f>
        <v>May</v>
      </c>
      <c r="E1400" s="1" t="str">
        <f>IFERROR(__xludf.DUMMYFUNCTION("""COMPUTED_VALUE"""),"Pensylvania Eighty-three wala man komokontra🤣🤣🤣")</f>
        <v>Pensylvania Eighty-three wala man komokontra🤣🤣🤣</v>
      </c>
      <c r="F1400" s="1"/>
      <c r="G1400" s="1" t="str">
        <f>IFERROR(__xludf.DUMMYFUNCTION("""COMPUTED_VALUE"""),"3 mos")</f>
        <v>3 mos</v>
      </c>
      <c r="H1400" s="1" t="str">
        <f>IFERROR(__xludf.DUMMYFUNCTION("""COMPUTED_VALUE"""),"reply")</f>
        <v>reply</v>
      </c>
      <c r="I1400" s="2" t="str">
        <f>IFERROR(__xludf.DUMMYFUNCTION("""COMPUTED_VALUE"""),"https://www.facebook.com/watch/?v=570590637273208")</f>
        <v>https://www.facebook.com/watch/?v=570590637273208</v>
      </c>
      <c r="J1400" s="1" t="str">
        <f>IFERROR(__xludf.DUMMYFUNCTION("""COMPUTED_VALUE"""),"2022-07-04T15:42:11.152Z")</f>
        <v>2022-07-04T15:42:11.152Z</v>
      </c>
      <c r="K1400" s="1"/>
    </row>
    <row r="1401">
      <c r="A1401" s="2" t="str">
        <f>IFERROR(__xludf.DUMMYFUNCTION("""COMPUTED_VALUE"""),"https://www.facebook.com/Aga0129")</f>
        <v>https://www.facebook.com/Aga0129</v>
      </c>
      <c r="B1401" s="1" t="str">
        <f>IFERROR(__xludf.DUMMYFUNCTION("""COMPUTED_VALUE"""),"Louie Escueta San Juan")</f>
        <v>Louie Escueta San Juan</v>
      </c>
      <c r="C1401" s="1" t="str">
        <f>IFERROR(__xludf.DUMMYFUNCTION("""COMPUTED_VALUE"""),"Louie")</f>
        <v>Louie</v>
      </c>
      <c r="D1401" s="1" t="str">
        <f>IFERROR(__xludf.DUMMYFUNCTION("""COMPUTED_VALUE"""),"Escueta San Juan")</f>
        <v>Escueta San Juan</v>
      </c>
      <c r="E1401" s="1" t="str">
        <f>IFERROR(__xludf.DUMMYFUNCTION("""COMPUTED_VALUE"""),"GearKid FerolinoGearKid Ferolino nag iisip kaba,baka nakalutang narin kayo,,,😂😂😂😂😂😂😂😂😂😂😂")</f>
        <v>GearKid FerolinoGearKid Ferolino nag iisip kaba,baka nakalutang narin kayo,,,😂😂😂😂😂😂😂😂😂😂😂</v>
      </c>
      <c r="F1401" s="1"/>
      <c r="G1401" s="1" t="str">
        <f>IFERROR(__xludf.DUMMYFUNCTION("""COMPUTED_VALUE"""),"3 mos")</f>
        <v>3 mos</v>
      </c>
      <c r="H1401" s="1" t="str">
        <f>IFERROR(__xludf.DUMMYFUNCTION("""COMPUTED_VALUE"""),"reply")</f>
        <v>reply</v>
      </c>
      <c r="I1401" s="2" t="str">
        <f>IFERROR(__xludf.DUMMYFUNCTION("""COMPUTED_VALUE"""),"https://www.facebook.com/watch/?v=570590637273208")</f>
        <v>https://www.facebook.com/watch/?v=570590637273208</v>
      </c>
      <c r="J1401" s="1" t="str">
        <f>IFERROR(__xludf.DUMMYFUNCTION("""COMPUTED_VALUE"""),"2022-07-04T15:42:11.152Z")</f>
        <v>2022-07-04T15:42:11.152Z</v>
      </c>
      <c r="K1401" s="1"/>
    </row>
    <row r="1402">
      <c r="A1402" s="2" t="str">
        <f>IFERROR(__xludf.DUMMYFUNCTION("""COMPUTED_VALUE"""),"https://www.facebook.com/gil.d.berino")</f>
        <v>https://www.facebook.com/gil.d.berino</v>
      </c>
      <c r="B1402" s="1" t="str">
        <f>IFERROR(__xludf.DUMMYFUNCTION("""COMPUTED_VALUE"""),"Dindo Ocampo Berino")</f>
        <v>Dindo Ocampo Berino</v>
      </c>
      <c r="C1402" s="1" t="str">
        <f>IFERROR(__xludf.DUMMYFUNCTION("""COMPUTED_VALUE"""),"Dindo")</f>
        <v>Dindo</v>
      </c>
      <c r="D1402" s="1" t="str">
        <f>IFERROR(__xludf.DUMMYFUNCTION("""COMPUTED_VALUE"""),"Ocampo Berino")</f>
        <v>Ocampo Berino</v>
      </c>
      <c r="E1402" s="1" t="str">
        <f>IFERROR(__xludf.DUMMYFUNCTION("""COMPUTED_VALUE"""),"#GobyernongTapatParaSaLahat  #lenikiko22")</f>
        <v>#GobyernongTapatParaSaLahat  #lenikiko22</v>
      </c>
      <c r="F1402" s="1">
        <f>IFERROR(__xludf.DUMMYFUNCTION("""COMPUTED_VALUE"""),23.0)</f>
        <v>23</v>
      </c>
      <c r="G1402" s="1" t="str">
        <f>IFERROR(__xludf.DUMMYFUNCTION("""COMPUTED_VALUE"""),"3 mos")</f>
        <v>3 mos</v>
      </c>
      <c r="H1402" s="1" t="str">
        <f>IFERROR(__xludf.DUMMYFUNCTION("""COMPUTED_VALUE"""),"comment")</f>
        <v>comment</v>
      </c>
      <c r="I1402" s="2" t="str">
        <f>IFERROR(__xludf.DUMMYFUNCTION("""COMPUTED_VALUE"""),"https://www.facebook.com/watch/?v=570590637273208")</f>
        <v>https://www.facebook.com/watch/?v=570590637273208</v>
      </c>
      <c r="J1402" s="1" t="str">
        <f>IFERROR(__xludf.DUMMYFUNCTION("""COMPUTED_VALUE"""),"2022-07-04T15:42:11.152Z")</f>
        <v>2022-07-04T15:42:11.152Z</v>
      </c>
      <c r="K1402" s="1"/>
    </row>
    <row r="1403">
      <c r="A1403" s="2" t="str">
        <f>IFERROR(__xludf.DUMMYFUNCTION("""COMPUTED_VALUE"""),"https://www.facebook.com/juliedcpacheco")</f>
        <v>https://www.facebook.com/juliedcpacheco</v>
      </c>
      <c r="B1403" s="1" t="str">
        <f>IFERROR(__xludf.DUMMYFUNCTION("""COMPUTED_VALUE"""),"Julie dela Cruz")</f>
        <v>Julie dela Cruz</v>
      </c>
      <c r="C1403" s="1" t="str">
        <f>IFERROR(__xludf.DUMMYFUNCTION("""COMPUTED_VALUE"""),"Julie")</f>
        <v>Julie</v>
      </c>
      <c r="D1403" s="1" t="str">
        <f>IFERROR(__xludf.DUMMYFUNCTION("""COMPUTED_VALUE"""),"dela Cruz")</f>
        <v>dela Cruz</v>
      </c>
      <c r="E1403" s="1" t="str">
        <f>IFERROR(__xludf.DUMMYFUNCTION("""COMPUTED_VALUE"""),"PHILIPPINES WILL NEVER BE THE SAME  AGAIN .  🇵🇭🇵🇭🇵🇭❤️❤️❤️💚💚💚💚👊👊 AKO AY PILIPINO TAAS NOO KAHIT KANINO...")</f>
        <v>PHILIPPINES WILL NEVER BE THE SAME  AGAIN .  🇵🇭🇵🇭🇵🇭❤️❤️❤️💚💚💚💚👊👊 AKO AY PILIPINO TAAS NOO KAHIT KANINO...</v>
      </c>
      <c r="F1403" s="1">
        <f>IFERROR(__xludf.DUMMYFUNCTION("""COMPUTED_VALUE"""),28.0)</f>
        <v>28</v>
      </c>
      <c r="G1403" s="1" t="str">
        <f>IFERROR(__xludf.DUMMYFUNCTION("""COMPUTED_VALUE"""),"3 mos")</f>
        <v>3 mos</v>
      </c>
      <c r="H1403" s="1" t="str">
        <f>IFERROR(__xludf.DUMMYFUNCTION("""COMPUTED_VALUE"""),"comment")</f>
        <v>comment</v>
      </c>
      <c r="I1403" s="2" t="str">
        <f>IFERROR(__xludf.DUMMYFUNCTION("""COMPUTED_VALUE"""),"https://www.facebook.com/watch/?v=570590637273208")</f>
        <v>https://www.facebook.com/watch/?v=570590637273208</v>
      </c>
      <c r="J1403" s="1" t="str">
        <f>IFERROR(__xludf.DUMMYFUNCTION("""COMPUTED_VALUE"""),"2022-07-04T15:42:11.152Z")</f>
        <v>2022-07-04T15:42:11.152Z</v>
      </c>
      <c r="K1403" s="1"/>
    </row>
    <row r="1404">
      <c r="A1404" s="2" t="str">
        <f>IFERROR(__xludf.DUMMYFUNCTION("""COMPUTED_VALUE"""),"https://www.facebook.com/alex.jaylo.7")</f>
        <v>https://www.facebook.com/alex.jaylo.7</v>
      </c>
      <c r="B1404" s="1" t="str">
        <f>IFERROR(__xludf.DUMMYFUNCTION("""COMPUTED_VALUE"""),"Alexander Carizon Jaylo")</f>
        <v>Alexander Carizon Jaylo</v>
      </c>
      <c r="C1404" s="1" t="str">
        <f>IFERROR(__xludf.DUMMYFUNCTION("""COMPUTED_VALUE"""),"Alexander")</f>
        <v>Alexander</v>
      </c>
      <c r="D1404" s="1" t="str">
        <f>IFERROR(__xludf.DUMMYFUNCTION("""COMPUTED_VALUE"""),"Carizon Jaylo")</f>
        <v>Carizon Jaylo</v>
      </c>
      <c r="E1404" s="1" t="str">
        <f>IFERROR(__xludf.DUMMYFUNCTION("""COMPUTED_VALUE"""),"Julie Dela Cruz Pacheco Taas nuo itapon ba naman ang facemask sa likod nya.🤣🤣✌️✌️")</f>
        <v>Julie Dela Cruz Pacheco Taas nuo itapon ba naman ang facemask sa likod nya.🤣🤣✌️✌️</v>
      </c>
      <c r="F1404" s="1"/>
      <c r="G1404" s="1" t="str">
        <f>IFERROR(__xludf.DUMMYFUNCTION("""COMPUTED_VALUE"""),"3 mos")</f>
        <v>3 mos</v>
      </c>
      <c r="H1404" s="1" t="str">
        <f>IFERROR(__xludf.DUMMYFUNCTION("""COMPUTED_VALUE"""),"reply")</f>
        <v>reply</v>
      </c>
      <c r="I1404" s="2" t="str">
        <f>IFERROR(__xludf.DUMMYFUNCTION("""COMPUTED_VALUE"""),"https://www.facebook.com/watch/?v=570590637273208")</f>
        <v>https://www.facebook.com/watch/?v=570590637273208</v>
      </c>
      <c r="J1404" s="1" t="str">
        <f>IFERROR(__xludf.DUMMYFUNCTION("""COMPUTED_VALUE"""),"2022-07-04T15:42:11.152Z")</f>
        <v>2022-07-04T15:42:11.152Z</v>
      </c>
      <c r="K1404" s="1"/>
    </row>
    <row r="1405">
      <c r="A1405" s="2" t="str">
        <f>IFERROR(__xludf.DUMMYFUNCTION("""COMPUTED_VALUE"""),"https://www.facebook.com/ronski.alde")</f>
        <v>https://www.facebook.com/ronski.alde</v>
      </c>
      <c r="B1405" s="1" t="str">
        <f>IFERROR(__xludf.DUMMYFUNCTION("""COMPUTED_VALUE"""),"Ronski Alde")</f>
        <v>Ronski Alde</v>
      </c>
      <c r="C1405" s="1" t="str">
        <f>IFERROR(__xludf.DUMMYFUNCTION("""COMPUTED_VALUE"""),"Ronski")</f>
        <v>Ronski</v>
      </c>
      <c r="D1405" s="1" t="str">
        <f>IFERROR(__xludf.DUMMYFUNCTION("""COMPUTED_VALUE"""),"Alde")</f>
        <v>Alde</v>
      </c>
      <c r="E1405" s="1" t="str">
        <f>IFERROR(__xludf.DUMMYFUNCTION("""COMPUTED_VALUE"""),"Julie Dela Cruz Pacheco tama ka kabayan, wag tayo MAGPAPABUDOL kahit kanino dahil tayo tayo at PILIPINO")</f>
        <v>Julie Dela Cruz Pacheco tama ka kabayan, wag tayo MAGPAPABUDOL kahit kanino dahil tayo tayo at PILIPINO</v>
      </c>
      <c r="F1405" s="1">
        <f>IFERROR(__xludf.DUMMYFUNCTION("""COMPUTED_VALUE"""),1.0)</f>
        <v>1</v>
      </c>
      <c r="G1405" s="1" t="str">
        <f>IFERROR(__xludf.DUMMYFUNCTION("""COMPUTED_VALUE"""),"3 mos")</f>
        <v>3 mos</v>
      </c>
      <c r="H1405" s="1" t="str">
        <f>IFERROR(__xludf.DUMMYFUNCTION("""COMPUTED_VALUE"""),"reply")</f>
        <v>reply</v>
      </c>
      <c r="I1405" s="2" t="str">
        <f>IFERROR(__xludf.DUMMYFUNCTION("""COMPUTED_VALUE"""),"https://www.facebook.com/watch/?v=570590637273208")</f>
        <v>https://www.facebook.com/watch/?v=570590637273208</v>
      </c>
      <c r="J1405" s="1" t="str">
        <f>IFERROR(__xludf.DUMMYFUNCTION("""COMPUTED_VALUE"""),"2022-07-04T15:42:11.152Z")</f>
        <v>2022-07-04T15:42:11.152Z</v>
      </c>
      <c r="K1405" s="1"/>
    </row>
    <row r="1406">
      <c r="A1406" s="2" t="str">
        <f>IFERROR(__xludf.DUMMYFUNCTION("""COMPUTED_VALUE"""),"https://www.facebook.com/jennifer.zafra.1")</f>
        <v>https://www.facebook.com/jennifer.zafra.1</v>
      </c>
      <c r="B1406" s="1" t="str">
        <f>IFERROR(__xludf.DUMMYFUNCTION("""COMPUTED_VALUE"""),"Jeo Aquino")</f>
        <v>Jeo Aquino</v>
      </c>
      <c r="C1406" s="1" t="str">
        <f>IFERROR(__xludf.DUMMYFUNCTION("""COMPUTED_VALUE"""),"Jeo")</f>
        <v>Jeo</v>
      </c>
      <c r="D1406" s="1" t="str">
        <f>IFERROR(__xludf.DUMMYFUNCTION("""COMPUTED_VALUE"""),"Aquino")</f>
        <v>Aquino</v>
      </c>
      <c r="E1406" s="1" t="str">
        <f>IFERROR(__xludf.DUMMYFUNCTION("""COMPUTED_VALUE"""),"Julie Dela Cruz Pacheco pero pg debate tago😅😅😅")</f>
        <v>Julie Dela Cruz Pacheco pero pg debate tago😅😅😅</v>
      </c>
      <c r="F1406" s="1"/>
      <c r="G1406" s="1" t="str">
        <f>IFERROR(__xludf.DUMMYFUNCTION("""COMPUTED_VALUE"""),"3 mos")</f>
        <v>3 mos</v>
      </c>
      <c r="H1406" s="1" t="str">
        <f>IFERROR(__xludf.DUMMYFUNCTION("""COMPUTED_VALUE"""),"reply")</f>
        <v>reply</v>
      </c>
      <c r="I1406" s="2" t="str">
        <f>IFERROR(__xludf.DUMMYFUNCTION("""COMPUTED_VALUE"""),"https://www.facebook.com/watch/?v=570590637273208")</f>
        <v>https://www.facebook.com/watch/?v=570590637273208</v>
      </c>
      <c r="J1406" s="1" t="str">
        <f>IFERROR(__xludf.DUMMYFUNCTION("""COMPUTED_VALUE"""),"2022-07-04T15:42:11.152Z")</f>
        <v>2022-07-04T15:42:11.152Z</v>
      </c>
      <c r="K1406" s="1"/>
    </row>
    <row r="1407">
      <c r="A1407" s="2" t="str">
        <f>IFERROR(__xludf.DUMMYFUNCTION("""COMPUTED_VALUE"""),"https://www.facebook.com/indiping.cosmetic")</f>
        <v>https://www.facebook.com/indiping.cosmetic</v>
      </c>
      <c r="B1407" s="1" t="str">
        <f>IFERROR(__xludf.DUMMYFUNCTION("""COMPUTED_VALUE"""),"Romeo Charlie Delta")</f>
        <v>Romeo Charlie Delta</v>
      </c>
      <c r="C1407" s="1" t="str">
        <f>IFERROR(__xludf.DUMMYFUNCTION("""COMPUTED_VALUE"""),"Romeo")</f>
        <v>Romeo</v>
      </c>
      <c r="D1407" s="1" t="str">
        <f>IFERROR(__xludf.DUMMYFUNCTION("""COMPUTED_VALUE"""),"Charlie Delta")</f>
        <v>Charlie Delta</v>
      </c>
      <c r="E1407" s="1" t="str">
        <f>IFERROR(__xludf.DUMMYFUNCTION("""COMPUTED_VALUE"""),"Julie Dela Cruz Pacheco bawal ka dito")</f>
        <v>Julie Dela Cruz Pacheco bawal ka dito</v>
      </c>
      <c r="F1407" s="1">
        <f>IFERROR(__xludf.DUMMYFUNCTION("""COMPUTED_VALUE"""),1.0)</f>
        <v>1</v>
      </c>
      <c r="G1407" s="1" t="str">
        <f>IFERROR(__xludf.DUMMYFUNCTION("""COMPUTED_VALUE"""),"3 mos")</f>
        <v>3 mos</v>
      </c>
      <c r="H1407" s="1" t="str">
        <f>IFERROR(__xludf.DUMMYFUNCTION("""COMPUTED_VALUE"""),"reply")</f>
        <v>reply</v>
      </c>
      <c r="I1407" s="2" t="str">
        <f>IFERROR(__xludf.DUMMYFUNCTION("""COMPUTED_VALUE"""),"https://www.facebook.com/watch/?v=570590637273208")</f>
        <v>https://www.facebook.com/watch/?v=570590637273208</v>
      </c>
      <c r="J1407" s="1" t="str">
        <f>IFERROR(__xludf.DUMMYFUNCTION("""COMPUTED_VALUE"""),"2022-07-04T15:42:11.152Z")</f>
        <v>2022-07-04T15:42:11.152Z</v>
      </c>
      <c r="K1407" s="1"/>
    </row>
    <row r="1408">
      <c r="A1408" s="2" t="str">
        <f>IFERROR(__xludf.DUMMYFUNCTION("""COMPUTED_VALUE"""),"https://www.facebook.com/emily.ananda.3")</f>
        <v>https://www.facebook.com/emily.ananda.3</v>
      </c>
      <c r="B1408" s="1" t="str">
        <f>IFERROR(__xludf.DUMMYFUNCTION("""COMPUTED_VALUE"""),"Emily Ananda")</f>
        <v>Emily Ananda</v>
      </c>
      <c r="C1408" s="1" t="str">
        <f>IFERROR(__xludf.DUMMYFUNCTION("""COMPUTED_VALUE"""),"Emily")</f>
        <v>Emily</v>
      </c>
      <c r="D1408" s="1" t="str">
        <f>IFERROR(__xludf.DUMMYFUNCTION("""COMPUTED_VALUE"""),"Ananda")</f>
        <v>Ananda</v>
      </c>
      <c r="E1408" s="1" t="str">
        <f>IFERROR(__xludf.DUMMYFUNCTION("""COMPUTED_VALUE"""),"#NuevaEcijaIsPink Dumayo ako sa Cabanatuan mula sa Angeles para sumuporta sa RpcNuevaEcija at para mapakinggan ang plataporma ni VPLeni ng Personal.. muli akong Pupunta sa April 9, dito sa amin sa Pampanga🌸🌸🌸🌸🌸🌸🌸🌸")</f>
        <v>#NuevaEcijaIsPink Dumayo ako sa Cabanatuan mula sa Angeles para sumuporta sa RpcNuevaEcija at para mapakinggan ang plataporma ni VPLeni ng Personal.. muli akong Pupunta sa April 9, dito sa amin sa Pampanga🌸🌸🌸🌸🌸🌸🌸🌸</v>
      </c>
      <c r="F1408" s="1">
        <f>IFERROR(__xludf.DUMMYFUNCTION("""COMPUTED_VALUE"""),72.0)</f>
        <v>72</v>
      </c>
      <c r="G1408" s="1" t="str">
        <f>IFERROR(__xludf.DUMMYFUNCTION("""COMPUTED_VALUE"""),"3 mos")</f>
        <v>3 mos</v>
      </c>
      <c r="H1408" s="1" t="str">
        <f>IFERROR(__xludf.DUMMYFUNCTION("""COMPUTED_VALUE"""),"comment")</f>
        <v>comment</v>
      </c>
      <c r="I1408" s="2" t="str">
        <f>IFERROR(__xludf.DUMMYFUNCTION("""COMPUTED_VALUE"""),"https://www.facebook.com/watch/?v=570590637273208")</f>
        <v>https://www.facebook.com/watch/?v=570590637273208</v>
      </c>
      <c r="J1408" s="1" t="str">
        <f>IFERROR(__xludf.DUMMYFUNCTION("""COMPUTED_VALUE"""),"2022-07-04T15:42:11.152Z")</f>
        <v>2022-07-04T15:42:11.152Z</v>
      </c>
      <c r="K1408" s="1"/>
    </row>
    <row r="1409">
      <c r="A1409" s="2" t="str">
        <f>IFERROR(__xludf.DUMMYFUNCTION("""COMPUTED_VALUE"""),"https://www.facebook.com/buday.7777777")</f>
        <v>https://www.facebook.com/buday.7777777</v>
      </c>
      <c r="B1409" s="1" t="str">
        <f>IFERROR(__xludf.DUMMYFUNCTION("""COMPUTED_VALUE"""),"Kim Kim")</f>
        <v>Kim Kim</v>
      </c>
      <c r="C1409" s="1" t="str">
        <f>IFERROR(__xludf.DUMMYFUNCTION("""COMPUTED_VALUE"""),"Kim")</f>
        <v>Kim</v>
      </c>
      <c r="D1409" s="1" t="str">
        <f>IFERROR(__xludf.DUMMYFUNCTION("""COMPUTED_VALUE"""),"Kim")</f>
        <v>Kim</v>
      </c>
      <c r="E1409" s="1" t="str">
        <f>IFERROR(__xludf.DUMMYFUNCTION("""COMPUTED_VALUE"""),"Emily Ananda salamat po sa supporta . Naway talonin ng Pampanga Ang Nueva Ecija sa #OlymPinks")</f>
        <v>Emily Ananda salamat po sa supporta . Naway talonin ng Pampanga Ang Nueva Ecija sa #OlymPinks</v>
      </c>
      <c r="F1409" s="1">
        <f>IFERROR(__xludf.DUMMYFUNCTION("""COMPUTED_VALUE"""),1.0)</f>
        <v>1</v>
      </c>
      <c r="G1409" s="1" t="str">
        <f>IFERROR(__xludf.DUMMYFUNCTION("""COMPUTED_VALUE"""),"3 mos")</f>
        <v>3 mos</v>
      </c>
      <c r="H1409" s="1" t="str">
        <f>IFERROR(__xludf.DUMMYFUNCTION("""COMPUTED_VALUE"""),"reply")</f>
        <v>reply</v>
      </c>
      <c r="I1409" s="2" t="str">
        <f>IFERROR(__xludf.DUMMYFUNCTION("""COMPUTED_VALUE"""),"https://www.facebook.com/watch/?v=570590637273208")</f>
        <v>https://www.facebook.com/watch/?v=570590637273208</v>
      </c>
      <c r="J1409" s="1" t="str">
        <f>IFERROR(__xludf.DUMMYFUNCTION("""COMPUTED_VALUE"""),"2022-07-04T15:42:11.152Z")</f>
        <v>2022-07-04T15:42:11.152Z</v>
      </c>
      <c r="K1409" s="1"/>
    </row>
    <row r="1410">
      <c r="A1410" s="2" t="str">
        <f>IFERROR(__xludf.DUMMYFUNCTION("""COMPUTED_VALUE"""),"https://www.facebook.com/profile.php?id=100076467948562")</f>
        <v>https://www.facebook.com/profile.php?id=100076467948562</v>
      </c>
      <c r="B1410" s="1" t="str">
        <f>IFERROR(__xludf.DUMMYFUNCTION("""COMPUTED_VALUE"""),"Ruen Eneria")</f>
        <v>Ruen Eneria</v>
      </c>
      <c r="C1410" s="1" t="str">
        <f>IFERROR(__xludf.DUMMYFUNCTION("""COMPUTED_VALUE"""),"Ruen")</f>
        <v>Ruen</v>
      </c>
      <c r="D1410" s="1" t="str">
        <f>IFERROR(__xludf.DUMMYFUNCTION("""COMPUTED_VALUE"""),"Eneria")</f>
        <v>Eneria</v>
      </c>
      <c r="E1410" s="1" t="str">
        <f>IFERROR(__xludf.DUMMYFUNCTION("""COMPUTED_VALUE"""),"Emily Ananda aminin m m hakot k hahaha")</f>
        <v>Emily Ananda aminin m m hakot k hahaha</v>
      </c>
      <c r="F1410" s="1">
        <f>IFERROR(__xludf.DUMMYFUNCTION("""COMPUTED_VALUE"""),4.0)</f>
        <v>4</v>
      </c>
      <c r="G1410" s="1" t="str">
        <f>IFERROR(__xludf.DUMMYFUNCTION("""COMPUTED_VALUE"""),"3 mos")</f>
        <v>3 mos</v>
      </c>
      <c r="H1410" s="1" t="str">
        <f>IFERROR(__xludf.DUMMYFUNCTION("""COMPUTED_VALUE"""),"reply")</f>
        <v>reply</v>
      </c>
      <c r="I1410" s="2" t="str">
        <f>IFERROR(__xludf.DUMMYFUNCTION("""COMPUTED_VALUE"""),"https://www.facebook.com/watch/?v=570590637273208")</f>
        <v>https://www.facebook.com/watch/?v=570590637273208</v>
      </c>
      <c r="J1410" s="1" t="str">
        <f>IFERROR(__xludf.DUMMYFUNCTION("""COMPUTED_VALUE"""),"2022-07-04T15:42:11.152Z")</f>
        <v>2022-07-04T15:42:11.152Z</v>
      </c>
      <c r="K1410" s="1"/>
    </row>
    <row r="1411">
      <c r="A1411" s="2" t="str">
        <f>IFERROR(__xludf.DUMMYFUNCTION("""COMPUTED_VALUE"""),"https://www.facebook.com/joeynatallo")</f>
        <v>https://www.facebook.com/joeynatallo</v>
      </c>
      <c r="B1411" s="1" t="str">
        <f>IFERROR(__xludf.DUMMYFUNCTION("""COMPUTED_VALUE"""),"Joey Natallo")</f>
        <v>Joey Natallo</v>
      </c>
      <c r="C1411" s="1" t="str">
        <f>IFERROR(__xludf.DUMMYFUNCTION("""COMPUTED_VALUE"""),"Joey")</f>
        <v>Joey</v>
      </c>
      <c r="D1411" s="1" t="str">
        <f>IFERROR(__xludf.DUMMYFUNCTION("""COMPUTED_VALUE"""),"Natallo")</f>
        <v>Natallo</v>
      </c>
      <c r="E1411" s="1" t="str">
        <f>IFERROR(__xludf.DUMMYFUNCTION("""COMPUTED_VALUE"""),"Ruen Eneria  Wag ka na maingay jan umamin na yung tao!")</f>
        <v>Ruen Eneria  Wag ka na maingay jan umamin na yung tao!</v>
      </c>
      <c r="F1411" s="1">
        <f>IFERROR(__xludf.DUMMYFUNCTION("""COMPUTED_VALUE"""),2.0)</f>
        <v>2</v>
      </c>
      <c r="G1411" s="1" t="str">
        <f>IFERROR(__xludf.DUMMYFUNCTION("""COMPUTED_VALUE"""),"3 mos")</f>
        <v>3 mos</v>
      </c>
      <c r="H1411" s="1" t="str">
        <f>IFERROR(__xludf.DUMMYFUNCTION("""COMPUTED_VALUE"""),"reply")</f>
        <v>reply</v>
      </c>
      <c r="I1411" s="2" t="str">
        <f>IFERROR(__xludf.DUMMYFUNCTION("""COMPUTED_VALUE"""),"https://www.facebook.com/watch/?v=570590637273208")</f>
        <v>https://www.facebook.com/watch/?v=570590637273208</v>
      </c>
      <c r="J1411" s="1" t="str">
        <f>IFERROR(__xludf.DUMMYFUNCTION("""COMPUTED_VALUE"""),"2022-07-04T15:42:11.152Z")</f>
        <v>2022-07-04T15:42:11.152Z</v>
      </c>
      <c r="K1411" s="1"/>
    </row>
    <row r="1412">
      <c r="A1412" s="2" t="str">
        <f>IFERROR(__xludf.DUMMYFUNCTION("""COMPUTED_VALUE"""),"https://www.facebook.com/emily.ananda.3")</f>
        <v>https://www.facebook.com/emily.ananda.3</v>
      </c>
      <c r="B1412" s="1" t="str">
        <f>IFERROR(__xludf.DUMMYFUNCTION("""COMPUTED_VALUE"""),"Emily Ananda")</f>
        <v>Emily Ananda</v>
      </c>
      <c r="C1412" s="1" t="str">
        <f>IFERROR(__xludf.DUMMYFUNCTION("""COMPUTED_VALUE"""),"Emily")</f>
        <v>Emily</v>
      </c>
      <c r="D1412" s="1" t="str">
        <f>IFERROR(__xludf.DUMMYFUNCTION("""COMPUTED_VALUE"""),"Ananda")</f>
        <v>Ananda</v>
      </c>
      <c r="E1412" s="1" t="str">
        <f>IFERROR(__xludf.DUMMYFUNCTION("""COMPUTED_VALUE"""),"Ruen Eneria excuse me!!! Kayo ang naghahakot☺️hindi kami ah..")</f>
        <v>Ruen Eneria excuse me!!! Kayo ang naghahakot☺️hindi kami ah..</v>
      </c>
      <c r="F1412" s="1">
        <f>IFERROR(__xludf.DUMMYFUNCTION("""COMPUTED_VALUE"""),3.0)</f>
        <v>3</v>
      </c>
      <c r="G1412" s="1" t="str">
        <f>IFERROR(__xludf.DUMMYFUNCTION("""COMPUTED_VALUE"""),"3 mos")</f>
        <v>3 mos</v>
      </c>
      <c r="H1412" s="1" t="str">
        <f>IFERROR(__xludf.DUMMYFUNCTION("""COMPUTED_VALUE"""),"reply")</f>
        <v>reply</v>
      </c>
      <c r="I1412" s="2" t="str">
        <f>IFERROR(__xludf.DUMMYFUNCTION("""COMPUTED_VALUE"""),"https://www.facebook.com/watch/?v=570590637273208")</f>
        <v>https://www.facebook.com/watch/?v=570590637273208</v>
      </c>
      <c r="J1412" s="1" t="str">
        <f>IFERROR(__xludf.DUMMYFUNCTION("""COMPUTED_VALUE"""),"2022-07-04T15:42:11.152Z")</f>
        <v>2022-07-04T15:42:11.152Z</v>
      </c>
      <c r="K1412" s="1"/>
    </row>
    <row r="1413">
      <c r="A1413" s="2" t="str">
        <f>IFERROR(__xludf.DUMMYFUNCTION("""COMPUTED_VALUE"""),"https://www.facebook.com/theresa.ysabella.75")</f>
        <v>https://www.facebook.com/theresa.ysabella.75</v>
      </c>
      <c r="B1413" s="1" t="str">
        <f>IFERROR(__xludf.DUMMYFUNCTION("""COMPUTED_VALUE"""),"Theresa Ysabella")</f>
        <v>Theresa Ysabella</v>
      </c>
      <c r="C1413" s="1" t="str">
        <f>IFERROR(__xludf.DUMMYFUNCTION("""COMPUTED_VALUE"""),"Theresa")</f>
        <v>Theresa</v>
      </c>
      <c r="D1413" s="1" t="str">
        <f>IFERROR(__xludf.DUMMYFUNCTION("""COMPUTED_VALUE"""),"Ysabella")</f>
        <v>Ysabella</v>
      </c>
      <c r="E1413" s="1" t="str">
        <f>IFERROR(__xludf.DUMMYFUNCTION("""COMPUTED_VALUE"""),"Ruen Eneria hahaha umamin na sya  ikaw talaga 😂😂😂😂😂😂")</f>
        <v>Ruen Eneria hahaha umamin na sya  ikaw talaga 😂😂😂😂😂😂</v>
      </c>
      <c r="F1413" s="1">
        <f>IFERROR(__xludf.DUMMYFUNCTION("""COMPUTED_VALUE"""),2.0)</f>
        <v>2</v>
      </c>
      <c r="G1413" s="1" t="str">
        <f>IFERROR(__xludf.DUMMYFUNCTION("""COMPUTED_VALUE"""),"3 mos")</f>
        <v>3 mos</v>
      </c>
      <c r="H1413" s="1" t="str">
        <f>IFERROR(__xludf.DUMMYFUNCTION("""COMPUTED_VALUE"""),"reply")</f>
        <v>reply</v>
      </c>
      <c r="I1413" s="2" t="str">
        <f>IFERROR(__xludf.DUMMYFUNCTION("""COMPUTED_VALUE"""),"https://www.facebook.com/watch/?v=570590637273208")</f>
        <v>https://www.facebook.com/watch/?v=570590637273208</v>
      </c>
      <c r="J1413" s="1" t="str">
        <f>IFERROR(__xludf.DUMMYFUNCTION("""COMPUTED_VALUE"""),"2022-07-04T15:42:11.152Z")</f>
        <v>2022-07-04T15:42:11.152Z</v>
      </c>
      <c r="K1413" s="1"/>
    </row>
    <row r="1414">
      <c r="A1414" s="2" t="str">
        <f>IFERROR(__xludf.DUMMYFUNCTION("""COMPUTED_VALUE"""),"https://www.facebook.com/vincent.deleon.14473")</f>
        <v>https://www.facebook.com/vincent.deleon.14473</v>
      </c>
      <c r="B1414" s="1" t="str">
        <f>IFERROR(__xludf.DUMMYFUNCTION("""COMPUTED_VALUE"""),"Vincent Oltiveros De Leon")</f>
        <v>Vincent Oltiveros De Leon</v>
      </c>
      <c r="C1414" s="1" t="str">
        <f>IFERROR(__xludf.DUMMYFUNCTION("""COMPUTED_VALUE"""),"Vincent")</f>
        <v>Vincent</v>
      </c>
      <c r="D1414" s="1" t="str">
        <f>IFERROR(__xludf.DUMMYFUNCTION("""COMPUTED_VALUE"""),"Oltiveros De Leon")</f>
        <v>Oltiveros De Leon</v>
      </c>
      <c r="E1414" s="1" t="str">
        <f>IFERROR(__xludf.DUMMYFUNCTION("""COMPUTED_VALUE"""),"Emily Ananda madameng hnde taga nueva ecoja nun eh hahaha mga taga ibang lugar haha")</f>
        <v>Emily Ananda madameng hnde taga nueva ecoja nun eh hahaha mga taga ibang lugar haha</v>
      </c>
      <c r="F1414" s="1"/>
      <c r="G1414" s="1" t="str">
        <f>IFERROR(__xludf.DUMMYFUNCTION("""COMPUTED_VALUE"""),"3 mos")</f>
        <v>3 mos</v>
      </c>
      <c r="H1414" s="1" t="str">
        <f>IFERROR(__xludf.DUMMYFUNCTION("""COMPUTED_VALUE"""),"reply")</f>
        <v>reply</v>
      </c>
      <c r="I1414" s="2" t="str">
        <f>IFERROR(__xludf.DUMMYFUNCTION("""COMPUTED_VALUE"""),"https://www.facebook.com/watch/?v=570590637273208")</f>
        <v>https://www.facebook.com/watch/?v=570590637273208</v>
      </c>
      <c r="J1414" s="1" t="str">
        <f>IFERROR(__xludf.DUMMYFUNCTION("""COMPUTED_VALUE"""),"2022-07-04T15:42:11.152Z")</f>
        <v>2022-07-04T15:42:11.152Z</v>
      </c>
      <c r="K1414" s="1"/>
    </row>
    <row r="1415">
      <c r="A1415" s="2" t="str">
        <f>IFERROR(__xludf.DUMMYFUNCTION("""COMPUTED_VALUE"""),"https://www.facebook.com/vincent.deleon.14473")</f>
        <v>https://www.facebook.com/vincent.deleon.14473</v>
      </c>
      <c r="B1415" s="1" t="str">
        <f>IFERROR(__xludf.DUMMYFUNCTION("""COMPUTED_VALUE"""),"Vincent Oltiveros De Leon")</f>
        <v>Vincent Oltiveros De Leon</v>
      </c>
      <c r="C1415" s="1" t="str">
        <f>IFERROR(__xludf.DUMMYFUNCTION("""COMPUTED_VALUE"""),"Vincent")</f>
        <v>Vincent</v>
      </c>
      <c r="D1415" s="1" t="str">
        <f>IFERROR(__xludf.DUMMYFUNCTION("""COMPUTED_VALUE"""),"Oltiveros De Leon")</f>
        <v>Oltiveros De Leon</v>
      </c>
      <c r="E1415" s="1" t="str">
        <f>IFERROR(__xludf.DUMMYFUNCTION("""COMPUTED_VALUE"""),"ecija")</f>
        <v>ecija</v>
      </c>
      <c r="F1415" s="1"/>
      <c r="G1415" s="1" t="str">
        <f>IFERROR(__xludf.DUMMYFUNCTION("""COMPUTED_VALUE"""),"3 mos")</f>
        <v>3 mos</v>
      </c>
      <c r="H1415" s="1" t="str">
        <f>IFERROR(__xludf.DUMMYFUNCTION("""COMPUTED_VALUE"""),"reply")</f>
        <v>reply</v>
      </c>
      <c r="I1415" s="2" t="str">
        <f>IFERROR(__xludf.DUMMYFUNCTION("""COMPUTED_VALUE"""),"https://www.facebook.com/watch/?v=570590637273208")</f>
        <v>https://www.facebook.com/watch/?v=570590637273208</v>
      </c>
      <c r="J1415" s="1" t="str">
        <f>IFERROR(__xludf.DUMMYFUNCTION("""COMPUTED_VALUE"""),"2022-07-04T15:42:11.152Z")</f>
        <v>2022-07-04T15:42:11.152Z</v>
      </c>
      <c r="K1415" s="1"/>
    </row>
    <row r="1416">
      <c r="A1416" s="2" t="str">
        <f>IFERROR(__xludf.DUMMYFUNCTION("""COMPUTED_VALUE"""),"https://www.facebook.com/salvacion.balidoy.58")</f>
        <v>https://www.facebook.com/salvacion.balidoy.58</v>
      </c>
      <c r="B1416" s="1" t="str">
        <f>IFERROR(__xludf.DUMMYFUNCTION("""COMPUTED_VALUE"""),"Salvacion Balidoy")</f>
        <v>Salvacion Balidoy</v>
      </c>
      <c r="C1416" s="1" t="str">
        <f>IFERROR(__xludf.DUMMYFUNCTION("""COMPUTED_VALUE"""),"Salvacion")</f>
        <v>Salvacion</v>
      </c>
      <c r="D1416" s="1" t="str">
        <f>IFERROR(__xludf.DUMMYFUNCTION("""COMPUTED_VALUE"""),"Balidoy")</f>
        <v>Balidoy</v>
      </c>
      <c r="E1416" s="1" t="str">
        <f>IFERROR(__xludf.DUMMYFUNCTION("""COMPUTED_VALUE"""),"Salamat kakampink Nueva Ecija sa pakikiisa nyo pra kay VpLeni Kiko team")</f>
        <v>Salamat kakampink Nueva Ecija sa pakikiisa nyo pra kay VpLeni Kiko team</v>
      </c>
      <c r="F1416" s="1">
        <f>IFERROR(__xludf.DUMMYFUNCTION("""COMPUTED_VALUE"""),21.0)</f>
        <v>21</v>
      </c>
      <c r="G1416" s="1" t="str">
        <f>IFERROR(__xludf.DUMMYFUNCTION("""COMPUTED_VALUE"""),"3 mos")</f>
        <v>3 mos</v>
      </c>
      <c r="H1416" s="1" t="str">
        <f>IFERROR(__xludf.DUMMYFUNCTION("""COMPUTED_VALUE"""),"comment")</f>
        <v>comment</v>
      </c>
      <c r="I1416" s="2" t="str">
        <f>IFERROR(__xludf.DUMMYFUNCTION("""COMPUTED_VALUE"""),"https://www.facebook.com/watch/?v=570590637273208")</f>
        <v>https://www.facebook.com/watch/?v=570590637273208</v>
      </c>
      <c r="J1416" s="1" t="str">
        <f>IFERROR(__xludf.DUMMYFUNCTION("""COMPUTED_VALUE"""),"2022-07-04T15:42:11.153Z")</f>
        <v>2022-07-04T15:42:11.153Z</v>
      </c>
      <c r="K1416" s="1"/>
    </row>
    <row r="1417">
      <c r="A1417" s="2" t="str">
        <f>IFERROR(__xludf.DUMMYFUNCTION("""COMPUTED_VALUE"""),"https://www.facebook.com/profile.php?id=100076125252754")</f>
        <v>https://www.facebook.com/profile.php?id=100076125252754</v>
      </c>
      <c r="B1417" s="1" t="str">
        <f>IFERROR(__xludf.DUMMYFUNCTION("""COMPUTED_VALUE"""),"Jimmy Grado")</f>
        <v>Jimmy Grado</v>
      </c>
      <c r="C1417" s="1" t="str">
        <f>IFERROR(__xludf.DUMMYFUNCTION("""COMPUTED_VALUE"""),"Jimmy")</f>
        <v>Jimmy</v>
      </c>
      <c r="D1417" s="1" t="str">
        <f>IFERROR(__xludf.DUMMYFUNCTION("""COMPUTED_VALUE"""),"Grado")</f>
        <v>Grado</v>
      </c>
      <c r="E1417" s="1" t="str">
        <f>IFERROR(__xludf.DUMMYFUNCTION("""COMPUTED_VALUE"""),"Huwag-mag-alinlangan, sa diyos magtiwala, malapit ng maglaho si satanas")</f>
        <v>Huwag-mag-alinlangan, sa diyos magtiwala, malapit ng maglaho si satanas</v>
      </c>
      <c r="F1417" s="1">
        <f>IFERROR(__xludf.DUMMYFUNCTION("""COMPUTED_VALUE"""),7.0)</f>
        <v>7</v>
      </c>
      <c r="G1417" s="1" t="str">
        <f>IFERROR(__xludf.DUMMYFUNCTION("""COMPUTED_VALUE"""),"3 mos")</f>
        <v>3 mos</v>
      </c>
      <c r="H1417" s="1" t="str">
        <f>IFERROR(__xludf.DUMMYFUNCTION("""COMPUTED_VALUE"""),"comment")</f>
        <v>comment</v>
      </c>
      <c r="I1417" s="2" t="str">
        <f>IFERROR(__xludf.DUMMYFUNCTION("""COMPUTED_VALUE"""),"https://www.facebook.com/watch/?v=570590637273208")</f>
        <v>https://www.facebook.com/watch/?v=570590637273208</v>
      </c>
      <c r="J1417" s="1" t="str">
        <f>IFERROR(__xludf.DUMMYFUNCTION("""COMPUTED_VALUE"""),"2022-07-04T15:42:11.153Z")</f>
        <v>2022-07-04T15:42:11.153Z</v>
      </c>
      <c r="K1417" s="1"/>
    </row>
    <row r="1418">
      <c r="A1418" s="2" t="str">
        <f>IFERROR(__xludf.DUMMYFUNCTION("""COMPUTED_VALUE"""),"https://www.facebook.com/jhonatan.dordas")</f>
        <v>https://www.facebook.com/jhonatan.dordas</v>
      </c>
      <c r="B1418" s="1" t="str">
        <f>IFERROR(__xludf.DUMMYFUNCTION("""COMPUTED_VALUE"""),"Willdordas Conde Dordas")</f>
        <v>Willdordas Conde Dordas</v>
      </c>
      <c r="C1418" s="1" t="str">
        <f>IFERROR(__xludf.DUMMYFUNCTION("""COMPUTED_VALUE"""),"Willdordas")</f>
        <v>Willdordas</v>
      </c>
      <c r="D1418" s="1" t="str">
        <f>IFERROR(__xludf.DUMMYFUNCTION("""COMPUTED_VALUE"""),"Conde Dordas")</f>
        <v>Conde Dordas</v>
      </c>
      <c r="E1418" s="1" t="str">
        <f>IFERROR(__xludf.DUMMYFUNCTION("""COMPUTED_VALUE"""),"Jimmy Grado Tama yn mag Wawakas n c satanas Yung 666")</f>
        <v>Jimmy Grado Tama yn mag Wawakas n c satanas Yung 666</v>
      </c>
      <c r="F1418" s="1"/>
      <c r="G1418" s="1" t="str">
        <f>IFERROR(__xludf.DUMMYFUNCTION("""COMPUTED_VALUE"""),"2 mos")</f>
        <v>2 mos</v>
      </c>
      <c r="H1418" s="1" t="str">
        <f>IFERROR(__xludf.DUMMYFUNCTION("""COMPUTED_VALUE"""),"reply")</f>
        <v>reply</v>
      </c>
      <c r="I1418" s="2" t="str">
        <f>IFERROR(__xludf.DUMMYFUNCTION("""COMPUTED_VALUE"""),"https://www.facebook.com/watch/?v=570590637273208")</f>
        <v>https://www.facebook.com/watch/?v=570590637273208</v>
      </c>
      <c r="J1418" s="1" t="str">
        <f>IFERROR(__xludf.DUMMYFUNCTION("""COMPUTED_VALUE"""),"2022-07-04T15:42:11.153Z")</f>
        <v>2022-07-04T15:42:11.153Z</v>
      </c>
      <c r="K1418" s="1"/>
    </row>
    <row r="1419">
      <c r="A1419" s="2" t="str">
        <f>IFERROR(__xludf.DUMMYFUNCTION("""COMPUTED_VALUE"""),"https://www.facebook.com/divina.ritualpujeda")</f>
        <v>https://www.facebook.com/divina.ritualpujeda</v>
      </c>
      <c r="B1419" s="1" t="str">
        <f>IFERROR(__xludf.DUMMYFUNCTION("""COMPUTED_VALUE"""),"Divina Pujeda Padua")</f>
        <v>Divina Pujeda Padua</v>
      </c>
      <c r="C1419" s="1" t="str">
        <f>IFERROR(__xludf.DUMMYFUNCTION("""COMPUTED_VALUE"""),"Divina")</f>
        <v>Divina</v>
      </c>
      <c r="D1419" s="1" t="str">
        <f>IFERROR(__xludf.DUMMYFUNCTION("""COMPUTED_VALUE"""),"Pujeda Padua")</f>
        <v>Pujeda Padua</v>
      </c>
      <c r="E1419" s="1" t="str">
        <f>IFERROR(__xludf.DUMMYFUNCTION("""COMPUTED_VALUE"""),"Yes mga KakamPink KayLeniKikoTeamTayo #ipanalona10to #GobyernongTapat #AngatBuhayLahat #KulayRosasangBukas")</f>
        <v>Yes mga KakamPink KayLeniKikoTeamTayo #ipanalona10to #GobyernongTapat #AngatBuhayLahat #KulayRosasangBukas</v>
      </c>
      <c r="F1419" s="1">
        <f>IFERROR(__xludf.DUMMYFUNCTION("""COMPUTED_VALUE"""),12.0)</f>
        <v>12</v>
      </c>
      <c r="G1419" s="1" t="str">
        <f>IFERROR(__xludf.DUMMYFUNCTION("""COMPUTED_VALUE"""),"3 mos")</f>
        <v>3 mos</v>
      </c>
      <c r="H1419" s="1" t="str">
        <f>IFERROR(__xludf.DUMMYFUNCTION("""COMPUTED_VALUE"""),"comment")</f>
        <v>comment</v>
      </c>
      <c r="I1419" s="2" t="str">
        <f>IFERROR(__xludf.DUMMYFUNCTION("""COMPUTED_VALUE"""),"https://www.facebook.com/watch/?v=570590637273208")</f>
        <v>https://www.facebook.com/watch/?v=570590637273208</v>
      </c>
      <c r="J1419" s="1" t="str">
        <f>IFERROR(__xludf.DUMMYFUNCTION("""COMPUTED_VALUE"""),"2022-07-04T15:42:11.153Z")</f>
        <v>2022-07-04T15:42:11.153Z</v>
      </c>
      <c r="K1419" s="1"/>
    </row>
    <row r="1420">
      <c r="A1420" s="2" t="str">
        <f>IFERROR(__xludf.DUMMYFUNCTION("""COMPUTED_VALUE"""),"https://www.facebook.com/veron.uera")</f>
        <v>https://www.facebook.com/veron.uera</v>
      </c>
      <c r="B1420" s="1" t="str">
        <f>IFERROR(__xludf.DUMMYFUNCTION("""COMPUTED_VALUE"""),"Veron Uera-Aquino")</f>
        <v>Veron Uera-Aquino</v>
      </c>
      <c r="C1420" s="1" t="str">
        <f>IFERROR(__xludf.DUMMYFUNCTION("""COMPUTED_VALUE"""),"Veron")</f>
        <v>Veron</v>
      </c>
      <c r="D1420" s="1" t="str">
        <f>IFERROR(__xludf.DUMMYFUNCTION("""COMPUTED_VALUE"""),"Uera-Aquino")</f>
        <v>Uera-Aquino</v>
      </c>
      <c r="E1420" s="1" t="str">
        <f>IFERROR(__xludf.DUMMYFUNCTION("""COMPUTED_VALUE"""),"Proud Novo Ecijano! Tumindig at patuloy na titindig para sa #GobyernongTapatAngatBuhayLahat  #LeniKiko2022")</f>
        <v>Proud Novo Ecijano! Tumindig at patuloy na titindig para sa #GobyernongTapatAngatBuhayLahat  #LeniKiko2022</v>
      </c>
      <c r="F1420" s="1">
        <f>IFERROR(__xludf.DUMMYFUNCTION("""COMPUTED_VALUE"""),37.0)</f>
        <v>37</v>
      </c>
      <c r="G1420" s="1" t="str">
        <f>IFERROR(__xludf.DUMMYFUNCTION("""COMPUTED_VALUE"""),"3 mos")</f>
        <v>3 mos</v>
      </c>
      <c r="H1420" s="1" t="str">
        <f>IFERROR(__xludf.DUMMYFUNCTION("""COMPUTED_VALUE"""),"comment")</f>
        <v>comment</v>
      </c>
      <c r="I1420" s="2" t="str">
        <f>IFERROR(__xludf.DUMMYFUNCTION("""COMPUTED_VALUE"""),"https://www.facebook.com/watch/?v=570590637273208")</f>
        <v>https://www.facebook.com/watch/?v=570590637273208</v>
      </c>
      <c r="J1420" s="1" t="str">
        <f>IFERROR(__xludf.DUMMYFUNCTION("""COMPUTED_VALUE"""),"2022-07-04T15:42:11.153Z")</f>
        <v>2022-07-04T15:42:11.153Z</v>
      </c>
      <c r="K1420" s="1"/>
    </row>
    <row r="1421">
      <c r="A1421" s="2" t="str">
        <f>IFERROR(__xludf.DUMMYFUNCTION("""COMPUTED_VALUE"""),"https://www.facebook.com/roberto.como.14")</f>
        <v>https://www.facebook.com/roberto.como.14</v>
      </c>
      <c r="B1421" s="1" t="str">
        <f>IFERROR(__xludf.DUMMYFUNCTION("""COMPUTED_VALUE"""),"Roberto Como")</f>
        <v>Roberto Como</v>
      </c>
      <c r="C1421" s="1" t="str">
        <f>IFERROR(__xludf.DUMMYFUNCTION("""COMPUTED_VALUE"""),"Roberto")</f>
        <v>Roberto</v>
      </c>
      <c r="D1421" s="1" t="str">
        <f>IFERROR(__xludf.DUMMYFUNCTION("""COMPUTED_VALUE"""),"Como")</f>
        <v>Como</v>
      </c>
      <c r="E1421" s="1" t="str">
        <f>IFERROR(__xludf.DUMMYFUNCTION("""COMPUTED_VALUE"""),"Ok lang naman po ang mangarap karapatan po iyan ng bawat kandidato pero maging maginoo po tayo sa pagtangap ng pagkatalo para magkaron po ng Unity at dangal ang bawat isang pilipino at sabay sabay po tayung makasisigaw na tayo ay isang marangal na pilipin"&amp;"o")</f>
        <v>Ok lang naman po ang mangarap karapatan po iyan ng bawat kandidato pero maging maginoo po tayo sa pagtangap ng pagkatalo para magkaron po ng Unity at dangal ang bawat isang pilipino at sabay sabay po tayung makasisigaw na tayo ay isang marangal na pilipino</v>
      </c>
      <c r="F1421" s="1">
        <f>IFERROR(__xludf.DUMMYFUNCTION("""COMPUTED_VALUE"""),2.0)</f>
        <v>2</v>
      </c>
      <c r="G1421" s="1" t="str">
        <f>IFERROR(__xludf.DUMMYFUNCTION("""COMPUTED_VALUE"""),"3 mos")</f>
        <v>3 mos</v>
      </c>
      <c r="H1421" s="1" t="str">
        <f>IFERROR(__xludf.DUMMYFUNCTION("""COMPUTED_VALUE"""),"comment")</f>
        <v>comment</v>
      </c>
      <c r="I1421" s="2" t="str">
        <f>IFERROR(__xludf.DUMMYFUNCTION("""COMPUTED_VALUE"""),"https://www.facebook.com/watch/?v=570590637273208")</f>
        <v>https://www.facebook.com/watch/?v=570590637273208</v>
      </c>
      <c r="J1421" s="1" t="str">
        <f>IFERROR(__xludf.DUMMYFUNCTION("""COMPUTED_VALUE"""),"2022-07-04T15:42:11.153Z")</f>
        <v>2022-07-04T15:42:11.153Z</v>
      </c>
      <c r="K1421" s="1"/>
    </row>
    <row r="1422">
      <c r="A1422" s="2" t="str">
        <f>IFERROR(__xludf.DUMMYFUNCTION("""COMPUTED_VALUE"""),"https://www.facebook.com/ventura.mariejane")</f>
        <v>https://www.facebook.com/ventura.mariejane</v>
      </c>
      <c r="B1422" s="1" t="str">
        <f>IFERROR(__xludf.DUMMYFUNCTION("""COMPUTED_VALUE"""),"Jane Maltu Ventura")</f>
        <v>Jane Maltu Ventura</v>
      </c>
      <c r="C1422" s="1" t="str">
        <f>IFERROR(__xludf.DUMMYFUNCTION("""COMPUTED_VALUE"""),"Jane")</f>
        <v>Jane</v>
      </c>
      <c r="D1422" s="1" t="str">
        <f>IFERROR(__xludf.DUMMYFUNCTION("""COMPUTED_VALUE"""),"Maltu Ventura")</f>
        <v>Maltu Ventura</v>
      </c>
      <c r="E1422" s="1" t="str">
        <f>IFERROR(__xludf.DUMMYFUNCTION("""COMPUTED_VALUE"""),"For better Philippines  The best Man for the job is a Woman 👠👠 #IpanaloNa10T #LeniKiko2022 #10RobredoForPresident  #7KikoPangilinanVicePresident  #TrillanesForSenator2022  #LeilaDeLima2022  #RisaHontiveros2022  #SonnyMatula2022  #AlexLacson2022  #ChelDi"&amp;"oknoSaSenado  #DickGordon #NeriComenares #AngatBuhayLahat #KulayRosasAngBukas  #GobyernongTapatAngatBuhayLahat  #HelloPagkainGoodbyeGutom")</f>
        <v>For better Philippines  The best Man for the job is a Woman 👠👠 #IpanaloNa10T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v>
      </c>
      <c r="F1422" s="1">
        <f>IFERROR(__xludf.DUMMYFUNCTION("""COMPUTED_VALUE"""),52.0)</f>
        <v>52</v>
      </c>
      <c r="G1422" s="1" t="str">
        <f>IFERROR(__xludf.DUMMYFUNCTION("""COMPUTED_VALUE"""),"3 mos")</f>
        <v>3 mos</v>
      </c>
      <c r="H1422" s="1" t="str">
        <f>IFERROR(__xludf.DUMMYFUNCTION("""COMPUTED_VALUE"""),"comment")</f>
        <v>comment</v>
      </c>
      <c r="I1422" s="2" t="str">
        <f>IFERROR(__xludf.DUMMYFUNCTION("""COMPUTED_VALUE"""),"https://www.facebook.com/watch/?v=570590637273208")</f>
        <v>https://www.facebook.com/watch/?v=570590637273208</v>
      </c>
      <c r="J1422" s="1" t="str">
        <f>IFERROR(__xludf.DUMMYFUNCTION("""COMPUTED_VALUE"""),"2022-07-04T15:42:11.153Z")</f>
        <v>2022-07-04T15:42:11.153Z</v>
      </c>
      <c r="K1422" s="1"/>
    </row>
    <row r="1423">
      <c r="A1423" s="2" t="str">
        <f>IFERROR(__xludf.DUMMYFUNCTION("""COMPUTED_VALUE"""),"https://www.facebook.com/profile.php?id=100075179869760")</f>
        <v>https://www.facebook.com/profile.php?id=100075179869760</v>
      </c>
      <c r="B1423" s="1" t="str">
        <f>IFERROR(__xludf.DUMMYFUNCTION("""COMPUTED_VALUE"""),"Albert Villodres")</f>
        <v>Albert Villodres</v>
      </c>
      <c r="C1423" s="1" t="str">
        <f>IFERROR(__xludf.DUMMYFUNCTION("""COMPUTED_VALUE"""),"Albert")</f>
        <v>Albert</v>
      </c>
      <c r="D1423" s="1" t="str">
        <f>IFERROR(__xludf.DUMMYFUNCTION("""COMPUTED_VALUE"""),"Villodres")</f>
        <v>Villodres</v>
      </c>
      <c r="E1423" s="1" t="str">
        <f>IFERROR(__xludf.DUMMYFUNCTION("""COMPUTED_VALUE"""),"Jane Maltu Ventura Anong the best MAN for the job is a WOMAN?....HAHAHA")</f>
        <v>Jane Maltu Ventura Anong the best MAN for the job is a WOMAN?....HAHAHA</v>
      </c>
      <c r="F1423" s="1"/>
      <c r="G1423" s="1" t="str">
        <f>IFERROR(__xludf.DUMMYFUNCTION("""COMPUTED_VALUE"""),"3 mos")</f>
        <v>3 mos</v>
      </c>
      <c r="H1423" s="1" t="str">
        <f>IFERROR(__xludf.DUMMYFUNCTION("""COMPUTED_VALUE"""),"reply")</f>
        <v>reply</v>
      </c>
      <c r="I1423" s="2" t="str">
        <f>IFERROR(__xludf.DUMMYFUNCTION("""COMPUTED_VALUE"""),"https://www.facebook.com/watch/?v=570590637273208")</f>
        <v>https://www.facebook.com/watch/?v=570590637273208</v>
      </c>
      <c r="J1423" s="1" t="str">
        <f>IFERROR(__xludf.DUMMYFUNCTION("""COMPUTED_VALUE"""),"2022-07-04T15:42:11.153Z")</f>
        <v>2022-07-04T15:42:11.153Z</v>
      </c>
      <c r="K1423" s="1"/>
    </row>
    <row r="1424">
      <c r="A1424" s="2" t="str">
        <f>IFERROR(__xludf.DUMMYFUNCTION("""COMPUTED_VALUE"""),"https://www.facebook.com/argie.salo")</f>
        <v>https://www.facebook.com/argie.salo</v>
      </c>
      <c r="B1424" s="1" t="str">
        <f>IFERROR(__xludf.DUMMYFUNCTION("""COMPUTED_VALUE"""),"Argie Salo")</f>
        <v>Argie Salo</v>
      </c>
      <c r="C1424" s="1" t="str">
        <f>IFERROR(__xludf.DUMMYFUNCTION("""COMPUTED_VALUE"""),"Argie")</f>
        <v>Argie</v>
      </c>
      <c r="D1424" s="1" t="str">
        <f>IFERROR(__xludf.DUMMYFUNCTION("""COMPUTED_VALUE"""),"Salo")</f>
        <v>Salo</v>
      </c>
      <c r="E1424" s="1" t="str">
        <f>IFERROR(__xludf.DUMMYFUNCTION("""COMPUTED_VALUE"""),"Kurap😅")</f>
        <v>Kurap😅</v>
      </c>
      <c r="F1424" s="1"/>
      <c r="G1424" s="1" t="str">
        <f>IFERROR(__xludf.DUMMYFUNCTION("""COMPUTED_VALUE"""),"2 mos")</f>
        <v>2 mos</v>
      </c>
      <c r="H1424" s="1" t="str">
        <f>IFERROR(__xludf.DUMMYFUNCTION("""COMPUTED_VALUE"""),"reply")</f>
        <v>reply</v>
      </c>
      <c r="I1424" s="2" t="str">
        <f>IFERROR(__xludf.DUMMYFUNCTION("""COMPUTED_VALUE"""),"https://www.facebook.com/watch/?v=570590637273208")</f>
        <v>https://www.facebook.com/watch/?v=570590637273208</v>
      </c>
      <c r="J1424" s="1" t="str">
        <f>IFERROR(__xludf.DUMMYFUNCTION("""COMPUTED_VALUE"""),"2022-07-04T15:42:11.153Z")</f>
        <v>2022-07-04T15:42:11.153Z</v>
      </c>
      <c r="K1424" s="1"/>
    </row>
    <row r="1425">
      <c r="A1425" s="2" t="str">
        <f>IFERROR(__xludf.DUMMYFUNCTION("""COMPUTED_VALUE"""),"https://www.facebook.com/chitocmorales")</f>
        <v>https://www.facebook.com/chitocmorales</v>
      </c>
      <c r="B1425" s="1" t="str">
        <f>IFERROR(__xludf.DUMMYFUNCTION("""COMPUTED_VALUE"""),"Chito Morales")</f>
        <v>Chito Morales</v>
      </c>
      <c r="C1425" s="1" t="str">
        <f>IFERROR(__xludf.DUMMYFUNCTION("""COMPUTED_VALUE"""),"Chito")</f>
        <v>Chito</v>
      </c>
      <c r="D1425" s="1" t="str">
        <f>IFERROR(__xludf.DUMMYFUNCTION("""COMPUTED_VALUE"""),"Morales")</f>
        <v>Morales</v>
      </c>
      <c r="E1425" s="1" t="str">
        <f>IFERROR(__xludf.DUMMYFUNCTION("""COMPUTED_VALUE"""),"Tuloy tuloy ang pag- agos ng suporta.  #IpanaloNa10to #RosasAngKulayNgBukas #GobyernongTapatAngatBuhayLahat #KayLeniKikoPanaloAngPilipino #HusayAtTibay #BangonPilipinas #TaraIpanalNaNa10To")</f>
        <v>Tuloy tuloy ang pag- agos ng suporta.  #IpanaloNa10to #RosasAngKulayNgBukas #GobyernongTapatAngatBuhayLahat #KayLeniKikoPanaloAngPilipino #HusayAtTibay #BangonPilipinas #TaraIpanalNaNa10To</v>
      </c>
      <c r="F1425" s="1">
        <f>IFERROR(__xludf.DUMMYFUNCTION("""COMPUTED_VALUE"""),1.0)</f>
        <v>1</v>
      </c>
      <c r="G1425" s="1" t="str">
        <f>IFERROR(__xludf.DUMMYFUNCTION("""COMPUTED_VALUE"""),"3 mos")</f>
        <v>3 mos</v>
      </c>
      <c r="H1425" s="1" t="str">
        <f>IFERROR(__xludf.DUMMYFUNCTION("""COMPUTED_VALUE"""),"comment")</f>
        <v>comment</v>
      </c>
      <c r="I1425" s="2" t="str">
        <f>IFERROR(__xludf.DUMMYFUNCTION("""COMPUTED_VALUE"""),"https://www.facebook.com/watch/?v=570590637273208")</f>
        <v>https://www.facebook.com/watch/?v=570590637273208</v>
      </c>
      <c r="J1425" s="1" t="str">
        <f>IFERROR(__xludf.DUMMYFUNCTION("""COMPUTED_VALUE"""),"2022-07-04T15:42:11.153Z")</f>
        <v>2022-07-04T15:42:11.153Z</v>
      </c>
      <c r="K1425" s="1"/>
    </row>
    <row r="1426">
      <c r="A1426" s="2" t="str">
        <f>IFERROR(__xludf.DUMMYFUNCTION("""COMPUTED_VALUE"""),"https://www.facebook.com/benjie.roquejr")</f>
        <v>https://www.facebook.com/benjie.roquejr</v>
      </c>
      <c r="B1426" s="1" t="str">
        <f>IFERROR(__xludf.DUMMYFUNCTION("""COMPUTED_VALUE"""),"Benjie Roque Jr.")</f>
        <v>Benjie Roque Jr.</v>
      </c>
      <c r="C1426" s="1" t="str">
        <f>IFERROR(__xludf.DUMMYFUNCTION("""COMPUTED_VALUE"""),"Benjie")</f>
        <v>Benjie</v>
      </c>
      <c r="D1426" s="1" t="str">
        <f>IFERROR(__xludf.DUMMYFUNCTION("""COMPUTED_VALUE"""),"Roque Jr.")</f>
        <v>Roque Jr.</v>
      </c>
      <c r="E1426" s="1" t="str">
        <f>IFERROR(__xludf.DUMMYFUNCTION("""COMPUTED_VALUE"""),"Bababawi kame! Sarap pakingan. Nakakakaiyak, parang buhay, gusto natin makabawi upang makatayo pag tayo ay nadadapa. God bless Philippines!")</f>
        <v>Bababawi kame! Sarap pakingan. Nakakakaiyak, parang buhay, gusto natin makabawi upang makatayo pag tayo ay nadadapa. God bless Philippines!</v>
      </c>
      <c r="F1426" s="1">
        <f>IFERROR(__xludf.DUMMYFUNCTION("""COMPUTED_VALUE"""),1.0)</f>
        <v>1</v>
      </c>
      <c r="G1426" s="1" t="str">
        <f>IFERROR(__xludf.DUMMYFUNCTION("""COMPUTED_VALUE"""),"3 mos")</f>
        <v>3 mos</v>
      </c>
      <c r="H1426" s="1" t="str">
        <f>IFERROR(__xludf.DUMMYFUNCTION("""COMPUTED_VALUE"""),"comment")</f>
        <v>comment</v>
      </c>
      <c r="I1426" s="2" t="str">
        <f>IFERROR(__xludf.DUMMYFUNCTION("""COMPUTED_VALUE"""),"https://www.facebook.com/watch/?v=570590637273208")</f>
        <v>https://www.facebook.com/watch/?v=570590637273208</v>
      </c>
      <c r="J1426" s="1" t="str">
        <f>IFERROR(__xludf.DUMMYFUNCTION("""COMPUTED_VALUE"""),"2022-07-04T15:42:11.153Z")</f>
        <v>2022-07-04T15:42:11.153Z</v>
      </c>
      <c r="K1426" s="1"/>
    </row>
    <row r="1427">
      <c r="A1427" s="2" t="str">
        <f>IFERROR(__xludf.DUMMYFUNCTION("""COMPUTED_VALUE"""),"https://www.facebook.com/james.yodong")</f>
        <v>https://www.facebook.com/james.yodong</v>
      </c>
      <c r="B1427" s="1" t="str">
        <f>IFERROR(__xludf.DUMMYFUNCTION("""COMPUTED_VALUE"""),"James Yodong")</f>
        <v>James Yodong</v>
      </c>
      <c r="C1427" s="1" t="str">
        <f>IFERROR(__xludf.DUMMYFUNCTION("""COMPUTED_VALUE"""),"James")</f>
        <v>James</v>
      </c>
      <c r="D1427" s="1" t="str">
        <f>IFERROR(__xludf.DUMMYFUNCTION("""COMPUTED_VALUE"""),"Yodong")</f>
        <v>Yodong</v>
      </c>
      <c r="E1427" s="1" t="str">
        <f>IFERROR(__xludf.DUMMYFUNCTION("""COMPUTED_VALUE"""),"Benjie Roque Jr. Saan ka nadapa tatangatanga ka KC baka madqpa ka nanaman ngayon")</f>
        <v>Benjie Roque Jr. Saan ka nadapa tatangatanga ka KC baka madqpa ka nanaman ngayon</v>
      </c>
      <c r="F1427" s="1"/>
      <c r="G1427" s="1" t="str">
        <f>IFERROR(__xludf.DUMMYFUNCTION("""COMPUTED_VALUE"""),"2 mos")</f>
        <v>2 mos</v>
      </c>
      <c r="H1427" s="1" t="str">
        <f>IFERROR(__xludf.DUMMYFUNCTION("""COMPUTED_VALUE"""),"reply")</f>
        <v>reply</v>
      </c>
      <c r="I1427" s="2" t="str">
        <f>IFERROR(__xludf.DUMMYFUNCTION("""COMPUTED_VALUE"""),"https://www.facebook.com/watch/?v=570590637273208")</f>
        <v>https://www.facebook.com/watch/?v=570590637273208</v>
      </c>
      <c r="J1427" s="1" t="str">
        <f>IFERROR(__xludf.DUMMYFUNCTION("""COMPUTED_VALUE"""),"2022-07-04T15:42:11.153Z")</f>
        <v>2022-07-04T15:42:11.153Z</v>
      </c>
      <c r="K1427" s="1"/>
    </row>
    <row r="1428">
      <c r="A1428" s="2" t="str">
        <f>IFERROR(__xludf.DUMMYFUNCTION("""COMPUTED_VALUE"""),"https://www.facebook.com/lizaabrigos")</f>
        <v>https://www.facebook.com/lizaabrigos</v>
      </c>
      <c r="B1428" s="1" t="str">
        <f>IFERROR(__xludf.DUMMYFUNCTION("""COMPUTED_VALUE"""),"Flordeliza Abrigos")</f>
        <v>Flordeliza Abrigos</v>
      </c>
      <c r="C1428" s="1" t="str">
        <f>IFERROR(__xludf.DUMMYFUNCTION("""COMPUTED_VALUE"""),"Flordeliza")</f>
        <v>Flordeliza</v>
      </c>
      <c r="D1428" s="1" t="str">
        <f>IFERROR(__xludf.DUMMYFUNCTION("""COMPUTED_VALUE"""),"Abrigos")</f>
        <v>Abrigos</v>
      </c>
      <c r="E1428" s="1" t="str">
        <f>IFERROR(__xludf.DUMMYFUNCTION("""COMPUTED_VALUE"""),"Yes i was there mga kakampink")</f>
        <v>Yes i was there mga kakampink</v>
      </c>
      <c r="F1428" s="1">
        <f>IFERROR(__xludf.DUMMYFUNCTION("""COMPUTED_VALUE"""),13.0)</f>
        <v>13</v>
      </c>
      <c r="G1428" s="1" t="str">
        <f>IFERROR(__xludf.DUMMYFUNCTION("""COMPUTED_VALUE"""),"3 mos")</f>
        <v>3 mos</v>
      </c>
      <c r="H1428" s="1" t="str">
        <f>IFERROR(__xludf.DUMMYFUNCTION("""COMPUTED_VALUE"""),"comment")</f>
        <v>comment</v>
      </c>
      <c r="I1428" s="2" t="str">
        <f>IFERROR(__xludf.DUMMYFUNCTION("""COMPUTED_VALUE"""),"https://www.facebook.com/watch/?v=570590637273208")</f>
        <v>https://www.facebook.com/watch/?v=570590637273208</v>
      </c>
      <c r="J1428" s="1" t="str">
        <f>IFERROR(__xludf.DUMMYFUNCTION("""COMPUTED_VALUE"""),"2022-07-04T15:42:11.153Z")</f>
        <v>2022-07-04T15:42:11.153Z</v>
      </c>
      <c r="K1428" s="1"/>
    </row>
    <row r="1429">
      <c r="A1429" s="2" t="str">
        <f>IFERROR(__xludf.DUMMYFUNCTION("""COMPUTED_VALUE"""),"https://www.facebook.com/evangeline.cayabyab.79")</f>
        <v>https://www.facebook.com/evangeline.cayabyab.79</v>
      </c>
      <c r="B1429" s="1" t="str">
        <f>IFERROR(__xludf.DUMMYFUNCTION("""COMPUTED_VALUE"""),"Evangeline Cayabyab")</f>
        <v>Evangeline Cayabyab</v>
      </c>
      <c r="C1429" s="1" t="str">
        <f>IFERROR(__xludf.DUMMYFUNCTION("""COMPUTED_VALUE"""),"Evangeline")</f>
        <v>Evangeline</v>
      </c>
      <c r="D1429" s="1" t="str">
        <f>IFERROR(__xludf.DUMMYFUNCTION("""COMPUTED_VALUE"""),"Cayabyab")</f>
        <v>Cayabyab</v>
      </c>
      <c r="E1429" s="1" t="str">
        <f>IFERROR(__xludf.DUMMYFUNCTION("""COMPUTED_VALUE"""),"Mabuhay CAMANAVA!!!! #HappyKAKAMPINKS #ProudKAKAMPINKS #LeniKikoAllTheWay💗💗💗💗💗💗💗💗")</f>
        <v>Mabuhay CAMANAVA!!!! #HappyKAKAMPINKS #ProudKAKAMPINKS #LeniKikoAllTheWay💗💗💗💗💗💗💗💗</v>
      </c>
      <c r="F1429" s="1">
        <f>IFERROR(__xludf.DUMMYFUNCTION("""COMPUTED_VALUE"""),24.0)</f>
        <v>24</v>
      </c>
      <c r="G1429" s="1" t="str">
        <f>IFERROR(__xludf.DUMMYFUNCTION("""COMPUTED_VALUE"""),"3 mos")</f>
        <v>3 mos</v>
      </c>
      <c r="H1429" s="1" t="str">
        <f>IFERROR(__xludf.DUMMYFUNCTION("""COMPUTED_VALUE"""),"comment")</f>
        <v>comment</v>
      </c>
      <c r="I1429" s="2" t="str">
        <f>IFERROR(__xludf.DUMMYFUNCTION("""COMPUTED_VALUE"""),"https://www.facebook.com/watch/?v=570590637273208")</f>
        <v>https://www.facebook.com/watch/?v=570590637273208</v>
      </c>
      <c r="J1429" s="1" t="str">
        <f>IFERROR(__xludf.DUMMYFUNCTION("""COMPUTED_VALUE"""),"2022-07-04T15:42:11.153Z")</f>
        <v>2022-07-04T15:42:11.153Z</v>
      </c>
      <c r="K1429" s="1"/>
    </row>
    <row r="1430">
      <c r="A1430" s="2" t="str">
        <f>IFERROR(__xludf.DUMMYFUNCTION("""COMPUTED_VALUE"""),"https://www.facebook.com/marnito.peligro")</f>
        <v>https://www.facebook.com/marnito.peligro</v>
      </c>
      <c r="B1430" s="1" t="str">
        <f>IFERROR(__xludf.DUMMYFUNCTION("""COMPUTED_VALUE"""),"Marnito Peligro")</f>
        <v>Marnito Peligro</v>
      </c>
      <c r="C1430" s="1" t="str">
        <f>IFERROR(__xludf.DUMMYFUNCTION("""COMPUTED_VALUE"""),"Marnito")</f>
        <v>Marnito</v>
      </c>
      <c r="D1430" s="1" t="str">
        <f>IFERROR(__xludf.DUMMYFUNCTION("""COMPUTED_VALUE"""),"Peligro")</f>
        <v>Peligro</v>
      </c>
      <c r="E1430" s="1" t="str">
        <f>IFERROR(__xludf.DUMMYFUNCTION("""COMPUTED_VALUE"""),"In your dreams pagka tapos durugin ang tiwala NG mga pilipino sa pamamagitan NG panluluko sa media gamit ang mga  artista ni Yong sikat at inidulo NG mga pilipino  mahirap nang ibalik ang tiwala at gising na ang Bayan.")</f>
        <v>In your dreams pagka tapos durugin ang tiwala NG mga pilipino sa pamamagitan NG panluluko sa media gamit ang mga  artista ni Yong sikat at inidulo NG mga pilipino  mahirap nang ibalik ang tiwala at gising na ang Bayan.</v>
      </c>
      <c r="F1430" s="1"/>
      <c r="G1430" s="1" t="str">
        <f>IFERROR(__xludf.DUMMYFUNCTION("""COMPUTED_VALUE"""),"2 mos")</f>
        <v>2 mos</v>
      </c>
      <c r="H1430" s="1" t="str">
        <f>IFERROR(__xludf.DUMMYFUNCTION("""COMPUTED_VALUE"""),"comment")</f>
        <v>comment</v>
      </c>
      <c r="I1430" s="2" t="str">
        <f>IFERROR(__xludf.DUMMYFUNCTION("""COMPUTED_VALUE"""),"https://www.facebook.com/watch/?v=570590637273208")</f>
        <v>https://www.facebook.com/watch/?v=570590637273208</v>
      </c>
      <c r="J1430" s="1" t="str">
        <f>IFERROR(__xludf.DUMMYFUNCTION("""COMPUTED_VALUE"""),"2022-07-04T15:42:11.153Z")</f>
        <v>2022-07-04T15:42:11.153Z</v>
      </c>
      <c r="K1430" s="1"/>
    </row>
    <row r="1431">
      <c r="A1431" s="2" t="str">
        <f>IFERROR(__xludf.DUMMYFUNCTION("""COMPUTED_VALUE"""),"https://www.facebook.com/joem.nadong.5")</f>
        <v>https://www.facebook.com/joem.nadong.5</v>
      </c>
      <c r="B1431" s="1" t="str">
        <f>IFERROR(__xludf.DUMMYFUNCTION("""COMPUTED_VALUE"""),"Joem Nadong")</f>
        <v>Joem Nadong</v>
      </c>
      <c r="C1431" s="1" t="str">
        <f>IFERROR(__xludf.DUMMYFUNCTION("""COMPUTED_VALUE"""),"Joem")</f>
        <v>Joem</v>
      </c>
      <c r="D1431" s="1" t="str">
        <f>IFERROR(__xludf.DUMMYFUNCTION("""COMPUTED_VALUE"""),"Nadong")</f>
        <v>Nadong</v>
      </c>
      <c r="E1431" s="1" t="str">
        <f>IFERROR(__xludf.DUMMYFUNCTION("""COMPUTED_VALUE"""),"Solid LeniKiko #MASKARAPATDAPATLeniKiko #NegrosIsPink #NegrosForLeni #10LeniRobredoForPresident #7KikoPangilinanForVicePresident #TibayAtHusay  #LetLeniLead2022  #LeniKiko2022  #RadicalAngMagmahal #GobyernongTapatAngatBuhayLahat  #KulayRosasAngBukas")</f>
        <v>Solid LeniKiko #MASKARAPATDAPATLeniKiko #NegrosIsPink #NegrosForLeni #10LeniRobredoForPresident #7KikoPangilinanForVicePresident #TibayAtHusay  #LetLeniLead2022  #LeniKiko2022  #RadicalAngMagmahal #GobyernongTapatAngatBuhayLahat  #KulayRosasAngBukas</v>
      </c>
      <c r="F1431" s="1">
        <f>IFERROR(__xludf.DUMMYFUNCTION("""COMPUTED_VALUE"""),15.0)</f>
        <v>15</v>
      </c>
      <c r="G1431" s="1" t="str">
        <f>IFERROR(__xludf.DUMMYFUNCTION("""COMPUTED_VALUE"""),"3 mos")</f>
        <v>3 mos</v>
      </c>
      <c r="H1431" s="1" t="str">
        <f>IFERROR(__xludf.DUMMYFUNCTION("""COMPUTED_VALUE"""),"comment")</f>
        <v>comment</v>
      </c>
      <c r="I1431" s="2" t="str">
        <f>IFERROR(__xludf.DUMMYFUNCTION("""COMPUTED_VALUE"""),"https://www.facebook.com/watch/?v=570590637273208")</f>
        <v>https://www.facebook.com/watch/?v=570590637273208</v>
      </c>
      <c r="J1431" s="1" t="str">
        <f>IFERROR(__xludf.DUMMYFUNCTION("""COMPUTED_VALUE"""),"2022-07-04T15:42:11.153Z")</f>
        <v>2022-07-04T15:42:11.153Z</v>
      </c>
      <c r="K1431" s="1"/>
    </row>
    <row r="1432">
      <c r="A1432" s="2" t="str">
        <f>IFERROR(__xludf.DUMMYFUNCTION("""COMPUTED_VALUE"""),"https://www.facebook.com/ojcuison109")</f>
        <v>https://www.facebook.com/ojcuison109</v>
      </c>
      <c r="B1432" s="1" t="str">
        <f>IFERROR(__xludf.DUMMYFUNCTION("""COMPUTED_VALUE"""),"Jo Sui")</f>
        <v>Jo Sui</v>
      </c>
      <c r="C1432" s="1" t="str">
        <f>IFERROR(__xludf.DUMMYFUNCTION("""COMPUTED_VALUE"""),"Jo")</f>
        <v>Jo</v>
      </c>
      <c r="D1432" s="1" t="str">
        <f>IFERROR(__xludf.DUMMYFUNCTION("""COMPUTED_VALUE"""),"Sui")</f>
        <v>Sui</v>
      </c>
      <c r="E1432" s="1" t="str">
        <f>IFERROR(__xludf.DUMMYFUNCTION("""COMPUTED_VALUE"""),"Mabuhay Makabayang Kakampink i love you all 💗")</f>
        <v>Mabuhay Makabayang Kakampink i love you all 💗</v>
      </c>
      <c r="F1432" s="1">
        <f>IFERROR(__xludf.DUMMYFUNCTION("""COMPUTED_VALUE"""),15.0)</f>
        <v>15</v>
      </c>
      <c r="G1432" s="1" t="str">
        <f>IFERROR(__xludf.DUMMYFUNCTION("""COMPUTED_VALUE"""),"3 mos")</f>
        <v>3 mos</v>
      </c>
      <c r="H1432" s="1" t="str">
        <f>IFERROR(__xludf.DUMMYFUNCTION("""COMPUTED_VALUE"""),"comment")</f>
        <v>comment</v>
      </c>
      <c r="I1432" s="2" t="str">
        <f>IFERROR(__xludf.DUMMYFUNCTION("""COMPUTED_VALUE"""),"https://www.facebook.com/watch/?v=570590637273208")</f>
        <v>https://www.facebook.com/watch/?v=570590637273208</v>
      </c>
      <c r="J1432" s="1" t="str">
        <f>IFERROR(__xludf.DUMMYFUNCTION("""COMPUTED_VALUE"""),"2022-07-04T15:42:11.153Z")</f>
        <v>2022-07-04T15:42:11.153Z</v>
      </c>
      <c r="K1432" s="1"/>
    </row>
    <row r="1433">
      <c r="A1433" s="2" t="str">
        <f>IFERROR(__xludf.DUMMYFUNCTION("""COMPUTED_VALUE"""),"https://www.facebook.com/ernie.lebrillarigo")</f>
        <v>https://www.facebook.com/ernie.lebrillarigo</v>
      </c>
      <c r="B1433" s="1" t="str">
        <f>IFERROR(__xludf.DUMMYFUNCTION("""COMPUTED_VALUE"""),"Ernie Lebrilla Rigo")</f>
        <v>Ernie Lebrilla Rigo</v>
      </c>
      <c r="C1433" s="1" t="str">
        <f>IFERROR(__xludf.DUMMYFUNCTION("""COMPUTED_VALUE"""),"Ernie")</f>
        <v>Ernie</v>
      </c>
      <c r="D1433" s="1" t="str">
        <f>IFERROR(__xludf.DUMMYFUNCTION("""COMPUTED_VALUE"""),"Lebrilla Rigo")</f>
        <v>Lebrilla Rigo</v>
      </c>
      <c r="E1433" s="1" t="str">
        <f>IFERROR(__xludf.DUMMYFUNCTION("""COMPUTED_VALUE"""),"Kaya iboto natin si atty/ doc j montemayor cya lng ang may malasakit sa taong bayan alam nya ang batas,kalusugan at economiya kaya mga kapwa ko pilipino gumising na kayu wag kayung maniwala sa kasikatan  ng isamg kandidato ang makatulong sa atin ngayung p"&amp;"anahun yung may malasakit sa taong bayan si atty/ montemayor")</f>
        <v>Kaya iboto natin si atty/ doc j montemayor cya lng ang may malasakit sa taong bayan alam nya ang batas,kalusugan at economiya kaya mga kapwa ko pilipino gumising na kayu wag kayung maniwala sa kasikatan  ng isamg kandidato ang makatulong sa atin ngayung panahun yung may malasakit sa taong bayan si atty/ montemayor</v>
      </c>
      <c r="F1433" s="1">
        <f>IFERROR(__xludf.DUMMYFUNCTION("""COMPUTED_VALUE"""),8.0)</f>
        <v>8</v>
      </c>
      <c r="G1433" s="1" t="str">
        <f>IFERROR(__xludf.DUMMYFUNCTION("""COMPUTED_VALUE"""),"3 mos")</f>
        <v>3 mos</v>
      </c>
      <c r="H1433" s="1" t="str">
        <f>IFERROR(__xludf.DUMMYFUNCTION("""COMPUTED_VALUE"""),"comment")</f>
        <v>comment</v>
      </c>
      <c r="I1433" s="2" t="str">
        <f>IFERROR(__xludf.DUMMYFUNCTION("""COMPUTED_VALUE"""),"https://www.facebook.com/watch/?v=570590637273208")</f>
        <v>https://www.facebook.com/watch/?v=570590637273208</v>
      </c>
      <c r="J1433" s="1" t="str">
        <f>IFERROR(__xludf.DUMMYFUNCTION("""COMPUTED_VALUE"""),"2022-07-04T15:42:11.153Z")</f>
        <v>2022-07-04T15:42:11.153Z</v>
      </c>
      <c r="K1433" s="1"/>
    </row>
    <row r="1434">
      <c r="A1434" s="2" t="str">
        <f>IFERROR(__xludf.DUMMYFUNCTION("""COMPUTED_VALUE"""),"https://www.facebook.com/melyn.eridao")</f>
        <v>https://www.facebook.com/melyn.eridao</v>
      </c>
      <c r="B1434" s="1" t="str">
        <f>IFERROR(__xludf.DUMMYFUNCTION("""COMPUTED_VALUE"""),"Melyn Del Mundo Eridao")</f>
        <v>Melyn Del Mundo Eridao</v>
      </c>
      <c r="C1434" s="1" t="str">
        <f>IFERROR(__xludf.DUMMYFUNCTION("""COMPUTED_VALUE"""),"Melyn")</f>
        <v>Melyn</v>
      </c>
      <c r="D1434" s="1" t="str">
        <f>IFERROR(__xludf.DUMMYFUNCTION("""COMPUTED_VALUE"""),"Del Mundo Eridao")</f>
        <v>Del Mundo Eridao</v>
      </c>
      <c r="E1434" s="1" t="str">
        <f>IFERROR(__xludf.DUMMYFUNCTION("""COMPUTED_VALUE"""),"GOBYERNONG TAPAT ANGAT BUHAY LAHAT….KULAY ROSAS ANG BUKAS….🌸🌷💗💝💖💕💞💓")</f>
        <v>GOBYERNONG TAPAT ANGAT BUHAY LAHAT….KULAY ROSAS ANG BUKAS….🌸🌷💗💝💖💕💞💓</v>
      </c>
      <c r="F1434" s="1"/>
      <c r="G1434" s="1" t="str">
        <f>IFERROR(__xludf.DUMMYFUNCTION("""COMPUTED_VALUE"""),"3 mos")</f>
        <v>3 mos</v>
      </c>
      <c r="H1434" s="1" t="str">
        <f>IFERROR(__xludf.DUMMYFUNCTION("""COMPUTED_VALUE"""),"comment")</f>
        <v>comment</v>
      </c>
      <c r="I1434" s="2" t="str">
        <f>IFERROR(__xludf.DUMMYFUNCTION("""COMPUTED_VALUE"""),"https://www.facebook.com/watch/?v=570590637273208")</f>
        <v>https://www.facebook.com/watch/?v=570590637273208</v>
      </c>
      <c r="J1434" s="1" t="str">
        <f>IFERROR(__xludf.DUMMYFUNCTION("""COMPUTED_VALUE"""),"2022-07-04T15:42:11.153Z")</f>
        <v>2022-07-04T15:42:11.153Z</v>
      </c>
      <c r="K1434" s="1"/>
    </row>
    <row r="1435">
      <c r="A1435" s="2" t="str">
        <f>IFERROR(__xludf.DUMMYFUNCTION("""COMPUTED_VALUE"""),"https://www.facebook.com/yuseri.rashida")</f>
        <v>https://www.facebook.com/yuseri.rashida</v>
      </c>
      <c r="B1435" s="1" t="str">
        <f>IFERROR(__xludf.DUMMYFUNCTION("""COMPUTED_VALUE"""),"Yuseri Rashida")</f>
        <v>Yuseri Rashida</v>
      </c>
      <c r="C1435" s="1" t="str">
        <f>IFERROR(__xludf.DUMMYFUNCTION("""COMPUTED_VALUE"""),"Yuseri")</f>
        <v>Yuseri</v>
      </c>
      <c r="D1435" s="1" t="str">
        <f>IFERROR(__xludf.DUMMYFUNCTION("""COMPUTED_VALUE"""),"Rashida")</f>
        <v>Rashida</v>
      </c>
      <c r="E1435" s="1" t="str">
        <f>IFERROR(__xludf.DUMMYFUNCTION("""COMPUTED_VALUE"""),"Kakampinks! Congratulations🙏💜💖💕💗💝💝")</f>
        <v>Kakampinks! Congratulations🙏💜💖💕💗💝💝</v>
      </c>
      <c r="F1435" s="1">
        <f>IFERROR(__xludf.DUMMYFUNCTION("""COMPUTED_VALUE"""),8.0)</f>
        <v>8</v>
      </c>
      <c r="G1435" s="1" t="str">
        <f>IFERROR(__xludf.DUMMYFUNCTION("""COMPUTED_VALUE"""),"3 mos")</f>
        <v>3 mos</v>
      </c>
      <c r="H1435" s="1" t="str">
        <f>IFERROR(__xludf.DUMMYFUNCTION("""COMPUTED_VALUE"""),"comment")</f>
        <v>comment</v>
      </c>
      <c r="I1435" s="2" t="str">
        <f>IFERROR(__xludf.DUMMYFUNCTION("""COMPUTED_VALUE"""),"https://www.facebook.com/watch/?v=570590637273208")</f>
        <v>https://www.facebook.com/watch/?v=570590637273208</v>
      </c>
      <c r="J1435" s="1" t="str">
        <f>IFERROR(__xludf.DUMMYFUNCTION("""COMPUTED_VALUE"""),"2022-07-04T15:42:11.153Z")</f>
        <v>2022-07-04T15:42:11.153Z</v>
      </c>
      <c r="K1435" s="1"/>
    </row>
    <row r="1436">
      <c r="A1436" s="2" t="str">
        <f>IFERROR(__xludf.DUMMYFUNCTION("""COMPUTED_VALUE"""),"https://www.facebook.com/francisco.deriquito")</f>
        <v>https://www.facebook.com/francisco.deriquito</v>
      </c>
      <c r="B1436" s="1" t="str">
        <f>IFERROR(__xludf.DUMMYFUNCTION("""COMPUTED_VALUE"""),"Frank Deriquito")</f>
        <v>Frank Deriquito</v>
      </c>
      <c r="C1436" s="1" t="str">
        <f>IFERROR(__xludf.DUMMYFUNCTION("""COMPUTED_VALUE"""),"Frank")</f>
        <v>Frank</v>
      </c>
      <c r="D1436" s="1" t="str">
        <f>IFERROR(__xludf.DUMMYFUNCTION("""COMPUTED_VALUE"""),"Deriquito")</f>
        <v>Deriquito</v>
      </c>
      <c r="E1436" s="1" t="str">
        <f>IFERROR(__xludf.DUMMYFUNCTION("""COMPUTED_VALUE"""),"God bless all kakampinks🙏❤🙏")</f>
        <v>God bless all kakampinks🙏❤🙏</v>
      </c>
      <c r="F1436" s="1"/>
      <c r="G1436" s="1" t="str">
        <f>IFERROR(__xludf.DUMMYFUNCTION("""COMPUTED_VALUE"""),"3 mos")</f>
        <v>3 mos</v>
      </c>
      <c r="H1436" s="1" t="str">
        <f>IFERROR(__xludf.DUMMYFUNCTION("""COMPUTED_VALUE"""),"comment")</f>
        <v>comment</v>
      </c>
      <c r="I1436" s="2" t="str">
        <f>IFERROR(__xludf.DUMMYFUNCTION("""COMPUTED_VALUE"""),"https://www.facebook.com/watch/?v=570590637273208")</f>
        <v>https://www.facebook.com/watch/?v=570590637273208</v>
      </c>
      <c r="J1436" s="1" t="str">
        <f>IFERROR(__xludf.DUMMYFUNCTION("""COMPUTED_VALUE"""),"2022-07-04T15:42:11.153Z")</f>
        <v>2022-07-04T15:42:11.153Z</v>
      </c>
      <c r="K1436" s="1"/>
    </row>
    <row r="1437">
      <c r="A1437" s="2" t="str">
        <f>IFERROR(__xludf.DUMMYFUNCTION("""COMPUTED_VALUE"""),"https://www.facebook.com/naty.relato")</f>
        <v>https://www.facebook.com/naty.relato</v>
      </c>
      <c r="B1437" s="1" t="str">
        <f>IFERROR(__xludf.DUMMYFUNCTION("""COMPUTED_VALUE"""),"Naty Relato")</f>
        <v>Naty Relato</v>
      </c>
      <c r="C1437" s="1" t="str">
        <f>IFERROR(__xludf.DUMMYFUNCTION("""COMPUTED_VALUE"""),"Naty")</f>
        <v>Naty</v>
      </c>
      <c r="D1437" s="1" t="str">
        <f>IFERROR(__xludf.DUMMYFUNCTION("""COMPUTED_VALUE"""),"Relato")</f>
        <v>Relato</v>
      </c>
      <c r="E1437" s="1" t="str">
        <f>IFERROR(__xludf.DUMMYFUNCTION("""COMPUTED_VALUE"""),"Be safe kakampinks God bless you all")</f>
        <v>Be safe kakampinks God bless you all</v>
      </c>
      <c r="F1437" s="1">
        <f>IFERROR(__xludf.DUMMYFUNCTION("""COMPUTED_VALUE"""),6.0)</f>
        <v>6</v>
      </c>
      <c r="G1437" s="1" t="str">
        <f>IFERROR(__xludf.DUMMYFUNCTION("""COMPUTED_VALUE"""),"3 mos")</f>
        <v>3 mos</v>
      </c>
      <c r="H1437" s="1" t="str">
        <f>IFERROR(__xludf.DUMMYFUNCTION("""COMPUTED_VALUE"""),"comment")</f>
        <v>comment</v>
      </c>
      <c r="I1437" s="2" t="str">
        <f>IFERROR(__xludf.DUMMYFUNCTION("""COMPUTED_VALUE"""),"https://www.facebook.com/watch/?v=570590637273208")</f>
        <v>https://www.facebook.com/watch/?v=570590637273208</v>
      </c>
      <c r="J1437" s="1" t="str">
        <f>IFERROR(__xludf.DUMMYFUNCTION("""COMPUTED_VALUE"""),"2022-07-04T15:42:11.153Z")</f>
        <v>2022-07-04T15:42:11.153Z</v>
      </c>
      <c r="K1437" s="1"/>
    </row>
    <row r="1438">
      <c r="A1438" s="2" t="str">
        <f>IFERROR(__xludf.DUMMYFUNCTION("""COMPUTED_VALUE"""),"https://www.facebook.com/maryrosetimbol.bual")</f>
        <v>https://www.facebook.com/maryrosetimbol.bual</v>
      </c>
      <c r="B1438" s="1" t="str">
        <f>IFERROR(__xludf.DUMMYFUNCTION("""COMPUTED_VALUE"""),"Mary Rose Timbol Bual")</f>
        <v>Mary Rose Timbol Bual</v>
      </c>
      <c r="C1438" s="1" t="str">
        <f>IFERROR(__xludf.DUMMYFUNCTION("""COMPUTED_VALUE"""),"Mary")</f>
        <v>Mary</v>
      </c>
      <c r="D1438" s="1" t="str">
        <f>IFERROR(__xludf.DUMMYFUNCTION("""COMPUTED_VALUE"""),"Rose Timbol Bual")</f>
        <v>Rose Timbol Bual</v>
      </c>
      <c r="E1438" s="1" t="str">
        <f>IFERROR(__xludf.DUMMYFUNCTION("""COMPUTED_VALUE"""),"Pilipinas how much😭😭😭")</f>
        <v>Pilipinas how much😭😭😭</v>
      </c>
      <c r="F1438" s="1">
        <f>IFERROR(__xludf.DUMMYFUNCTION("""COMPUTED_VALUE"""),2.0)</f>
        <v>2</v>
      </c>
      <c r="G1438" s="1" t="str">
        <f>IFERROR(__xludf.DUMMYFUNCTION("""COMPUTED_VALUE"""),"3 mos")</f>
        <v>3 mos</v>
      </c>
      <c r="H1438" s="1" t="str">
        <f>IFERROR(__xludf.DUMMYFUNCTION("""COMPUTED_VALUE"""),"comment")</f>
        <v>comment</v>
      </c>
      <c r="I1438" s="2" t="str">
        <f>IFERROR(__xludf.DUMMYFUNCTION("""COMPUTED_VALUE"""),"https://www.facebook.com/watch/?v=570590637273208")</f>
        <v>https://www.facebook.com/watch/?v=570590637273208</v>
      </c>
      <c r="J1438" s="1" t="str">
        <f>IFERROR(__xludf.DUMMYFUNCTION("""COMPUTED_VALUE"""),"2022-07-04T15:42:11.153Z")</f>
        <v>2022-07-04T15:42:11.153Z</v>
      </c>
      <c r="K1438" s="1"/>
    </row>
    <row r="1439">
      <c r="A1439" s="2" t="str">
        <f>IFERROR(__xludf.DUMMYFUNCTION("""COMPUTED_VALUE"""),"https://www.facebook.com/maryrosetimbol.bual")</f>
        <v>https://www.facebook.com/maryrosetimbol.bual</v>
      </c>
      <c r="B1439" s="1" t="str">
        <f>IFERROR(__xludf.DUMMYFUNCTION("""COMPUTED_VALUE"""),"Mary Rose Timbol Bual")</f>
        <v>Mary Rose Timbol Bual</v>
      </c>
      <c r="C1439" s="1" t="str">
        <f>IFERROR(__xludf.DUMMYFUNCTION("""COMPUTED_VALUE"""),"Mary")</f>
        <v>Mary</v>
      </c>
      <c r="D1439" s="1" t="str">
        <f>IFERROR(__xludf.DUMMYFUNCTION("""COMPUTED_VALUE"""),"Rose Timbol Bual")</f>
        <v>Rose Timbol Bual</v>
      </c>
      <c r="E1439" s="1" t="b">
        <f>IFERROR(__xludf.DUMMYFUNCTION("""COMPUTED_VALUE"""),TRUE)</f>
        <v>1</v>
      </c>
      <c r="F1439" s="1">
        <f>IFERROR(__xludf.DUMMYFUNCTION("""COMPUTED_VALUE"""),1.0)</f>
        <v>1</v>
      </c>
      <c r="G1439" s="1" t="str">
        <f>IFERROR(__xludf.DUMMYFUNCTION("""COMPUTED_VALUE"""),"3 mos")</f>
        <v>3 mos</v>
      </c>
      <c r="H1439" s="1" t="str">
        <f>IFERROR(__xludf.DUMMYFUNCTION("""COMPUTED_VALUE"""),"reply")</f>
        <v>reply</v>
      </c>
      <c r="I1439" s="2" t="str">
        <f>IFERROR(__xludf.DUMMYFUNCTION("""COMPUTED_VALUE"""),"https://www.facebook.com/watch/?v=570590637273208")</f>
        <v>https://www.facebook.com/watch/?v=570590637273208</v>
      </c>
      <c r="J1439" s="1" t="str">
        <f>IFERROR(__xludf.DUMMYFUNCTION("""COMPUTED_VALUE"""),"2022-07-04T15:42:11.153Z")</f>
        <v>2022-07-04T15:42:11.153Z</v>
      </c>
      <c r="K1439" s="1"/>
    </row>
    <row r="1440">
      <c r="A1440" s="2" t="str">
        <f>IFERROR(__xludf.DUMMYFUNCTION("""COMPUTED_VALUE"""),"https://www.facebook.com/amie.maroma.9")</f>
        <v>https://www.facebook.com/amie.maroma.9</v>
      </c>
      <c r="B1440" s="1" t="str">
        <f>IFERROR(__xludf.DUMMYFUNCTION("""COMPUTED_VALUE"""),"Amie Maroma")</f>
        <v>Amie Maroma</v>
      </c>
      <c r="C1440" s="1" t="str">
        <f>IFERROR(__xludf.DUMMYFUNCTION("""COMPUTED_VALUE"""),"Amie")</f>
        <v>Amie</v>
      </c>
      <c r="D1440" s="1" t="str">
        <f>IFERROR(__xludf.DUMMYFUNCTION("""COMPUTED_VALUE"""),"Maroma")</f>
        <v>Maroma</v>
      </c>
      <c r="E1440" s="1" t="str">
        <f>IFERROR(__xludf.DUMMYFUNCTION("""COMPUTED_VALUE"""),"LeniKiko2022💕🙏💕")</f>
        <v>LeniKiko2022💕🙏💕</v>
      </c>
      <c r="F1440" s="1">
        <f>IFERROR(__xludf.DUMMYFUNCTION("""COMPUTED_VALUE"""),13.0)</f>
        <v>13</v>
      </c>
      <c r="G1440" s="1" t="str">
        <f>IFERROR(__xludf.DUMMYFUNCTION("""COMPUTED_VALUE"""),"3 mos")</f>
        <v>3 mos</v>
      </c>
      <c r="H1440" s="1" t="str">
        <f>IFERROR(__xludf.DUMMYFUNCTION("""COMPUTED_VALUE"""),"comment")</f>
        <v>comment</v>
      </c>
      <c r="I1440" s="2" t="str">
        <f>IFERROR(__xludf.DUMMYFUNCTION("""COMPUTED_VALUE"""),"https://www.facebook.com/watch/?v=570590637273208")</f>
        <v>https://www.facebook.com/watch/?v=570590637273208</v>
      </c>
      <c r="J1440" s="1" t="str">
        <f>IFERROR(__xludf.DUMMYFUNCTION("""COMPUTED_VALUE"""),"2022-07-04T15:42:11.153Z")</f>
        <v>2022-07-04T15:42:11.153Z</v>
      </c>
      <c r="K1440" s="1"/>
    </row>
    <row r="1441">
      <c r="A1441" s="2" t="str">
        <f>IFERROR(__xludf.DUMMYFUNCTION("""COMPUTED_VALUE"""),"https://www.facebook.com/lucy.reeves.792")</f>
        <v>https://www.facebook.com/lucy.reeves.792</v>
      </c>
      <c r="B1441" s="1" t="str">
        <f>IFERROR(__xludf.DUMMYFUNCTION("""COMPUTED_VALUE"""),"Lucy Reeves")</f>
        <v>Lucy Reeves</v>
      </c>
      <c r="C1441" s="1" t="str">
        <f>IFERROR(__xludf.DUMMYFUNCTION("""COMPUTED_VALUE"""),"Lucy")</f>
        <v>Lucy</v>
      </c>
      <c r="D1441" s="1" t="str">
        <f>IFERROR(__xludf.DUMMYFUNCTION("""COMPUTED_VALUE"""),"Reeves")</f>
        <v>Reeves</v>
      </c>
      <c r="E1441" s="1" t="str">
        <f>IFERROR(__xludf.DUMMYFUNCTION("""COMPUTED_VALUE"""),"MABUHAY kayo mga Kakampink sa Nueva Ecija GOD BLESS you")</f>
        <v>MABUHAY kayo mga Kakampink sa Nueva Ecija GOD BLESS you</v>
      </c>
      <c r="F1441" s="1">
        <f>IFERROR(__xludf.DUMMYFUNCTION("""COMPUTED_VALUE"""),8.0)</f>
        <v>8</v>
      </c>
      <c r="G1441" s="1" t="str">
        <f>IFERROR(__xludf.DUMMYFUNCTION("""COMPUTED_VALUE"""),"3 mos")</f>
        <v>3 mos</v>
      </c>
      <c r="H1441" s="1" t="str">
        <f>IFERROR(__xludf.DUMMYFUNCTION("""COMPUTED_VALUE"""),"comment")</f>
        <v>comment</v>
      </c>
      <c r="I1441" s="2" t="str">
        <f>IFERROR(__xludf.DUMMYFUNCTION("""COMPUTED_VALUE"""),"https://www.facebook.com/watch/?v=570590637273208")</f>
        <v>https://www.facebook.com/watch/?v=570590637273208</v>
      </c>
      <c r="J1441" s="1" t="str">
        <f>IFERROR(__xludf.DUMMYFUNCTION("""COMPUTED_VALUE"""),"2022-07-04T15:42:11.153Z")</f>
        <v>2022-07-04T15:42:11.153Z</v>
      </c>
      <c r="K1441" s="1"/>
    </row>
    <row r="1442">
      <c r="A1442" s="2" t="str">
        <f>IFERROR(__xludf.DUMMYFUNCTION("""COMPUTED_VALUE"""),"https://www.facebook.com/cortesobet.shooter")</f>
        <v>https://www.facebook.com/cortesobet.shooter</v>
      </c>
      <c r="B1442" s="1" t="str">
        <f>IFERROR(__xludf.DUMMYFUNCTION("""COMPUTED_VALUE"""),"Obet Cartagena")</f>
        <v>Obet Cartagena</v>
      </c>
      <c r="C1442" s="1" t="str">
        <f>IFERROR(__xludf.DUMMYFUNCTION("""COMPUTED_VALUE"""),"Obet")</f>
        <v>Obet</v>
      </c>
      <c r="D1442" s="1" t="str">
        <f>IFERROR(__xludf.DUMMYFUNCTION("""COMPUTED_VALUE"""),"Cartagena")</f>
        <v>Cartagena</v>
      </c>
      <c r="E1442" s="1" t="str">
        <f>IFERROR(__xludf.DUMMYFUNCTION("""COMPUTED_VALUE"""),"Maraming salamat po🙏🙏🙏👍💓💓💓💓")</f>
        <v>Maraming salamat po🙏🙏🙏👍💓💓💓💓</v>
      </c>
      <c r="F1442" s="1"/>
      <c r="G1442" s="1" t="str">
        <f>IFERROR(__xludf.DUMMYFUNCTION("""COMPUTED_VALUE"""),"3 mos")</f>
        <v>3 mos</v>
      </c>
      <c r="H1442" s="1" t="str">
        <f>IFERROR(__xludf.DUMMYFUNCTION("""COMPUTED_VALUE"""),"comment")</f>
        <v>comment</v>
      </c>
      <c r="I1442" s="2" t="str">
        <f>IFERROR(__xludf.DUMMYFUNCTION("""COMPUTED_VALUE"""),"https://www.facebook.com/watch/?v=570590637273208")</f>
        <v>https://www.facebook.com/watch/?v=570590637273208</v>
      </c>
      <c r="J1442" s="1" t="str">
        <f>IFERROR(__xludf.DUMMYFUNCTION("""COMPUTED_VALUE"""),"2022-07-04T15:42:11.153Z")</f>
        <v>2022-07-04T15:42:11.153Z</v>
      </c>
      <c r="K1442" s="1"/>
    </row>
    <row r="1443">
      <c r="A1443" s="2" t="str">
        <f>IFERROR(__xludf.DUMMYFUNCTION("""COMPUTED_VALUE"""),"https://www.facebook.com/RitaAvilaBooksforChildren")</f>
        <v>https://www.facebook.com/RitaAvilaBooksforChildren</v>
      </c>
      <c r="B1443" s="1" t="str">
        <f>IFERROR(__xludf.DUMMYFUNCTION("""COMPUTED_VALUE"""),"Rita Avila")</f>
        <v>Rita Avila</v>
      </c>
      <c r="C1443" s="1" t="str">
        <f>IFERROR(__xludf.DUMMYFUNCTION("""COMPUTED_VALUE"""),"Rita")</f>
        <v>Rita</v>
      </c>
      <c r="D1443" s="1" t="str">
        <f>IFERROR(__xludf.DUMMYFUNCTION("""COMPUTED_VALUE"""),"Avila")</f>
        <v>Avila</v>
      </c>
      <c r="E1443" s="1" t="str">
        <f>IFERROR(__xludf.DUMMYFUNCTION("""COMPUTED_VALUE"""),"PRAYERS for all… Kakampinks o hindi. Mahiya tayo sa Diyos sa mga ginagawa nating hindi kaaya-aya.")</f>
        <v>PRAYERS for all… Kakampinks o hindi. Mahiya tayo sa Diyos sa mga ginagawa nating hindi kaaya-aya.</v>
      </c>
      <c r="F1443" s="1">
        <f>IFERROR(__xludf.DUMMYFUNCTION("""COMPUTED_VALUE"""),111.0)</f>
        <v>111</v>
      </c>
      <c r="G1443" s="1" t="str">
        <f>IFERROR(__xludf.DUMMYFUNCTION("""COMPUTED_VALUE"""),"3 mos")</f>
        <v>3 mos</v>
      </c>
      <c r="H1443" s="1" t="str">
        <f>IFERROR(__xludf.DUMMYFUNCTION("""COMPUTED_VALUE"""),"comment")</f>
        <v>comment</v>
      </c>
      <c r="I1443" s="2" t="str">
        <f>IFERROR(__xludf.DUMMYFUNCTION("""COMPUTED_VALUE"""),"https://www.facebook.com/watch/live/?ref=watch_permalink&amp;v=360307549312104")</f>
        <v>https://www.facebook.com/watch/live/?ref=watch_permalink&amp;v=360307549312104</v>
      </c>
      <c r="J1443" s="1" t="str">
        <f>IFERROR(__xludf.DUMMYFUNCTION("""COMPUTED_VALUE"""),"2022-07-04T15:42:44.430Z")</f>
        <v>2022-07-04T15:42:44.430Z</v>
      </c>
      <c r="K1443" s="1"/>
    </row>
    <row r="1444">
      <c r="A1444" s="2" t="str">
        <f>IFERROR(__xludf.DUMMYFUNCTION("""COMPUTED_VALUE"""),"https://www.facebook.com/romiel.cabrezajr")</f>
        <v>https://www.facebook.com/romiel.cabrezajr</v>
      </c>
      <c r="B1444" s="1" t="str">
        <f>IFERROR(__xludf.DUMMYFUNCTION("""COMPUTED_VALUE"""),"Romeo Peñaflor Cabreza Jr.")</f>
        <v>Romeo Peñaflor Cabreza Jr.</v>
      </c>
      <c r="C1444" s="1" t="str">
        <f>IFERROR(__xludf.DUMMYFUNCTION("""COMPUTED_VALUE"""),"Romeo")</f>
        <v>Romeo</v>
      </c>
      <c r="D1444" s="1" t="str">
        <f>IFERROR(__xludf.DUMMYFUNCTION("""COMPUTED_VALUE"""),"Peñaflor Cabreza Jr.")</f>
        <v>Peñaflor Cabreza Jr.</v>
      </c>
      <c r="E1444" s="1" t="str">
        <f>IFERROR(__xludf.DUMMYFUNCTION("""COMPUTED_VALUE"""),"Opo madam! 💖🥰🌹🙏")</f>
        <v>Opo madam! 💖🥰🌹🙏</v>
      </c>
      <c r="F1444" s="1"/>
      <c r="G1444" s="1" t="str">
        <f>IFERROR(__xludf.DUMMYFUNCTION("""COMPUTED_VALUE"""),"3 mos")</f>
        <v>3 mos</v>
      </c>
      <c r="H1444" s="1" t="str">
        <f>IFERROR(__xludf.DUMMYFUNCTION("""COMPUTED_VALUE"""),"reply")</f>
        <v>reply</v>
      </c>
      <c r="I1444" s="2" t="str">
        <f>IFERROR(__xludf.DUMMYFUNCTION("""COMPUTED_VALUE"""),"https://www.facebook.com/watch/live/?ref=watch_permalink&amp;v=360307549312104")</f>
        <v>https://www.facebook.com/watch/live/?ref=watch_permalink&amp;v=360307549312104</v>
      </c>
      <c r="J1444" s="1" t="str">
        <f>IFERROR(__xludf.DUMMYFUNCTION("""COMPUTED_VALUE"""),"2022-07-04T15:42:44.430Z")</f>
        <v>2022-07-04T15:42:44.430Z</v>
      </c>
      <c r="K1444" s="1"/>
    </row>
    <row r="1445">
      <c r="A1445" s="2" t="str">
        <f>IFERROR(__xludf.DUMMYFUNCTION("""COMPUTED_VALUE"""),"https://www.facebook.com/raulg.azcuna")</f>
        <v>https://www.facebook.com/raulg.azcuna</v>
      </c>
      <c r="B1445" s="1" t="str">
        <f>IFERROR(__xludf.DUMMYFUNCTION("""COMPUTED_VALUE"""),"Raul G Azcuna")</f>
        <v>Raul G Azcuna</v>
      </c>
      <c r="C1445" s="1" t="str">
        <f>IFERROR(__xludf.DUMMYFUNCTION("""COMPUTED_VALUE"""),"Raul")</f>
        <v>Raul</v>
      </c>
      <c r="D1445" s="1" t="str">
        <f>IFERROR(__xludf.DUMMYFUNCTION("""COMPUTED_VALUE"""),"G Azcuna")</f>
        <v>G Azcuna</v>
      </c>
      <c r="E1445" s="1" t="str">
        <f>IFERROR(__xludf.DUMMYFUNCTION("""COMPUTED_VALUE"""),"Rita Avila ano? Mahiya sa duos sa mga ginagawang hindi kayaaya? Yun bang gamitin ang simbahan para sa pansariling kapakanan eh kaayaaya? Tingin din sa sarili ha?")</f>
        <v>Rita Avila ano? Mahiya sa duos sa mga ginagawang hindi kayaaya? Yun bang gamitin ang simbahan para sa pansariling kapakanan eh kaayaaya? Tingin din sa sarili ha?</v>
      </c>
      <c r="F1445" s="1"/>
      <c r="G1445" s="1" t="str">
        <f>IFERROR(__xludf.DUMMYFUNCTION("""COMPUTED_VALUE"""),"3 mos")</f>
        <v>3 mos</v>
      </c>
      <c r="H1445" s="1" t="str">
        <f>IFERROR(__xludf.DUMMYFUNCTION("""COMPUTED_VALUE"""),"reply")</f>
        <v>reply</v>
      </c>
      <c r="I1445" s="2" t="str">
        <f>IFERROR(__xludf.DUMMYFUNCTION("""COMPUTED_VALUE"""),"https://www.facebook.com/watch/live/?ref=watch_permalink&amp;v=360307549312104")</f>
        <v>https://www.facebook.com/watch/live/?ref=watch_permalink&amp;v=360307549312104</v>
      </c>
      <c r="J1445" s="1" t="str">
        <f>IFERROR(__xludf.DUMMYFUNCTION("""COMPUTED_VALUE"""),"2022-07-04T15:42:44.430Z")</f>
        <v>2022-07-04T15:42:44.430Z</v>
      </c>
      <c r="K1445" s="1"/>
    </row>
    <row r="1446">
      <c r="A1446" s="2" t="str">
        <f>IFERROR(__xludf.DUMMYFUNCTION("""COMPUTED_VALUE"""),"https://www.facebook.com/RitaAvilaBooksforChildren")</f>
        <v>https://www.facebook.com/RitaAvilaBooksforChildren</v>
      </c>
      <c r="B1446" s="1" t="str">
        <f>IFERROR(__xludf.DUMMYFUNCTION("""COMPUTED_VALUE"""),"Rita Avila")</f>
        <v>Rita Avila</v>
      </c>
      <c r="C1446" s="1" t="str">
        <f>IFERROR(__xludf.DUMMYFUNCTION("""COMPUTED_VALUE"""),"Rita")</f>
        <v>Rita</v>
      </c>
      <c r="D1446" s="1" t="str">
        <f>IFERROR(__xludf.DUMMYFUNCTION("""COMPUTED_VALUE"""),"Avila")</f>
        <v>Avila</v>
      </c>
      <c r="E1446" s="1" t="str">
        <f>IFERROR(__xludf.DUMMYFUNCTION("""COMPUTED_VALUE"""),"Raul G Azcuna duh d ka nagbabasa ng news")</f>
        <v>Raul G Azcuna duh d ka nagbabasa ng news</v>
      </c>
      <c r="F1446" s="1">
        <f>IFERROR(__xludf.DUMMYFUNCTION("""COMPUTED_VALUE"""),5.0)</f>
        <v>5</v>
      </c>
      <c r="G1446" s="1" t="str">
        <f>IFERROR(__xludf.DUMMYFUNCTION("""COMPUTED_VALUE"""),"3 mos")</f>
        <v>3 mos</v>
      </c>
      <c r="H1446" s="1" t="str">
        <f>IFERROR(__xludf.DUMMYFUNCTION("""COMPUTED_VALUE"""),"reply")</f>
        <v>reply</v>
      </c>
      <c r="I1446" s="2" t="str">
        <f>IFERROR(__xludf.DUMMYFUNCTION("""COMPUTED_VALUE"""),"https://www.facebook.com/watch/live/?ref=watch_permalink&amp;v=360307549312104")</f>
        <v>https://www.facebook.com/watch/live/?ref=watch_permalink&amp;v=360307549312104</v>
      </c>
      <c r="J1446" s="1" t="str">
        <f>IFERROR(__xludf.DUMMYFUNCTION("""COMPUTED_VALUE"""),"2022-07-04T15:42:44.430Z")</f>
        <v>2022-07-04T15:42:44.430Z</v>
      </c>
      <c r="K1446" s="1"/>
    </row>
    <row r="1447">
      <c r="A1447" s="2" t="str">
        <f>IFERROR(__xludf.DUMMYFUNCTION("""COMPUTED_VALUE"""),"https://www.facebook.com/mheldzkie.jean.1")</f>
        <v>https://www.facebook.com/mheldzkie.jean.1</v>
      </c>
      <c r="B1447" s="1" t="str">
        <f>IFERROR(__xludf.DUMMYFUNCTION("""COMPUTED_VALUE"""),"Mheldzkie Jean")</f>
        <v>Mheldzkie Jean</v>
      </c>
      <c r="C1447" s="1" t="str">
        <f>IFERROR(__xludf.DUMMYFUNCTION("""COMPUTED_VALUE"""),"Mheldzkie")</f>
        <v>Mheldzkie</v>
      </c>
      <c r="D1447" s="1" t="str">
        <f>IFERROR(__xludf.DUMMYFUNCTION("""COMPUTED_VALUE"""),"Jean")</f>
        <v>Jean</v>
      </c>
      <c r="E1447" s="1" t="str">
        <f>IFERROR(__xludf.DUMMYFUNCTION("""COMPUTED_VALUE"""),"Rita Avila hello po maam avila")</f>
        <v>Rita Avila hello po maam avila</v>
      </c>
      <c r="F1447" s="1">
        <f>IFERROR(__xludf.DUMMYFUNCTION("""COMPUTED_VALUE"""),1.0)</f>
        <v>1</v>
      </c>
      <c r="G1447" s="1" t="str">
        <f>IFERROR(__xludf.DUMMYFUNCTION("""COMPUTED_VALUE"""),"3 mos")</f>
        <v>3 mos</v>
      </c>
      <c r="H1447" s="1" t="str">
        <f>IFERROR(__xludf.DUMMYFUNCTION("""COMPUTED_VALUE"""),"reply")</f>
        <v>reply</v>
      </c>
      <c r="I1447" s="2" t="str">
        <f>IFERROR(__xludf.DUMMYFUNCTION("""COMPUTED_VALUE"""),"https://www.facebook.com/watch/live/?ref=watch_permalink&amp;v=360307549312104")</f>
        <v>https://www.facebook.com/watch/live/?ref=watch_permalink&amp;v=360307549312104</v>
      </c>
      <c r="J1447" s="1" t="str">
        <f>IFERROR(__xludf.DUMMYFUNCTION("""COMPUTED_VALUE"""),"2022-07-04T15:42:44.430Z")</f>
        <v>2022-07-04T15:42:44.430Z</v>
      </c>
      <c r="K1447" s="1"/>
    </row>
    <row r="1448">
      <c r="A1448" s="2" t="str">
        <f>IFERROR(__xludf.DUMMYFUNCTION("""COMPUTED_VALUE"""),"https://www.facebook.com/divz.magz")</f>
        <v>https://www.facebook.com/divz.magz</v>
      </c>
      <c r="B1448" s="1" t="str">
        <f>IFERROR(__xludf.DUMMYFUNCTION("""COMPUTED_VALUE"""),"MorillaMagpatoc TantoySalado Div")</f>
        <v>MorillaMagpatoc TantoySalado Div</v>
      </c>
      <c r="C1448" s="1" t="str">
        <f>IFERROR(__xludf.DUMMYFUNCTION("""COMPUTED_VALUE"""),"MorillaMagpatoc")</f>
        <v>MorillaMagpatoc</v>
      </c>
      <c r="D1448" s="1" t="str">
        <f>IFERROR(__xludf.DUMMYFUNCTION("""COMPUTED_VALUE"""),"TantoySalado Div")</f>
        <v>TantoySalado Div</v>
      </c>
      <c r="E1448" s="1" t="str">
        <f>IFERROR(__xludf.DUMMYFUNCTION("""COMPUTED_VALUE"""),"Hi miss rita Avila 😘")</f>
        <v>Hi miss rita Avila 😘</v>
      </c>
      <c r="F1448" s="1"/>
      <c r="G1448" s="1" t="str">
        <f>IFERROR(__xludf.DUMMYFUNCTION("""COMPUTED_VALUE"""),"3 mos")</f>
        <v>3 mos</v>
      </c>
      <c r="H1448" s="1" t="str">
        <f>IFERROR(__xludf.DUMMYFUNCTION("""COMPUTED_VALUE"""),"reply")</f>
        <v>reply</v>
      </c>
      <c r="I1448" s="2" t="str">
        <f>IFERROR(__xludf.DUMMYFUNCTION("""COMPUTED_VALUE"""),"https://www.facebook.com/watch/live/?ref=watch_permalink&amp;v=360307549312104")</f>
        <v>https://www.facebook.com/watch/live/?ref=watch_permalink&amp;v=360307549312104</v>
      </c>
      <c r="J1448" s="1" t="str">
        <f>IFERROR(__xludf.DUMMYFUNCTION("""COMPUTED_VALUE"""),"2022-07-04T15:42:44.431Z")</f>
        <v>2022-07-04T15:42:44.431Z</v>
      </c>
      <c r="K1448" s="1"/>
    </row>
    <row r="1449">
      <c r="A1449" s="2" t="str">
        <f>IFERROR(__xludf.DUMMYFUNCTION("""COMPUTED_VALUE"""),"https://www.facebook.com/RitaAvilaBooksforChildren")</f>
        <v>https://www.facebook.com/RitaAvilaBooksforChildren</v>
      </c>
      <c r="B1449" s="1" t="str">
        <f>IFERROR(__xludf.DUMMYFUNCTION("""COMPUTED_VALUE"""),"Rita Avila")</f>
        <v>Rita Avila</v>
      </c>
      <c r="C1449" s="1" t="str">
        <f>IFERROR(__xludf.DUMMYFUNCTION("""COMPUTED_VALUE"""),"Rita")</f>
        <v>Rita</v>
      </c>
      <c r="D1449" s="1" t="str">
        <f>IFERROR(__xludf.DUMMYFUNCTION("""COMPUTED_VALUE"""),"Avila")</f>
        <v>Avila</v>
      </c>
      <c r="E1449" s="1" t="str">
        <f>IFERROR(__xludf.DUMMYFUNCTION("""COMPUTED_VALUE"""),"Mheldzkie Jean ☺️")</f>
        <v>Mheldzkie Jean ☺️</v>
      </c>
      <c r="F1449" s="1">
        <f>IFERROR(__xludf.DUMMYFUNCTION("""COMPUTED_VALUE"""),1.0)</f>
        <v>1</v>
      </c>
      <c r="G1449" s="1" t="str">
        <f>IFERROR(__xludf.DUMMYFUNCTION("""COMPUTED_VALUE"""),"3 mos")</f>
        <v>3 mos</v>
      </c>
      <c r="H1449" s="1" t="str">
        <f>IFERROR(__xludf.DUMMYFUNCTION("""COMPUTED_VALUE"""),"reply")</f>
        <v>reply</v>
      </c>
      <c r="I1449" s="2" t="str">
        <f>IFERROR(__xludf.DUMMYFUNCTION("""COMPUTED_VALUE"""),"https://www.facebook.com/watch/live/?ref=watch_permalink&amp;v=360307549312104")</f>
        <v>https://www.facebook.com/watch/live/?ref=watch_permalink&amp;v=360307549312104</v>
      </c>
      <c r="J1449" s="1" t="str">
        <f>IFERROR(__xludf.DUMMYFUNCTION("""COMPUTED_VALUE"""),"2022-07-04T15:42:44.431Z")</f>
        <v>2022-07-04T15:42:44.431Z</v>
      </c>
      <c r="K1449" s="1"/>
    </row>
    <row r="1450">
      <c r="A1450" s="2" t="str">
        <f>IFERROR(__xludf.DUMMYFUNCTION("""COMPUTED_VALUE"""),"https://www.facebook.com/adelfa.abuda")</f>
        <v>https://www.facebook.com/adelfa.abuda</v>
      </c>
      <c r="B1450" s="1" t="str">
        <f>IFERROR(__xludf.DUMMYFUNCTION("""COMPUTED_VALUE"""),"Adelfa Abuda")</f>
        <v>Adelfa Abuda</v>
      </c>
      <c r="C1450" s="1" t="str">
        <f>IFERROR(__xludf.DUMMYFUNCTION("""COMPUTED_VALUE"""),"Adelfa")</f>
        <v>Adelfa</v>
      </c>
      <c r="D1450" s="1" t="str">
        <f>IFERROR(__xludf.DUMMYFUNCTION("""COMPUTED_VALUE"""),"Abuda")</f>
        <v>Abuda</v>
      </c>
      <c r="E1450" s="1" t="str">
        <f>IFERROR(__xludf.DUMMYFUNCTION("""COMPUTED_VALUE"""),"Hi Rita")</f>
        <v>Hi Rita</v>
      </c>
      <c r="F1450" s="1">
        <f>IFERROR(__xludf.DUMMYFUNCTION("""COMPUTED_VALUE"""),1.0)</f>
        <v>1</v>
      </c>
      <c r="G1450" s="1" t="str">
        <f>IFERROR(__xludf.DUMMYFUNCTION("""COMPUTED_VALUE"""),"3 mos")</f>
        <v>3 mos</v>
      </c>
      <c r="H1450" s="1" t="str">
        <f>IFERROR(__xludf.DUMMYFUNCTION("""COMPUTED_VALUE"""),"reply")</f>
        <v>reply</v>
      </c>
      <c r="I1450" s="2" t="str">
        <f>IFERROR(__xludf.DUMMYFUNCTION("""COMPUTED_VALUE"""),"https://www.facebook.com/watch/live/?ref=watch_permalink&amp;v=360307549312104")</f>
        <v>https://www.facebook.com/watch/live/?ref=watch_permalink&amp;v=360307549312104</v>
      </c>
      <c r="J1450" s="1" t="str">
        <f>IFERROR(__xludf.DUMMYFUNCTION("""COMPUTED_VALUE"""),"2022-07-04T15:42:44.431Z")</f>
        <v>2022-07-04T15:42:44.431Z</v>
      </c>
      <c r="K1450" s="1"/>
    </row>
    <row r="1451">
      <c r="A1451" s="2" t="str">
        <f>IFERROR(__xludf.DUMMYFUNCTION("""COMPUTED_VALUE"""),"https://www.facebook.com/mheldzkie.jean.1")</f>
        <v>https://www.facebook.com/mheldzkie.jean.1</v>
      </c>
      <c r="B1451" s="1" t="str">
        <f>IFERROR(__xludf.DUMMYFUNCTION("""COMPUTED_VALUE"""),"Mheldzkie Jean")</f>
        <v>Mheldzkie Jean</v>
      </c>
      <c r="C1451" s="1" t="str">
        <f>IFERROR(__xludf.DUMMYFUNCTION("""COMPUTED_VALUE"""),"Mheldzkie")</f>
        <v>Mheldzkie</v>
      </c>
      <c r="D1451" s="1" t="str">
        <f>IFERROR(__xludf.DUMMYFUNCTION("""COMPUTED_VALUE"""),"Jean")</f>
        <v>Jean</v>
      </c>
      <c r="E1451" s="1" t="str">
        <f>IFERROR(__xludf.DUMMYFUNCTION("""COMPUTED_VALUE"""),"Rita Avila yes vp at kiko,,")</f>
        <v>Rita Avila yes vp at kiko,,</v>
      </c>
      <c r="F1451" s="1"/>
      <c r="G1451" s="1" t="str">
        <f>IFERROR(__xludf.DUMMYFUNCTION("""COMPUTED_VALUE"""),"3 mos")</f>
        <v>3 mos</v>
      </c>
      <c r="H1451" s="1" t="str">
        <f>IFERROR(__xludf.DUMMYFUNCTION("""COMPUTED_VALUE"""),"reply")</f>
        <v>reply</v>
      </c>
      <c r="I1451" s="2" t="str">
        <f>IFERROR(__xludf.DUMMYFUNCTION("""COMPUTED_VALUE"""),"https://www.facebook.com/watch/live/?ref=watch_permalink&amp;v=360307549312104")</f>
        <v>https://www.facebook.com/watch/live/?ref=watch_permalink&amp;v=360307549312104</v>
      </c>
      <c r="J1451" s="1" t="str">
        <f>IFERROR(__xludf.DUMMYFUNCTION("""COMPUTED_VALUE"""),"2022-07-04T15:42:44.432Z")</f>
        <v>2022-07-04T15:42:44.432Z</v>
      </c>
      <c r="K1451" s="1"/>
    </row>
    <row r="1452">
      <c r="A1452" s="2" t="str">
        <f>IFERROR(__xludf.DUMMYFUNCTION("""COMPUTED_VALUE"""),"https://www.facebook.com/mheldzkie.jean.1")</f>
        <v>https://www.facebook.com/mheldzkie.jean.1</v>
      </c>
      <c r="B1452" s="1" t="str">
        <f>IFERROR(__xludf.DUMMYFUNCTION("""COMPUTED_VALUE"""),"Mheldzkie Jean")</f>
        <v>Mheldzkie Jean</v>
      </c>
      <c r="C1452" s="1" t="str">
        <f>IFERROR(__xludf.DUMMYFUNCTION("""COMPUTED_VALUE"""),"Mheldzkie")</f>
        <v>Mheldzkie</v>
      </c>
      <c r="D1452" s="1" t="str">
        <f>IFERROR(__xludf.DUMMYFUNCTION("""COMPUTED_VALUE"""),"Jean")</f>
        <v>Jean</v>
      </c>
      <c r="E1452" s="1" t="str">
        <f>IFERROR(__xludf.DUMMYFUNCTION("""COMPUTED_VALUE"""),"Rita Avila wow ang daming tao,,godbless po sa inyong lahat jan")</f>
        <v>Rita Avila wow ang daming tao,,godbless po sa inyong lahat jan</v>
      </c>
      <c r="F1452" s="1"/>
      <c r="G1452" s="1" t="str">
        <f>IFERROR(__xludf.DUMMYFUNCTION("""COMPUTED_VALUE"""),"3 mos")</f>
        <v>3 mos</v>
      </c>
      <c r="H1452" s="1" t="str">
        <f>IFERROR(__xludf.DUMMYFUNCTION("""COMPUTED_VALUE"""),"reply")</f>
        <v>reply</v>
      </c>
      <c r="I1452" s="2" t="str">
        <f>IFERROR(__xludf.DUMMYFUNCTION("""COMPUTED_VALUE"""),"https://www.facebook.com/watch/live/?ref=watch_permalink&amp;v=360307549312104")</f>
        <v>https://www.facebook.com/watch/live/?ref=watch_permalink&amp;v=360307549312104</v>
      </c>
      <c r="J1452" s="1" t="str">
        <f>IFERROR(__xludf.DUMMYFUNCTION("""COMPUTED_VALUE"""),"2022-07-04T15:42:44.432Z")</f>
        <v>2022-07-04T15:42:44.432Z</v>
      </c>
      <c r="K1452" s="1"/>
    </row>
    <row r="1453">
      <c r="A1453" s="2" t="str">
        <f>IFERROR(__xludf.DUMMYFUNCTION("""COMPUTED_VALUE"""),"https://www.facebook.com/carizamae.mendoza")</f>
        <v>https://www.facebook.com/carizamae.mendoza</v>
      </c>
      <c r="B1453" s="1" t="str">
        <f>IFERROR(__xludf.DUMMYFUNCTION("""COMPUTED_VALUE"""),"Bal Ong")</f>
        <v>Bal Ong</v>
      </c>
      <c r="C1453" s="1" t="str">
        <f>IFERROR(__xludf.DUMMYFUNCTION("""COMPUTED_VALUE"""),"Bal")</f>
        <v>Bal</v>
      </c>
      <c r="D1453" s="1" t="str">
        <f>IFERROR(__xludf.DUMMYFUNCTION("""COMPUTED_VALUE"""),"Ong")</f>
        <v>Ong</v>
      </c>
      <c r="E1453" s="1" t="str">
        <f>IFERROR(__xludf.DUMMYFUNCTION("""COMPUTED_VALUE"""),"Si tatay digong npo nagsabi wla syang alam")</f>
        <v>Si tatay digong npo nagsabi wla syang alam</v>
      </c>
      <c r="F1453" s="1"/>
      <c r="G1453" s="1" t="str">
        <f>IFERROR(__xludf.DUMMYFUNCTION("""COMPUTED_VALUE"""),"3 mos")</f>
        <v>3 mos</v>
      </c>
      <c r="H1453" s="1" t="str">
        <f>IFERROR(__xludf.DUMMYFUNCTION("""COMPUTED_VALUE"""),"reply")</f>
        <v>reply</v>
      </c>
      <c r="I1453" s="2" t="str">
        <f>IFERROR(__xludf.DUMMYFUNCTION("""COMPUTED_VALUE"""),"https://www.facebook.com/watch/live/?ref=watch_permalink&amp;v=360307549312104")</f>
        <v>https://www.facebook.com/watch/live/?ref=watch_permalink&amp;v=360307549312104</v>
      </c>
      <c r="J1453" s="1" t="str">
        <f>IFERROR(__xludf.DUMMYFUNCTION("""COMPUTED_VALUE"""),"2022-07-04T15:42:44.432Z")</f>
        <v>2022-07-04T15:42:44.432Z</v>
      </c>
      <c r="K1453" s="1"/>
    </row>
    <row r="1454">
      <c r="A1454" s="2" t="str">
        <f>IFERROR(__xludf.DUMMYFUNCTION("""COMPUTED_VALUE"""),"https://www.facebook.com/profile.php?id=100078423849655")</f>
        <v>https://www.facebook.com/profile.php?id=100078423849655</v>
      </c>
      <c r="B1454" s="1" t="str">
        <f>IFERROR(__xludf.DUMMYFUNCTION("""COMPUTED_VALUE"""),"Yuuna Hitaru")</f>
        <v>Yuuna Hitaru</v>
      </c>
      <c r="C1454" s="1" t="str">
        <f>IFERROR(__xludf.DUMMYFUNCTION("""COMPUTED_VALUE"""),"Yuuna")</f>
        <v>Yuuna</v>
      </c>
      <c r="D1454" s="1" t="str">
        <f>IFERROR(__xludf.DUMMYFUNCTION("""COMPUTED_VALUE"""),"Hitaru")</f>
        <v>Hitaru</v>
      </c>
      <c r="E1454" s="1" t="str">
        <f>IFERROR(__xludf.DUMMYFUNCTION("""COMPUTED_VALUE"""),"Bakit si tatay digong mo ba ang teacher para masabi walang alam")</f>
        <v>Bakit si tatay digong mo ba ang teacher para masabi walang alam</v>
      </c>
      <c r="F1454" s="1"/>
      <c r="G1454" s="1" t="str">
        <f>IFERROR(__xludf.DUMMYFUNCTION("""COMPUTED_VALUE"""),"3 mos")</f>
        <v>3 mos</v>
      </c>
      <c r="H1454" s="1" t="str">
        <f>IFERROR(__xludf.DUMMYFUNCTION("""COMPUTED_VALUE"""),"reply")</f>
        <v>reply</v>
      </c>
      <c r="I1454" s="2" t="str">
        <f>IFERROR(__xludf.DUMMYFUNCTION("""COMPUTED_VALUE"""),"https://www.facebook.com/watch/live/?ref=watch_permalink&amp;v=360307549312104")</f>
        <v>https://www.facebook.com/watch/live/?ref=watch_permalink&amp;v=360307549312104</v>
      </c>
      <c r="J1454" s="1" t="str">
        <f>IFERROR(__xludf.DUMMYFUNCTION("""COMPUTED_VALUE"""),"2022-07-04T15:42:44.432Z")</f>
        <v>2022-07-04T15:42:44.432Z</v>
      </c>
      <c r="K1454" s="1"/>
    </row>
    <row r="1455">
      <c r="A1455" s="2" t="str">
        <f>IFERROR(__xludf.DUMMYFUNCTION("""COMPUTED_VALUE"""),"https://www.facebook.com/bella.iriberribuniel")</f>
        <v>https://www.facebook.com/bella.iriberribuniel</v>
      </c>
      <c r="B1455" s="1" t="str">
        <f>IFERROR(__xludf.DUMMYFUNCTION("""COMPUTED_VALUE"""),"Bella Rozanna Iriberri-Buniel")</f>
        <v>Bella Rozanna Iriberri-Buniel</v>
      </c>
      <c r="C1455" s="1" t="str">
        <f>IFERROR(__xludf.DUMMYFUNCTION("""COMPUTED_VALUE"""),"Bella")</f>
        <v>Bella</v>
      </c>
      <c r="D1455" s="1" t="str">
        <f>IFERROR(__xludf.DUMMYFUNCTION("""COMPUTED_VALUE"""),"Rozanna Iriberri-Buniel")</f>
        <v>Rozanna Iriberri-Buniel</v>
      </c>
      <c r="E1455" s="1" t="str">
        <f>IFERROR(__xludf.DUMMYFUNCTION("""COMPUTED_VALUE"""),"Raul G Azcuna inggit pikit. Punta ka na kay Quiboloy.")</f>
        <v>Raul G Azcuna inggit pikit. Punta ka na kay Quiboloy.</v>
      </c>
      <c r="F1455" s="1"/>
      <c r="G1455" s="1" t="str">
        <f>IFERROR(__xludf.DUMMYFUNCTION("""COMPUTED_VALUE"""),"3 mos")</f>
        <v>3 mos</v>
      </c>
      <c r="H1455" s="1" t="str">
        <f>IFERROR(__xludf.DUMMYFUNCTION("""COMPUTED_VALUE"""),"reply")</f>
        <v>reply</v>
      </c>
      <c r="I1455" s="2" t="str">
        <f>IFERROR(__xludf.DUMMYFUNCTION("""COMPUTED_VALUE"""),"https://www.facebook.com/watch/live/?ref=watch_permalink&amp;v=360307549312104")</f>
        <v>https://www.facebook.com/watch/live/?ref=watch_permalink&amp;v=360307549312104</v>
      </c>
      <c r="J1455" s="1" t="str">
        <f>IFERROR(__xludf.DUMMYFUNCTION("""COMPUTED_VALUE"""),"2022-07-04T15:42:44.432Z")</f>
        <v>2022-07-04T15:42:44.432Z</v>
      </c>
      <c r="K1455" s="1"/>
    </row>
    <row r="1456">
      <c r="A1456" s="2" t="str">
        <f>IFERROR(__xludf.DUMMYFUNCTION("""COMPUTED_VALUE"""),"https://www.facebook.com/roger.espiritu.5")</f>
        <v>https://www.facebook.com/roger.espiritu.5</v>
      </c>
      <c r="B1456" s="1" t="str">
        <f>IFERROR(__xludf.DUMMYFUNCTION("""COMPUTED_VALUE"""),"Roger Espiritu")</f>
        <v>Roger Espiritu</v>
      </c>
      <c r="C1456" s="1" t="str">
        <f>IFERROR(__xludf.DUMMYFUNCTION("""COMPUTED_VALUE"""),"Roger")</f>
        <v>Roger</v>
      </c>
      <c r="D1456" s="1" t="str">
        <f>IFERROR(__xludf.DUMMYFUNCTION("""COMPUTED_VALUE"""),"Espiritu")</f>
        <v>Espiritu</v>
      </c>
      <c r="E1456" s="1" t="str">
        <f>IFERROR(__xludf.DUMMYFUNCTION("""COMPUTED_VALUE"""),"Eh ano naman po sabi mo? Salamat po")</f>
        <v>Eh ano naman po sabi mo? Salamat po</v>
      </c>
      <c r="F1456" s="1"/>
      <c r="G1456" s="1" t="str">
        <f>IFERROR(__xludf.DUMMYFUNCTION("""COMPUTED_VALUE"""),"3 mos")</f>
        <v>3 mos</v>
      </c>
      <c r="H1456" s="1" t="str">
        <f>IFERROR(__xludf.DUMMYFUNCTION("""COMPUTED_VALUE"""),"reply")</f>
        <v>reply</v>
      </c>
      <c r="I1456" s="2" t="str">
        <f>IFERROR(__xludf.DUMMYFUNCTION("""COMPUTED_VALUE"""),"https://www.facebook.com/watch/live/?ref=watch_permalink&amp;v=360307549312104")</f>
        <v>https://www.facebook.com/watch/live/?ref=watch_permalink&amp;v=360307549312104</v>
      </c>
      <c r="J1456" s="1" t="str">
        <f>IFERROR(__xludf.DUMMYFUNCTION("""COMPUTED_VALUE"""),"2022-07-04T15:42:44.432Z")</f>
        <v>2022-07-04T15:42:44.432Z</v>
      </c>
      <c r="K1456" s="1"/>
    </row>
    <row r="1457">
      <c r="A1457" s="2" t="str">
        <f>IFERROR(__xludf.DUMMYFUNCTION("""COMPUTED_VALUE"""),"https://www.facebook.com/raulg.azcuna")</f>
        <v>https://www.facebook.com/raulg.azcuna</v>
      </c>
      <c r="B1457" s="1" t="str">
        <f>IFERROR(__xludf.DUMMYFUNCTION("""COMPUTED_VALUE"""),"Raul G Azcuna")</f>
        <v>Raul G Azcuna</v>
      </c>
      <c r="C1457" s="1" t="str">
        <f>IFERROR(__xludf.DUMMYFUNCTION("""COMPUTED_VALUE"""),"Raul")</f>
        <v>Raul</v>
      </c>
      <c r="D1457" s="1" t="str">
        <f>IFERROR(__xludf.DUMMYFUNCTION("""COMPUTED_VALUE"""),"G Azcuna")</f>
        <v>G Azcuna</v>
      </c>
      <c r="E1457" s="1" t="str">
        <f>IFERROR(__xludf.DUMMYFUNCTION("""COMPUTED_VALUE"""),"Bella Rozanna Iriberri-Buniel  https://fb.watch/b_NAj9LjSx/ Tapos na ang live interview pero sigurado may replay. Maliwanagan ka")</f>
        <v>Bella Rozanna Iriberri-Buniel  https://fb.watch/b_NAj9LjSx/ Tapos na ang live interview pero sigurado may replay. Maliwanagan ka</v>
      </c>
      <c r="F1457" s="1"/>
      <c r="G1457" s="1" t="str">
        <f>IFERROR(__xludf.DUMMYFUNCTION("""COMPUTED_VALUE"""),"3 mos")</f>
        <v>3 mos</v>
      </c>
      <c r="H1457" s="1" t="str">
        <f>IFERROR(__xludf.DUMMYFUNCTION("""COMPUTED_VALUE"""),"reply")</f>
        <v>reply</v>
      </c>
      <c r="I1457" s="2" t="str">
        <f>IFERROR(__xludf.DUMMYFUNCTION("""COMPUTED_VALUE"""),"https://www.facebook.com/watch/live/?ref=watch_permalink&amp;v=360307549312104")</f>
        <v>https://www.facebook.com/watch/live/?ref=watch_permalink&amp;v=360307549312104</v>
      </c>
      <c r="J1457" s="1" t="str">
        <f>IFERROR(__xludf.DUMMYFUNCTION("""COMPUTED_VALUE"""),"2022-07-04T15:42:44.432Z")</f>
        <v>2022-07-04T15:42:44.432Z</v>
      </c>
      <c r="K1457" s="1"/>
    </row>
    <row r="1458">
      <c r="A1458" s="2" t="str">
        <f>IFERROR(__xludf.DUMMYFUNCTION("""COMPUTED_VALUE"""),"https://www.facebook.com/elie.cosep.75")</f>
        <v>https://www.facebook.com/elie.cosep.75</v>
      </c>
      <c r="B1458" s="1" t="str">
        <f>IFERROR(__xludf.DUMMYFUNCTION("""COMPUTED_VALUE"""),"Elie Cosep")</f>
        <v>Elie Cosep</v>
      </c>
      <c r="C1458" s="1" t="str">
        <f>IFERROR(__xludf.DUMMYFUNCTION("""COMPUTED_VALUE"""),"Elie")</f>
        <v>Elie</v>
      </c>
      <c r="D1458" s="1" t="str">
        <f>IFERROR(__xludf.DUMMYFUNCTION("""COMPUTED_VALUE"""),"Cosep")</f>
        <v>Cosep</v>
      </c>
      <c r="E1458" s="1" t="str">
        <f>IFERROR(__xludf.DUMMYFUNCTION("""COMPUTED_VALUE"""),"Rita Avila hindi yan didingin sa diyos yung dasal mo ayaw ng diyos sa taong mapanira sa kapwa .kaya wg kanang umasa sa dasal mo kahit tatawagin mo pa lahat na santo dyan")</f>
        <v>Rita Avila hindi yan didingin sa diyos yung dasal mo ayaw ng diyos sa taong mapanira sa kapwa .kaya wg kanang umasa sa dasal mo kahit tatawagin mo pa lahat na santo dyan</v>
      </c>
      <c r="F1458" s="1"/>
      <c r="G1458" s="1" t="str">
        <f>IFERROR(__xludf.DUMMYFUNCTION("""COMPUTED_VALUE"""),"3 mos")</f>
        <v>3 mos</v>
      </c>
      <c r="H1458" s="1" t="str">
        <f>IFERROR(__xludf.DUMMYFUNCTION("""COMPUTED_VALUE"""),"reply")</f>
        <v>reply</v>
      </c>
      <c r="I1458" s="2" t="str">
        <f>IFERROR(__xludf.DUMMYFUNCTION("""COMPUTED_VALUE"""),"https://www.facebook.com/watch/live/?ref=watch_permalink&amp;v=360307549312104")</f>
        <v>https://www.facebook.com/watch/live/?ref=watch_permalink&amp;v=360307549312104</v>
      </c>
      <c r="J1458" s="1" t="str">
        <f>IFERROR(__xludf.DUMMYFUNCTION("""COMPUTED_VALUE"""),"2022-07-04T15:42:44.432Z")</f>
        <v>2022-07-04T15:42:44.432Z</v>
      </c>
      <c r="K1458" s="1"/>
    </row>
    <row r="1459">
      <c r="A1459" s="2" t="str">
        <f>IFERROR(__xludf.DUMMYFUNCTION("""COMPUTED_VALUE"""),"https://www.facebook.com/marlon.sambile.12")</f>
        <v>https://www.facebook.com/marlon.sambile.12</v>
      </c>
      <c r="B1459" s="1" t="str">
        <f>IFERROR(__xludf.DUMMYFUNCTION("""COMPUTED_VALUE"""),"Marlon Perlas Sambile")</f>
        <v>Marlon Perlas Sambile</v>
      </c>
      <c r="C1459" s="1" t="str">
        <f>IFERROR(__xludf.DUMMYFUNCTION("""COMPUTED_VALUE"""),"Marlon")</f>
        <v>Marlon</v>
      </c>
      <c r="D1459" s="1" t="str">
        <f>IFERROR(__xludf.DUMMYFUNCTION("""COMPUTED_VALUE"""),"Perlas Sambile")</f>
        <v>Perlas Sambile</v>
      </c>
      <c r="E1459" s="1" t="str">
        <f>IFERROR(__xludf.DUMMYFUNCTION("""COMPUTED_VALUE"""),"Rita Avila kayo Po mahiya, election idadamay Ang diyos? huwag ganun, magkaiba Tayo ng iboboto pero huwag ganun, magkalaban man Tayo sa pulitika tao lang Tayo may prinsipyong pinaglalaban pero Ang idamay Ang diyos maling mali po, respeto sa Bawat Isa Ang d"&amp;"apat👍")</f>
        <v>Rita Avila kayo Po mahiya, election idadamay Ang diyos? huwag ganun, magkaiba Tayo ng iboboto pero huwag ganun, magkalaban man Tayo sa pulitika tao lang Tayo may prinsipyong pinaglalaban pero Ang idamay Ang diyos maling mali po, respeto sa Bawat Isa Ang dapat👍</v>
      </c>
      <c r="F1459" s="1">
        <f>IFERROR(__xludf.DUMMYFUNCTION("""COMPUTED_VALUE"""),1.0)</f>
        <v>1</v>
      </c>
      <c r="G1459" s="1" t="str">
        <f>IFERROR(__xludf.DUMMYFUNCTION("""COMPUTED_VALUE"""),"3 mos")</f>
        <v>3 mos</v>
      </c>
      <c r="H1459" s="1" t="str">
        <f>IFERROR(__xludf.DUMMYFUNCTION("""COMPUTED_VALUE"""),"reply")</f>
        <v>reply</v>
      </c>
      <c r="I1459" s="2" t="str">
        <f>IFERROR(__xludf.DUMMYFUNCTION("""COMPUTED_VALUE"""),"https://www.facebook.com/watch/live/?ref=watch_permalink&amp;v=360307549312104")</f>
        <v>https://www.facebook.com/watch/live/?ref=watch_permalink&amp;v=360307549312104</v>
      </c>
      <c r="J1459" s="1" t="str">
        <f>IFERROR(__xludf.DUMMYFUNCTION("""COMPUTED_VALUE"""),"2022-07-04T15:42:44.432Z")</f>
        <v>2022-07-04T15:42:44.432Z</v>
      </c>
      <c r="K1459" s="1"/>
    </row>
    <row r="1460">
      <c r="A1460" s="2" t="str">
        <f>IFERROR(__xludf.DUMMYFUNCTION("""COMPUTED_VALUE"""),"https://www.facebook.com/RitaAvilaBooksforChildren")</f>
        <v>https://www.facebook.com/RitaAvilaBooksforChildren</v>
      </c>
      <c r="B1460" s="1" t="str">
        <f>IFERROR(__xludf.DUMMYFUNCTION("""COMPUTED_VALUE"""),"Rita Avila")</f>
        <v>Rita Avila</v>
      </c>
      <c r="C1460" s="1" t="str">
        <f>IFERROR(__xludf.DUMMYFUNCTION("""COMPUTED_VALUE"""),"Rita")</f>
        <v>Rita</v>
      </c>
      <c r="D1460" s="1" t="str">
        <f>IFERROR(__xludf.DUMMYFUNCTION("""COMPUTED_VALUE"""),"Avila")</f>
        <v>Avila</v>
      </c>
      <c r="E1460" s="1" t="str">
        <f>IFERROR(__xludf.DUMMYFUNCTION("""COMPUTED_VALUE"""),"Katungkulan natin ang magsabi ng TOTOO. Bawal ang magkalat ng HINDI TOTOO. Kawawa naman ang mga tao kung MALI ang maririnig.")</f>
        <v>Katungkulan natin ang magsabi ng TOTOO. Bawal ang magkalat ng HINDI TOTOO. Kawawa naman ang mga tao kung MALI ang maririnig.</v>
      </c>
      <c r="F1460" s="1">
        <f>IFERROR(__xludf.DUMMYFUNCTION("""COMPUTED_VALUE"""),68.0)</f>
        <v>68</v>
      </c>
      <c r="G1460" s="1" t="str">
        <f>IFERROR(__xludf.DUMMYFUNCTION("""COMPUTED_VALUE"""),"3 mos")</f>
        <v>3 mos</v>
      </c>
      <c r="H1460" s="1" t="str">
        <f>IFERROR(__xludf.DUMMYFUNCTION("""COMPUTED_VALUE"""),"comment")</f>
        <v>comment</v>
      </c>
      <c r="I1460" s="2" t="str">
        <f>IFERROR(__xludf.DUMMYFUNCTION("""COMPUTED_VALUE"""),"https://www.facebook.com/watch/live/?ref=watch_permalink&amp;v=360307549312104")</f>
        <v>https://www.facebook.com/watch/live/?ref=watch_permalink&amp;v=360307549312104</v>
      </c>
      <c r="J1460" s="1" t="str">
        <f>IFERROR(__xludf.DUMMYFUNCTION("""COMPUTED_VALUE"""),"2022-07-04T15:42:44.432Z")</f>
        <v>2022-07-04T15:42:44.432Z</v>
      </c>
      <c r="K1460" s="1"/>
    </row>
    <row r="1461">
      <c r="A1461" s="2" t="str">
        <f>IFERROR(__xludf.DUMMYFUNCTION("""COMPUTED_VALUE"""),"https://www.facebook.com/romiel.cabrezajr")</f>
        <v>https://www.facebook.com/romiel.cabrezajr</v>
      </c>
      <c r="B1461" s="1" t="str">
        <f>IFERROR(__xludf.DUMMYFUNCTION("""COMPUTED_VALUE"""),"Romeo Peñaflor Cabreza Jr.")</f>
        <v>Romeo Peñaflor Cabreza Jr.</v>
      </c>
      <c r="C1461" s="1" t="str">
        <f>IFERROR(__xludf.DUMMYFUNCTION("""COMPUTED_VALUE"""),"Romeo")</f>
        <v>Romeo</v>
      </c>
      <c r="D1461" s="1" t="str">
        <f>IFERROR(__xludf.DUMMYFUNCTION("""COMPUTED_VALUE"""),"Peñaflor Cabreza Jr.")</f>
        <v>Peñaflor Cabreza Jr.</v>
      </c>
      <c r="E1461" s="1" t="str">
        <f>IFERROR(__xludf.DUMMYFUNCTION("""COMPUTED_VALUE"""),"Yes po madam, sa trueee po! 💖🌹🥰")</f>
        <v>Yes po madam, sa trueee po! 💖🌹🥰</v>
      </c>
      <c r="F1461" s="1">
        <f>IFERROR(__xludf.DUMMYFUNCTION("""COMPUTED_VALUE"""),1.0)</f>
        <v>1</v>
      </c>
      <c r="G1461" s="1" t="str">
        <f>IFERROR(__xludf.DUMMYFUNCTION("""COMPUTED_VALUE"""),"3 mos")</f>
        <v>3 mos</v>
      </c>
      <c r="H1461" s="1" t="str">
        <f>IFERROR(__xludf.DUMMYFUNCTION("""COMPUTED_VALUE"""),"reply")</f>
        <v>reply</v>
      </c>
      <c r="I1461" s="2" t="str">
        <f>IFERROR(__xludf.DUMMYFUNCTION("""COMPUTED_VALUE"""),"https://www.facebook.com/watch/live/?ref=watch_permalink&amp;v=360307549312104")</f>
        <v>https://www.facebook.com/watch/live/?ref=watch_permalink&amp;v=360307549312104</v>
      </c>
      <c r="J1461" s="1" t="str">
        <f>IFERROR(__xludf.DUMMYFUNCTION("""COMPUTED_VALUE"""),"2022-07-04T15:42:44.432Z")</f>
        <v>2022-07-04T15:42:44.432Z</v>
      </c>
      <c r="K1461" s="1"/>
    </row>
    <row r="1462">
      <c r="A1462" s="2" t="str">
        <f>IFERROR(__xludf.DUMMYFUNCTION("""COMPUTED_VALUE"""),"https://www.facebook.com/mheldzkie.jean.1")</f>
        <v>https://www.facebook.com/mheldzkie.jean.1</v>
      </c>
      <c r="B1462" s="1" t="str">
        <f>IFERROR(__xludf.DUMMYFUNCTION("""COMPUTED_VALUE"""),"Mheldzkie Jean")</f>
        <v>Mheldzkie Jean</v>
      </c>
      <c r="C1462" s="1" t="str">
        <f>IFERROR(__xludf.DUMMYFUNCTION("""COMPUTED_VALUE"""),"Mheldzkie")</f>
        <v>Mheldzkie</v>
      </c>
      <c r="D1462" s="1" t="str">
        <f>IFERROR(__xludf.DUMMYFUNCTION("""COMPUTED_VALUE"""),"Jean")</f>
        <v>Jean</v>
      </c>
      <c r="E1462" s="1" t="str">
        <f>IFERROR(__xludf.DUMMYFUNCTION("""COMPUTED_VALUE"""),"Rita Avila tama ka maam")</f>
        <v>Rita Avila tama ka maam</v>
      </c>
      <c r="F1462" s="1">
        <f>IFERROR(__xludf.DUMMYFUNCTION("""COMPUTED_VALUE"""),1.0)</f>
        <v>1</v>
      </c>
      <c r="G1462" s="1" t="str">
        <f>IFERROR(__xludf.DUMMYFUNCTION("""COMPUTED_VALUE"""),"3 mos")</f>
        <v>3 mos</v>
      </c>
      <c r="H1462" s="1" t="str">
        <f>IFERROR(__xludf.DUMMYFUNCTION("""COMPUTED_VALUE"""),"reply")</f>
        <v>reply</v>
      </c>
      <c r="I1462" s="2" t="str">
        <f>IFERROR(__xludf.DUMMYFUNCTION("""COMPUTED_VALUE"""),"https://www.facebook.com/watch/live/?ref=watch_permalink&amp;v=360307549312104")</f>
        <v>https://www.facebook.com/watch/live/?ref=watch_permalink&amp;v=360307549312104</v>
      </c>
      <c r="J1462" s="1" t="str">
        <f>IFERROR(__xludf.DUMMYFUNCTION("""COMPUTED_VALUE"""),"2022-07-04T15:42:44.432Z")</f>
        <v>2022-07-04T15:42:44.432Z</v>
      </c>
      <c r="K1462" s="1"/>
    </row>
    <row r="1463">
      <c r="A1463" s="2" t="str">
        <f>IFERROR(__xludf.DUMMYFUNCTION("""COMPUTED_VALUE"""),"https://www.facebook.com/nathann.delacruz.1")</f>
        <v>https://www.facebook.com/nathann.delacruz.1</v>
      </c>
      <c r="B1463" s="1" t="str">
        <f>IFERROR(__xludf.DUMMYFUNCTION("""COMPUTED_VALUE"""),"Nathann Dela Cruz")</f>
        <v>Nathann Dela Cruz</v>
      </c>
      <c r="C1463" s="1" t="str">
        <f>IFERROR(__xludf.DUMMYFUNCTION("""COMPUTED_VALUE"""),"Nathann")</f>
        <v>Nathann</v>
      </c>
      <c r="D1463" s="1" t="str">
        <f>IFERROR(__xludf.DUMMYFUNCTION("""COMPUTED_VALUE"""),"Dela Cruz")</f>
        <v>Dela Cruz</v>
      </c>
      <c r="E1463" s="1" t="str">
        <f>IFERROR(__xludf.DUMMYFUNCTION("""COMPUTED_VALUE"""),"May kurti tayu. Na dapat sundin")</f>
        <v>May kurti tayu. Na dapat sundin</v>
      </c>
      <c r="F1463" s="1"/>
      <c r="G1463" s="1" t="str">
        <f>IFERROR(__xludf.DUMMYFUNCTION("""COMPUTED_VALUE"""),"3 mos")</f>
        <v>3 mos</v>
      </c>
      <c r="H1463" s="1" t="str">
        <f>IFERROR(__xludf.DUMMYFUNCTION("""COMPUTED_VALUE"""),"reply")</f>
        <v>reply</v>
      </c>
      <c r="I1463" s="2" t="str">
        <f>IFERROR(__xludf.DUMMYFUNCTION("""COMPUTED_VALUE"""),"https://www.facebook.com/watch/live/?ref=watch_permalink&amp;v=360307549312104")</f>
        <v>https://www.facebook.com/watch/live/?ref=watch_permalink&amp;v=360307549312104</v>
      </c>
      <c r="J1463" s="1" t="str">
        <f>IFERROR(__xludf.DUMMYFUNCTION("""COMPUTED_VALUE"""),"2022-07-04T15:42:44.432Z")</f>
        <v>2022-07-04T15:42:44.432Z</v>
      </c>
      <c r="K1463" s="1"/>
    </row>
    <row r="1464">
      <c r="A1464" s="2" t="str">
        <f>IFERROR(__xludf.DUMMYFUNCTION("""COMPUTED_VALUE"""),"https://www.facebook.com/nathann.delacruz.1")</f>
        <v>https://www.facebook.com/nathann.delacruz.1</v>
      </c>
      <c r="B1464" s="1" t="str">
        <f>IFERROR(__xludf.DUMMYFUNCTION("""COMPUTED_VALUE"""),"Nathann Dela Cruz")</f>
        <v>Nathann Dela Cruz</v>
      </c>
      <c r="C1464" s="1" t="str">
        <f>IFERROR(__xludf.DUMMYFUNCTION("""COMPUTED_VALUE"""),"Nathann")</f>
        <v>Nathann</v>
      </c>
      <c r="D1464" s="1" t="str">
        <f>IFERROR(__xludf.DUMMYFUNCTION("""COMPUTED_VALUE"""),"Dela Cruz")</f>
        <v>Dela Cruz</v>
      </c>
      <c r="E1464" s="1" t="str">
        <f>IFERROR(__xludf.DUMMYFUNCTION("""COMPUTED_VALUE"""),"Ano")</f>
        <v>Ano</v>
      </c>
      <c r="F1464" s="1"/>
      <c r="G1464" s="1" t="str">
        <f>IFERROR(__xludf.DUMMYFUNCTION("""COMPUTED_VALUE"""),"3 mos")</f>
        <v>3 mos</v>
      </c>
      <c r="H1464" s="1" t="str">
        <f>IFERROR(__xludf.DUMMYFUNCTION("""COMPUTED_VALUE"""),"reply")</f>
        <v>reply</v>
      </c>
      <c r="I1464" s="2" t="str">
        <f>IFERROR(__xludf.DUMMYFUNCTION("""COMPUTED_VALUE"""),"https://www.facebook.com/watch/live/?ref=watch_permalink&amp;v=360307549312104")</f>
        <v>https://www.facebook.com/watch/live/?ref=watch_permalink&amp;v=360307549312104</v>
      </c>
      <c r="J1464" s="1" t="str">
        <f>IFERROR(__xludf.DUMMYFUNCTION("""COMPUTED_VALUE"""),"2022-07-04T15:42:44.432Z")</f>
        <v>2022-07-04T15:42:44.432Z</v>
      </c>
      <c r="K1464" s="1"/>
    </row>
    <row r="1465">
      <c r="A1465" s="2" t="str">
        <f>IFERROR(__xludf.DUMMYFUNCTION("""COMPUTED_VALUE"""),"https://www.facebook.com/nathann.delacruz.1")</f>
        <v>https://www.facebook.com/nathann.delacruz.1</v>
      </c>
      <c r="B1465" s="1" t="str">
        <f>IFERROR(__xludf.DUMMYFUNCTION("""COMPUTED_VALUE"""),"Nathann Dela Cruz")</f>
        <v>Nathann Dela Cruz</v>
      </c>
      <c r="C1465" s="1" t="str">
        <f>IFERROR(__xludf.DUMMYFUNCTION("""COMPUTED_VALUE"""),"Nathann")</f>
        <v>Nathann</v>
      </c>
      <c r="D1465" s="1" t="str">
        <f>IFERROR(__xludf.DUMMYFUNCTION("""COMPUTED_VALUE"""),"Dela Cruz")</f>
        <v>Dela Cruz</v>
      </c>
      <c r="E1465" s="1" t="str">
        <f>IFERROR(__xludf.DUMMYFUNCTION("""COMPUTED_VALUE"""),"Asan ang ang mga reklamo nyu")</f>
        <v>Asan ang ang mga reklamo nyu</v>
      </c>
      <c r="F1465" s="1"/>
      <c r="G1465" s="1" t="str">
        <f>IFERROR(__xludf.DUMMYFUNCTION("""COMPUTED_VALUE"""),"3 mos")</f>
        <v>3 mos</v>
      </c>
      <c r="H1465" s="1" t="str">
        <f>IFERROR(__xludf.DUMMYFUNCTION("""COMPUTED_VALUE"""),"reply")</f>
        <v>reply</v>
      </c>
      <c r="I1465" s="2" t="str">
        <f>IFERROR(__xludf.DUMMYFUNCTION("""COMPUTED_VALUE"""),"https://www.facebook.com/watch/live/?ref=watch_permalink&amp;v=360307549312104")</f>
        <v>https://www.facebook.com/watch/live/?ref=watch_permalink&amp;v=360307549312104</v>
      </c>
      <c r="J1465" s="1" t="str">
        <f>IFERROR(__xludf.DUMMYFUNCTION("""COMPUTED_VALUE"""),"2022-07-04T15:42:44.432Z")</f>
        <v>2022-07-04T15:42:44.432Z</v>
      </c>
      <c r="K1465" s="1"/>
    </row>
    <row r="1466">
      <c r="A1466" s="2" t="str">
        <f>IFERROR(__xludf.DUMMYFUNCTION("""COMPUTED_VALUE"""),"https://www.facebook.com/nathann.delacruz.1")</f>
        <v>https://www.facebook.com/nathann.delacruz.1</v>
      </c>
      <c r="B1466" s="1" t="str">
        <f>IFERROR(__xludf.DUMMYFUNCTION("""COMPUTED_VALUE"""),"Nathann Dela Cruz")</f>
        <v>Nathann Dela Cruz</v>
      </c>
      <c r="C1466" s="1" t="str">
        <f>IFERROR(__xludf.DUMMYFUNCTION("""COMPUTED_VALUE"""),"Nathann")</f>
        <v>Nathann</v>
      </c>
      <c r="D1466" s="1" t="str">
        <f>IFERROR(__xludf.DUMMYFUNCTION("""COMPUTED_VALUE"""),"Dela Cruz")</f>
        <v>Dela Cruz</v>
      </c>
      <c r="E1466" s="1" t="str">
        <f>IFERROR(__xludf.DUMMYFUNCTION("""COMPUTED_VALUE"""),"Ano bat ndi  pa sila nakukulung. Kasi wala silang kasalanan.")</f>
        <v>Ano bat ndi  pa sila nakukulung. Kasi wala silang kasalanan.</v>
      </c>
      <c r="F1466" s="1">
        <f>IFERROR(__xludf.DUMMYFUNCTION("""COMPUTED_VALUE"""),3.0)</f>
        <v>3</v>
      </c>
      <c r="G1466" s="1" t="str">
        <f>IFERROR(__xludf.DUMMYFUNCTION("""COMPUTED_VALUE"""),"3 mos")</f>
        <v>3 mos</v>
      </c>
      <c r="H1466" s="1" t="str">
        <f>IFERROR(__xludf.DUMMYFUNCTION("""COMPUTED_VALUE"""),"reply")</f>
        <v>reply</v>
      </c>
      <c r="I1466" s="2" t="str">
        <f>IFERROR(__xludf.DUMMYFUNCTION("""COMPUTED_VALUE"""),"https://www.facebook.com/watch/live/?ref=watch_permalink&amp;v=360307549312104")</f>
        <v>https://www.facebook.com/watch/live/?ref=watch_permalink&amp;v=360307549312104</v>
      </c>
      <c r="J1466" s="1" t="str">
        <f>IFERROR(__xludf.DUMMYFUNCTION("""COMPUTED_VALUE"""),"2022-07-04T15:42:44.432Z")</f>
        <v>2022-07-04T15:42:44.432Z</v>
      </c>
      <c r="K1466" s="1"/>
    </row>
    <row r="1467">
      <c r="A1467" s="2" t="str">
        <f>IFERROR(__xludf.DUMMYFUNCTION("""COMPUTED_VALUE"""),"https://www.facebook.com/emily.capistrano.5")</f>
        <v>https://www.facebook.com/emily.capistrano.5</v>
      </c>
      <c r="B1467" s="1" t="str">
        <f>IFERROR(__xludf.DUMMYFUNCTION("""COMPUTED_VALUE"""),"Emily Capistrano")</f>
        <v>Emily Capistrano</v>
      </c>
      <c r="C1467" s="1" t="str">
        <f>IFERROR(__xludf.DUMMYFUNCTION("""COMPUTED_VALUE"""),"Emily")</f>
        <v>Emily</v>
      </c>
      <c r="D1467" s="1" t="str">
        <f>IFERROR(__xludf.DUMMYFUNCTION("""COMPUTED_VALUE"""),"Capistrano")</f>
        <v>Capistrano</v>
      </c>
      <c r="E1467" s="1" t="str">
        <f>IFERROR(__xludf.DUMMYFUNCTION("""COMPUTED_VALUE"""),"Mabuhay ka Sen.de Lima you have my vote together with my family.the truth will set you free..Mabalos God bless.")</f>
        <v>Mabuhay ka Sen.de Lima you have my vote together with my family.the truth will set you free..Mabalos God bless.</v>
      </c>
      <c r="F1467" s="1">
        <f>IFERROR(__xludf.DUMMYFUNCTION("""COMPUTED_VALUE"""),21.0)</f>
        <v>21</v>
      </c>
      <c r="G1467" s="1" t="str">
        <f>IFERROR(__xludf.DUMMYFUNCTION("""COMPUTED_VALUE"""),"3 mos")</f>
        <v>3 mos</v>
      </c>
      <c r="H1467" s="1" t="str">
        <f>IFERROR(__xludf.DUMMYFUNCTION("""COMPUTED_VALUE"""),"comment")</f>
        <v>comment</v>
      </c>
      <c r="I1467" s="2" t="str">
        <f>IFERROR(__xludf.DUMMYFUNCTION("""COMPUTED_VALUE"""),"https://www.facebook.com/watch/live/?ref=watch_permalink&amp;v=360307549312104")</f>
        <v>https://www.facebook.com/watch/live/?ref=watch_permalink&amp;v=360307549312104</v>
      </c>
      <c r="J1467" s="1" t="str">
        <f>IFERROR(__xludf.DUMMYFUNCTION("""COMPUTED_VALUE"""),"2022-07-04T15:42:44.432Z")</f>
        <v>2022-07-04T15:42:44.432Z</v>
      </c>
      <c r="K1467" s="1"/>
    </row>
    <row r="1468">
      <c r="A1468" s="2" t="str">
        <f>IFERROR(__xludf.DUMMYFUNCTION("""COMPUTED_VALUE"""),"https://www.facebook.com/mariabella.fernandez.9")</f>
        <v>https://www.facebook.com/mariabella.fernandez.9</v>
      </c>
      <c r="B1468" s="1" t="str">
        <f>IFERROR(__xludf.DUMMYFUNCTION("""COMPUTED_VALUE"""),"Maria Bella Fernandez")</f>
        <v>Maria Bella Fernandez</v>
      </c>
      <c r="C1468" s="1" t="str">
        <f>IFERROR(__xludf.DUMMYFUNCTION("""COMPUTED_VALUE"""),"Maria")</f>
        <v>Maria</v>
      </c>
      <c r="D1468" s="1" t="str">
        <f>IFERROR(__xludf.DUMMYFUNCTION("""COMPUTED_VALUE"""),"Bella Fernandez")</f>
        <v>Bella Fernandez</v>
      </c>
      <c r="E1468" s="1" t="str">
        <f>IFERROR(__xludf.DUMMYFUNCTION("""COMPUTED_VALUE"""),"Emily Capistrano 🙏🏽🙏🏽🙏🏽 💕💕💕 for the win")</f>
        <v>Emily Capistrano 🙏🏽🙏🏽🙏🏽 💕💕💕 for the win</v>
      </c>
      <c r="F1468" s="1"/>
      <c r="G1468" s="1" t="str">
        <f>IFERROR(__xludf.DUMMYFUNCTION("""COMPUTED_VALUE"""),"3 mos")</f>
        <v>3 mos</v>
      </c>
      <c r="H1468" s="1" t="str">
        <f>IFERROR(__xludf.DUMMYFUNCTION("""COMPUTED_VALUE"""),"reply")</f>
        <v>reply</v>
      </c>
      <c r="I1468" s="2" t="str">
        <f>IFERROR(__xludf.DUMMYFUNCTION("""COMPUTED_VALUE"""),"https://www.facebook.com/watch/live/?ref=watch_permalink&amp;v=360307549312104")</f>
        <v>https://www.facebook.com/watch/live/?ref=watch_permalink&amp;v=360307549312104</v>
      </c>
      <c r="J1468" s="1" t="str">
        <f>IFERROR(__xludf.DUMMYFUNCTION("""COMPUTED_VALUE"""),"2022-07-04T15:42:44.433Z")</f>
        <v>2022-07-04T15:42:44.433Z</v>
      </c>
      <c r="K1468" s="1"/>
    </row>
    <row r="1469">
      <c r="A1469" s="2" t="str">
        <f>IFERROR(__xludf.DUMMYFUNCTION("""COMPUTED_VALUE"""),"https://www.facebook.com/gem.hernan")</f>
        <v>https://www.facebook.com/gem.hernan</v>
      </c>
      <c r="B1469" s="1" t="str">
        <f>IFERROR(__xludf.DUMMYFUNCTION("""COMPUTED_VALUE"""),"Gem Hernan")</f>
        <v>Gem Hernan</v>
      </c>
      <c r="C1469" s="1" t="str">
        <f>IFERROR(__xludf.DUMMYFUNCTION("""COMPUTED_VALUE"""),"Gem")</f>
        <v>Gem</v>
      </c>
      <c r="D1469" s="1" t="str">
        <f>IFERROR(__xludf.DUMMYFUNCTION("""COMPUTED_VALUE"""),"Hernan")</f>
        <v>Hernan</v>
      </c>
      <c r="E1469" s="1" t="str">
        <f>IFERROR(__xludf.DUMMYFUNCTION("""COMPUTED_VALUE"""),"Stay strong Sen Leila! We support you and will vote for you again this 2022! God protect and save you!")</f>
        <v>Stay strong Sen Leila! We support you and will vote for you again this 2022! God protect and save you!</v>
      </c>
      <c r="F1469" s="1">
        <f>IFERROR(__xludf.DUMMYFUNCTION("""COMPUTED_VALUE"""),13.0)</f>
        <v>13</v>
      </c>
      <c r="G1469" s="1" t="str">
        <f>IFERROR(__xludf.DUMMYFUNCTION("""COMPUTED_VALUE"""),"3 mos")</f>
        <v>3 mos</v>
      </c>
      <c r="H1469" s="1" t="str">
        <f>IFERROR(__xludf.DUMMYFUNCTION("""COMPUTED_VALUE"""),"comment")</f>
        <v>comment</v>
      </c>
      <c r="I1469" s="2" t="str">
        <f>IFERROR(__xludf.DUMMYFUNCTION("""COMPUTED_VALUE"""),"https://www.facebook.com/watch/live/?ref=watch_permalink&amp;v=360307549312104")</f>
        <v>https://www.facebook.com/watch/live/?ref=watch_permalink&amp;v=360307549312104</v>
      </c>
      <c r="J1469" s="1" t="str">
        <f>IFERROR(__xludf.DUMMYFUNCTION("""COMPUTED_VALUE"""),"2022-07-04T15:42:44.433Z")</f>
        <v>2022-07-04T15:42:44.433Z</v>
      </c>
      <c r="K1469" s="1"/>
    </row>
    <row r="1470">
      <c r="A1470" s="2" t="str">
        <f>IFERROR(__xludf.DUMMYFUNCTION("""COMPUTED_VALUE"""),"https://www.facebook.com/gil.cerin")</f>
        <v>https://www.facebook.com/gil.cerin</v>
      </c>
      <c r="B1470" s="1" t="str">
        <f>IFERROR(__xludf.DUMMYFUNCTION("""COMPUTED_VALUE"""),"Gil Cerin")</f>
        <v>Gil Cerin</v>
      </c>
      <c r="C1470" s="1" t="str">
        <f>IFERROR(__xludf.DUMMYFUNCTION("""COMPUTED_VALUE"""),"Gil")</f>
        <v>Gil</v>
      </c>
      <c r="D1470" s="1" t="str">
        <f>IFERROR(__xludf.DUMMYFUNCTION("""COMPUTED_VALUE"""),"Cerin")</f>
        <v>Cerin</v>
      </c>
      <c r="E1470" s="1" t="str">
        <f>IFERROR(__xludf.DUMMYFUNCTION("""COMPUTED_VALUE"""),"CaMaNaVaIsPink!!! #LetLeniLead  ✅Decency ✅Track record ✅Competency  #LeniKiko2022  #GobyernongTapatAngatBuhayLahat")</f>
        <v>CaMaNaVaIsPink!!! #LetLeniLead  ✅Decency ✅Track record ✅Competency  #LeniKiko2022  #GobyernongTapatAngatBuhayLahat</v>
      </c>
      <c r="F1470" s="1">
        <f>IFERROR(__xludf.DUMMYFUNCTION("""COMPUTED_VALUE"""),6.0)</f>
        <v>6</v>
      </c>
      <c r="G1470" s="1" t="str">
        <f>IFERROR(__xludf.DUMMYFUNCTION("""COMPUTED_VALUE"""),"3 mos")</f>
        <v>3 mos</v>
      </c>
      <c r="H1470" s="1" t="str">
        <f>IFERROR(__xludf.DUMMYFUNCTION("""COMPUTED_VALUE"""),"comment")</f>
        <v>comment</v>
      </c>
      <c r="I1470" s="2" t="str">
        <f>IFERROR(__xludf.DUMMYFUNCTION("""COMPUTED_VALUE"""),"https://www.facebook.com/watch/live/?ref=watch_permalink&amp;v=360307549312104")</f>
        <v>https://www.facebook.com/watch/live/?ref=watch_permalink&amp;v=360307549312104</v>
      </c>
      <c r="J1470" s="1" t="str">
        <f>IFERROR(__xludf.DUMMYFUNCTION("""COMPUTED_VALUE"""),"2022-07-04T15:42:44.433Z")</f>
        <v>2022-07-04T15:42:44.433Z</v>
      </c>
      <c r="K1470" s="1"/>
    </row>
    <row r="1471">
      <c r="A1471" s="2" t="str">
        <f>IFERROR(__xludf.DUMMYFUNCTION("""COMPUTED_VALUE"""),"https://www.facebook.com/ashley.siodena")</f>
        <v>https://www.facebook.com/ashley.siodena</v>
      </c>
      <c r="B1471" s="1" t="str">
        <f>IFERROR(__xludf.DUMMYFUNCTION("""COMPUTED_VALUE"""),"シェリル シオデナ")</f>
        <v>シェリル シオデナ</v>
      </c>
      <c r="C1471" s="1" t="str">
        <f>IFERROR(__xludf.DUMMYFUNCTION("""COMPUTED_VALUE"""),"シェリル")</f>
        <v>シェリル</v>
      </c>
      <c r="D1471" s="1" t="str">
        <f>IFERROR(__xludf.DUMMYFUNCTION("""COMPUTED_VALUE"""),"シオデナ")</f>
        <v>シオデナ</v>
      </c>
      <c r="E1471" s="1" t="str">
        <f>IFERROR(__xludf.DUMMYFUNCTION("""COMPUTED_VALUE"""),"Gil Cerin Yan akala mo:) Decency?? naku wake up pips!")</f>
        <v>Gil Cerin Yan akala mo:) Decency?? naku wake up pips!</v>
      </c>
      <c r="F1471" s="1"/>
      <c r="G1471" s="1" t="str">
        <f>IFERROR(__xludf.DUMMYFUNCTION("""COMPUTED_VALUE"""),"3 mos")</f>
        <v>3 mos</v>
      </c>
      <c r="H1471" s="1" t="str">
        <f>IFERROR(__xludf.DUMMYFUNCTION("""COMPUTED_VALUE"""),"reply")</f>
        <v>reply</v>
      </c>
      <c r="I1471" s="2" t="str">
        <f>IFERROR(__xludf.DUMMYFUNCTION("""COMPUTED_VALUE"""),"https://www.facebook.com/watch/live/?ref=watch_permalink&amp;v=360307549312104")</f>
        <v>https://www.facebook.com/watch/live/?ref=watch_permalink&amp;v=360307549312104</v>
      </c>
      <c r="J1471" s="1" t="str">
        <f>IFERROR(__xludf.DUMMYFUNCTION("""COMPUTED_VALUE"""),"2022-07-04T15:42:44.433Z")</f>
        <v>2022-07-04T15:42:44.433Z</v>
      </c>
      <c r="K1471" s="1"/>
    </row>
    <row r="1472">
      <c r="A1472" s="2" t="str">
        <f>IFERROR(__xludf.DUMMYFUNCTION("""COMPUTED_VALUE"""),"https://www.facebook.com/0331Dva")</f>
        <v>https://www.facebook.com/0331Dva</v>
      </c>
      <c r="B1472" s="1" t="str">
        <f>IFERROR(__xludf.DUMMYFUNCTION("""COMPUTED_VALUE"""),"JR Ramirez")</f>
        <v>JR Ramirez</v>
      </c>
      <c r="C1472" s="1" t="str">
        <f>IFERROR(__xludf.DUMMYFUNCTION("""COMPUTED_VALUE"""),"JR")</f>
        <v>JR</v>
      </c>
      <c r="D1472" s="1" t="str">
        <f>IFERROR(__xludf.DUMMYFUNCTION("""COMPUTED_VALUE"""),"Ramirez")</f>
        <v>Ramirez</v>
      </c>
      <c r="E1472" s="1" t="str">
        <f>IFERROR(__xludf.DUMMYFUNCTION("""COMPUTED_VALUE"""),"シェリル シオデナ need mo n nga gumising")</f>
        <v>シェリル シオデナ need mo n nga gumising</v>
      </c>
      <c r="F1472" s="1"/>
      <c r="G1472" s="1" t="str">
        <f>IFERROR(__xludf.DUMMYFUNCTION("""COMPUTED_VALUE"""),"3 mos")</f>
        <v>3 mos</v>
      </c>
      <c r="H1472" s="1" t="str">
        <f>IFERROR(__xludf.DUMMYFUNCTION("""COMPUTED_VALUE"""),"reply")</f>
        <v>reply</v>
      </c>
      <c r="I1472" s="2" t="str">
        <f>IFERROR(__xludf.DUMMYFUNCTION("""COMPUTED_VALUE"""),"https://www.facebook.com/watch/live/?ref=watch_permalink&amp;v=360307549312104")</f>
        <v>https://www.facebook.com/watch/live/?ref=watch_permalink&amp;v=360307549312104</v>
      </c>
      <c r="J1472" s="1" t="str">
        <f>IFERROR(__xludf.DUMMYFUNCTION("""COMPUTED_VALUE"""),"2022-07-04T15:42:44.433Z")</f>
        <v>2022-07-04T15:42:44.433Z</v>
      </c>
      <c r="K1472" s="1"/>
    </row>
    <row r="1473">
      <c r="A1473" s="2" t="str">
        <f>IFERROR(__xludf.DUMMYFUNCTION("""COMPUTED_VALUE"""),"https://www.facebook.com/mabeltamparong")</f>
        <v>https://www.facebook.com/mabeltamparong</v>
      </c>
      <c r="B1473" s="1" t="str">
        <f>IFERROR(__xludf.DUMMYFUNCTION("""COMPUTED_VALUE"""),"Mabel Tamparong")</f>
        <v>Mabel Tamparong</v>
      </c>
      <c r="C1473" s="1" t="str">
        <f>IFERROR(__xludf.DUMMYFUNCTION("""COMPUTED_VALUE"""),"Mabel")</f>
        <v>Mabel</v>
      </c>
      <c r="D1473" s="1" t="str">
        <f>IFERROR(__xludf.DUMMYFUNCTION("""COMPUTED_VALUE"""),"Tamparong")</f>
        <v>Tamparong</v>
      </c>
      <c r="E1473" s="1" t="str">
        <f>IFERROR(__xludf.DUMMYFUNCTION("""COMPUTED_VALUE"""),"To all trolls you know we are praying for all of you may God open your heart's and minds to choose the right candidate for the positions 🙏🙏🙏")</f>
        <v>To all trolls you know we are praying for all of you may God open your heart's and minds to choose the right candidate for the positions 🙏🙏🙏</v>
      </c>
      <c r="F1473" s="1">
        <f>IFERROR(__xludf.DUMMYFUNCTION("""COMPUTED_VALUE"""),9.0)</f>
        <v>9</v>
      </c>
      <c r="G1473" s="1" t="str">
        <f>IFERROR(__xludf.DUMMYFUNCTION("""COMPUTED_VALUE"""),"3 mos")</f>
        <v>3 mos</v>
      </c>
      <c r="H1473" s="1" t="str">
        <f>IFERROR(__xludf.DUMMYFUNCTION("""COMPUTED_VALUE"""),"comment")</f>
        <v>comment</v>
      </c>
      <c r="I1473" s="2" t="str">
        <f>IFERROR(__xludf.DUMMYFUNCTION("""COMPUTED_VALUE"""),"https://www.facebook.com/watch/live/?ref=watch_permalink&amp;v=360307549312104")</f>
        <v>https://www.facebook.com/watch/live/?ref=watch_permalink&amp;v=360307549312104</v>
      </c>
      <c r="J1473" s="1" t="str">
        <f>IFERROR(__xludf.DUMMYFUNCTION("""COMPUTED_VALUE"""),"2022-07-04T15:42:44.433Z")</f>
        <v>2022-07-04T15:42:44.433Z</v>
      </c>
      <c r="K1473" s="1"/>
    </row>
    <row r="1474">
      <c r="A1474" s="2" t="str">
        <f>IFERROR(__xludf.DUMMYFUNCTION("""COMPUTED_VALUE"""),"https://www.facebook.com/edralin.munoz.7")</f>
        <v>https://www.facebook.com/edralin.munoz.7</v>
      </c>
      <c r="B1474" s="1" t="str">
        <f>IFERROR(__xludf.DUMMYFUNCTION("""COMPUTED_VALUE"""),"Edralin Marquez Muñoz")</f>
        <v>Edralin Marquez Muñoz</v>
      </c>
      <c r="C1474" s="1" t="str">
        <f>IFERROR(__xludf.DUMMYFUNCTION("""COMPUTED_VALUE"""),"Edralin")</f>
        <v>Edralin</v>
      </c>
      <c r="D1474" s="1" t="str">
        <f>IFERROR(__xludf.DUMMYFUNCTION("""COMPUTED_VALUE"""),"Marquez Muñoz")</f>
        <v>Marquez Muñoz</v>
      </c>
      <c r="E1474" s="1" t="str">
        <f>IFERROR(__xludf.DUMMYFUNCTION("""COMPUTED_VALUE"""),"If you have integrity, vote for a president with integrity. #LetLeniLead2022")</f>
        <v>If you have integrity, vote for a president with integrity. #LetLeniLead2022</v>
      </c>
      <c r="F1474" s="1">
        <f>IFERROR(__xludf.DUMMYFUNCTION("""COMPUTED_VALUE"""),4.0)</f>
        <v>4</v>
      </c>
      <c r="G1474" s="1" t="str">
        <f>IFERROR(__xludf.DUMMYFUNCTION("""COMPUTED_VALUE"""),"3 mos")</f>
        <v>3 mos</v>
      </c>
      <c r="H1474" s="1" t="str">
        <f>IFERROR(__xludf.DUMMYFUNCTION("""COMPUTED_VALUE"""),"comment")</f>
        <v>comment</v>
      </c>
      <c r="I1474" s="2" t="str">
        <f>IFERROR(__xludf.DUMMYFUNCTION("""COMPUTED_VALUE"""),"https://www.facebook.com/watch/live/?ref=watch_permalink&amp;v=360307549312104")</f>
        <v>https://www.facebook.com/watch/live/?ref=watch_permalink&amp;v=360307549312104</v>
      </c>
      <c r="J1474" s="1" t="str">
        <f>IFERROR(__xludf.DUMMYFUNCTION("""COMPUTED_VALUE"""),"2022-07-04T15:42:44.433Z")</f>
        <v>2022-07-04T15:42:44.433Z</v>
      </c>
      <c r="K1474" s="1"/>
    </row>
    <row r="1475">
      <c r="A1475" s="2" t="str">
        <f>IFERROR(__xludf.DUMMYFUNCTION("""COMPUTED_VALUE"""),"https://www.facebook.com/arki.ikra")</f>
        <v>https://www.facebook.com/arki.ikra</v>
      </c>
      <c r="B1475" s="1" t="str">
        <f>IFERROR(__xludf.DUMMYFUNCTION("""COMPUTED_VALUE"""),"Arki Ikra")</f>
        <v>Arki Ikra</v>
      </c>
      <c r="C1475" s="1" t="str">
        <f>IFERROR(__xludf.DUMMYFUNCTION("""COMPUTED_VALUE"""),"Arki")</f>
        <v>Arki</v>
      </c>
      <c r="D1475" s="1" t="str">
        <f>IFERROR(__xludf.DUMMYFUNCTION("""COMPUTED_VALUE"""),"Ikra")</f>
        <v>Ikra</v>
      </c>
      <c r="E1475" s="1" t="str">
        <f>IFERROR(__xludf.DUMMYFUNCTION("""COMPUTED_VALUE"""),"Edralin Marquez Muñoz no thanks ahhahaha")</f>
        <v>Edralin Marquez Muñoz no thanks ahhahaha</v>
      </c>
      <c r="F1475" s="1"/>
      <c r="G1475" s="1" t="str">
        <f>IFERROR(__xludf.DUMMYFUNCTION("""COMPUTED_VALUE"""),"3 mos")</f>
        <v>3 mos</v>
      </c>
      <c r="H1475" s="1" t="str">
        <f>IFERROR(__xludf.DUMMYFUNCTION("""COMPUTED_VALUE"""),"reply")</f>
        <v>reply</v>
      </c>
      <c r="I1475" s="2" t="str">
        <f>IFERROR(__xludf.DUMMYFUNCTION("""COMPUTED_VALUE"""),"https://www.facebook.com/watch/live/?ref=watch_permalink&amp;v=360307549312104")</f>
        <v>https://www.facebook.com/watch/live/?ref=watch_permalink&amp;v=360307549312104</v>
      </c>
      <c r="J1475" s="1" t="str">
        <f>IFERROR(__xludf.DUMMYFUNCTION("""COMPUTED_VALUE"""),"2022-07-04T15:42:44.433Z")</f>
        <v>2022-07-04T15:42:44.433Z</v>
      </c>
      <c r="K1475" s="1"/>
    </row>
    <row r="1476">
      <c r="A1476" s="2" t="str">
        <f>IFERROR(__xludf.DUMMYFUNCTION("""COMPUTED_VALUE"""),"https://www.facebook.com/road.mccane")</f>
        <v>https://www.facebook.com/road.mccane</v>
      </c>
      <c r="B1476" s="1" t="str">
        <f>IFERROR(__xludf.DUMMYFUNCTION("""COMPUTED_VALUE"""),"Roneth Dora Masangkay")</f>
        <v>Roneth Dora Masangkay</v>
      </c>
      <c r="C1476" s="1" t="str">
        <f>IFERROR(__xludf.DUMMYFUNCTION("""COMPUTED_VALUE"""),"Roneth")</f>
        <v>Roneth</v>
      </c>
      <c r="D1476" s="1" t="str">
        <f>IFERROR(__xludf.DUMMYFUNCTION("""COMPUTED_VALUE"""),"Dora Masangkay")</f>
        <v>Dora Masangkay</v>
      </c>
      <c r="E1476" s="1" t="str">
        <f>IFERROR(__xludf.DUMMYFUNCTION("""COMPUTED_VALUE"""),"Edralin Marquez Muñoz hahaha in your dreams. Integrity is nothing if you're shunga to everything.")</f>
        <v>Edralin Marquez Muñoz hahaha in your dreams. Integrity is nothing if you're shunga to everything.</v>
      </c>
      <c r="F1476" s="1"/>
      <c r="G1476" s="1" t="str">
        <f>IFERROR(__xludf.DUMMYFUNCTION("""COMPUTED_VALUE"""),"3 mos")</f>
        <v>3 mos</v>
      </c>
      <c r="H1476" s="1" t="str">
        <f>IFERROR(__xludf.DUMMYFUNCTION("""COMPUTED_VALUE"""),"reply")</f>
        <v>reply</v>
      </c>
      <c r="I1476" s="2" t="str">
        <f>IFERROR(__xludf.DUMMYFUNCTION("""COMPUTED_VALUE"""),"https://www.facebook.com/watch/live/?ref=watch_permalink&amp;v=360307549312104")</f>
        <v>https://www.facebook.com/watch/live/?ref=watch_permalink&amp;v=360307549312104</v>
      </c>
      <c r="J1476" s="1" t="str">
        <f>IFERROR(__xludf.DUMMYFUNCTION("""COMPUTED_VALUE"""),"2022-07-04T15:42:44.433Z")</f>
        <v>2022-07-04T15:42:44.433Z</v>
      </c>
      <c r="K1476" s="1"/>
    </row>
    <row r="1477">
      <c r="A1477" s="2" t="str">
        <f>IFERROR(__xludf.DUMMYFUNCTION("""COMPUTED_VALUE"""),"https://www.facebook.com/sham.city")</f>
        <v>https://www.facebook.com/sham.city</v>
      </c>
      <c r="B1477" s="1" t="str">
        <f>IFERROR(__xludf.DUMMYFUNCTION("""COMPUTED_VALUE"""),"Richie Gaviola Olita")</f>
        <v>Richie Gaviola Olita</v>
      </c>
      <c r="C1477" s="1" t="str">
        <f>IFERROR(__xludf.DUMMYFUNCTION("""COMPUTED_VALUE"""),"Richie")</f>
        <v>Richie</v>
      </c>
      <c r="D1477" s="1" t="str">
        <f>IFERROR(__xludf.DUMMYFUNCTION("""COMPUTED_VALUE"""),"Gaviola Olita")</f>
        <v>Gaviola Olita</v>
      </c>
      <c r="E1477" s="1" t="str">
        <f>IFERROR(__xludf.DUMMYFUNCTION("""COMPUTED_VALUE"""),"Itulog mo yan")</f>
        <v>Itulog mo yan</v>
      </c>
      <c r="F1477" s="1"/>
      <c r="G1477" s="1" t="str">
        <f>IFERROR(__xludf.DUMMYFUNCTION("""COMPUTED_VALUE"""),"3 mos")</f>
        <v>3 mos</v>
      </c>
      <c r="H1477" s="1" t="str">
        <f>IFERROR(__xludf.DUMMYFUNCTION("""COMPUTED_VALUE"""),"reply")</f>
        <v>reply</v>
      </c>
      <c r="I1477" s="2" t="str">
        <f>IFERROR(__xludf.DUMMYFUNCTION("""COMPUTED_VALUE"""),"https://www.facebook.com/watch/live/?ref=watch_permalink&amp;v=360307549312104")</f>
        <v>https://www.facebook.com/watch/live/?ref=watch_permalink&amp;v=360307549312104</v>
      </c>
      <c r="J1477" s="1" t="str">
        <f>IFERROR(__xludf.DUMMYFUNCTION("""COMPUTED_VALUE"""),"2022-07-04T15:42:44.433Z")</f>
        <v>2022-07-04T15:42:44.433Z</v>
      </c>
      <c r="K1477" s="1"/>
    </row>
    <row r="1478">
      <c r="A1478" s="2" t="str">
        <f>IFERROR(__xludf.DUMMYFUNCTION("""COMPUTED_VALUE"""),"https://www.facebook.com/kimashley.simbillo")</f>
        <v>https://www.facebook.com/kimashley.simbillo</v>
      </c>
      <c r="B1478" s="1" t="str">
        <f>IFERROR(__xludf.DUMMYFUNCTION("""COMPUTED_VALUE"""),"Khris Thel")</f>
        <v>Khris Thel</v>
      </c>
      <c r="C1478" s="1" t="str">
        <f>IFERROR(__xludf.DUMMYFUNCTION("""COMPUTED_VALUE"""),"Khris")</f>
        <v>Khris</v>
      </c>
      <c r="D1478" s="1" t="str">
        <f>IFERROR(__xludf.DUMMYFUNCTION("""COMPUTED_VALUE"""),"Thel")</f>
        <v>Thel</v>
      </c>
      <c r="E1478" s="1" t="str">
        <f>IFERROR(__xludf.DUMMYFUNCTION("""COMPUTED_VALUE"""),"No thanks simple nga lang cnbi n jesica describe d picture in one word d nya nga Msgot ng Tama  Maging president p Kaya ng bansa...")</f>
        <v>No thanks simple nga lang cnbi n jesica describe d picture in one word d nya nga Msgot ng Tama  Maging president p Kaya ng bansa...</v>
      </c>
      <c r="F1478" s="1"/>
      <c r="G1478" s="1" t="str">
        <f>IFERROR(__xludf.DUMMYFUNCTION("""COMPUTED_VALUE"""),"3 mos")</f>
        <v>3 mos</v>
      </c>
      <c r="H1478" s="1" t="str">
        <f>IFERROR(__xludf.DUMMYFUNCTION("""COMPUTED_VALUE"""),"reply")</f>
        <v>reply</v>
      </c>
      <c r="I1478" s="2" t="str">
        <f>IFERROR(__xludf.DUMMYFUNCTION("""COMPUTED_VALUE"""),"https://www.facebook.com/watch/live/?ref=watch_permalink&amp;v=360307549312104")</f>
        <v>https://www.facebook.com/watch/live/?ref=watch_permalink&amp;v=360307549312104</v>
      </c>
      <c r="J1478" s="1" t="str">
        <f>IFERROR(__xludf.DUMMYFUNCTION("""COMPUTED_VALUE"""),"2022-07-04T15:42:44.433Z")</f>
        <v>2022-07-04T15:42:44.433Z</v>
      </c>
      <c r="K1478" s="1"/>
    </row>
    <row r="1479">
      <c r="A1479" s="2" t="str">
        <f>IFERROR(__xludf.DUMMYFUNCTION("""COMPUTED_VALUE"""),"https://www.facebook.com/debrah.wasay")</f>
        <v>https://www.facebook.com/debrah.wasay</v>
      </c>
      <c r="B1479" s="1" t="str">
        <f>IFERROR(__xludf.DUMMYFUNCTION("""COMPUTED_VALUE"""),"Debralyn Layugan Wasay Matulin")</f>
        <v>Debralyn Layugan Wasay Matulin</v>
      </c>
      <c r="C1479" s="1" t="str">
        <f>IFERROR(__xludf.DUMMYFUNCTION("""COMPUTED_VALUE"""),"Debralyn")</f>
        <v>Debralyn</v>
      </c>
      <c r="D1479" s="1" t="str">
        <f>IFERROR(__xludf.DUMMYFUNCTION("""COMPUTED_VALUE"""),"Layugan Wasay Matulin")</f>
        <v>Layugan Wasay Matulin</v>
      </c>
      <c r="E1479" s="1" t="str">
        <f>IFERROR(__xludf.DUMMYFUNCTION("""COMPUTED_VALUE"""),"Watching from ilocos norte eheyyy #BBM😝")</f>
        <v>Watching from ilocos norte eheyyy #BBM😝</v>
      </c>
      <c r="F1479" s="1">
        <f>IFERROR(__xludf.DUMMYFUNCTION("""COMPUTED_VALUE"""),2.0)</f>
        <v>2</v>
      </c>
      <c r="G1479" s="1" t="str">
        <f>IFERROR(__xludf.DUMMYFUNCTION("""COMPUTED_VALUE"""),"3 mos")</f>
        <v>3 mos</v>
      </c>
      <c r="H1479" s="1" t="str">
        <f>IFERROR(__xludf.DUMMYFUNCTION("""COMPUTED_VALUE"""),"comment")</f>
        <v>comment</v>
      </c>
      <c r="I1479" s="2" t="str">
        <f>IFERROR(__xludf.DUMMYFUNCTION("""COMPUTED_VALUE"""),"https://www.facebook.com/watch/live/?ref=watch_permalink&amp;v=360307549312104")</f>
        <v>https://www.facebook.com/watch/live/?ref=watch_permalink&amp;v=360307549312104</v>
      </c>
      <c r="J1479" s="1" t="str">
        <f>IFERROR(__xludf.DUMMYFUNCTION("""COMPUTED_VALUE"""),"2022-07-04T15:42:44.433Z")</f>
        <v>2022-07-04T15:42:44.433Z</v>
      </c>
      <c r="K1479" s="1"/>
    </row>
    <row r="1480">
      <c r="A1480" s="2" t="str">
        <f>IFERROR(__xludf.DUMMYFUNCTION("""COMPUTED_VALUE"""),"https://www.facebook.com/Stain0826")</f>
        <v>https://www.facebook.com/Stain0826</v>
      </c>
      <c r="B1480" s="1" t="str">
        <f>IFERROR(__xludf.DUMMYFUNCTION("""COMPUTED_VALUE"""),"John Iris Sales")</f>
        <v>John Iris Sales</v>
      </c>
      <c r="C1480" s="1" t="str">
        <f>IFERROR(__xludf.DUMMYFUNCTION("""COMPUTED_VALUE"""),"John")</f>
        <v>John</v>
      </c>
      <c r="D1480" s="1" t="str">
        <f>IFERROR(__xludf.DUMMYFUNCTION("""COMPUTED_VALUE"""),"Iris Sales")</f>
        <v>Iris Sales</v>
      </c>
      <c r="E1480" s="1" t="str">
        <f>IFERROR(__xludf.DUMMYFUNCTION("""COMPUTED_VALUE"""),"Enjoy po..😊💗 and Good night na din..enjoy po From a Kakampink")</f>
        <v>Enjoy po..😊💗 and Good night na din..enjoy po From a Kakampink</v>
      </c>
      <c r="F1480" s="1">
        <f>IFERROR(__xludf.DUMMYFUNCTION("""COMPUTED_VALUE"""),2.0)</f>
        <v>2</v>
      </c>
      <c r="G1480" s="1" t="str">
        <f>IFERROR(__xludf.DUMMYFUNCTION("""COMPUTED_VALUE"""),"3 mos")</f>
        <v>3 mos</v>
      </c>
      <c r="H1480" s="1" t="str">
        <f>IFERROR(__xludf.DUMMYFUNCTION("""COMPUTED_VALUE"""),"reply")</f>
        <v>reply</v>
      </c>
      <c r="I1480" s="2" t="str">
        <f>IFERROR(__xludf.DUMMYFUNCTION("""COMPUTED_VALUE"""),"https://www.facebook.com/watch/live/?ref=watch_permalink&amp;v=360307549312104")</f>
        <v>https://www.facebook.com/watch/live/?ref=watch_permalink&amp;v=360307549312104</v>
      </c>
      <c r="J1480" s="1" t="str">
        <f>IFERROR(__xludf.DUMMYFUNCTION("""COMPUTED_VALUE"""),"2022-07-04T15:42:44.433Z")</f>
        <v>2022-07-04T15:42:44.433Z</v>
      </c>
      <c r="K1480" s="1"/>
    </row>
    <row r="1481">
      <c r="A1481" s="2" t="str">
        <f>IFERROR(__xludf.DUMMYFUNCTION("""COMPUTED_VALUE"""),"https://www.facebook.com/jeannalyn.f.concepcion")</f>
        <v>https://www.facebook.com/jeannalyn.f.concepcion</v>
      </c>
      <c r="B1481" s="1" t="str">
        <f>IFERROR(__xludf.DUMMYFUNCTION("""COMPUTED_VALUE"""),"Concepcion Jhean")</f>
        <v>Concepcion Jhean</v>
      </c>
      <c r="C1481" s="1" t="str">
        <f>IFERROR(__xludf.DUMMYFUNCTION("""COMPUTED_VALUE"""),"Concepcion")</f>
        <v>Concepcion</v>
      </c>
      <c r="D1481" s="1" t="str">
        <f>IFERROR(__xludf.DUMMYFUNCTION("""COMPUTED_VALUE"""),"Jhean")</f>
        <v>Jhean</v>
      </c>
      <c r="E1481" s="1" t="str">
        <f>IFERROR(__xludf.DUMMYFUNCTION("""COMPUTED_VALUE"""),"sana nag eenjoy kayo sa kakampik rally")</f>
        <v>sana nag eenjoy kayo sa kakampik rally</v>
      </c>
      <c r="F1481" s="1"/>
      <c r="G1481" s="1" t="str">
        <f>IFERROR(__xludf.DUMMYFUNCTION("""COMPUTED_VALUE"""),"3 mos")</f>
        <v>3 mos</v>
      </c>
      <c r="H1481" s="1" t="str">
        <f>IFERROR(__xludf.DUMMYFUNCTION("""COMPUTED_VALUE"""),"reply")</f>
        <v>reply</v>
      </c>
      <c r="I1481" s="2" t="str">
        <f>IFERROR(__xludf.DUMMYFUNCTION("""COMPUTED_VALUE"""),"https://www.facebook.com/watch/live/?ref=watch_permalink&amp;v=360307549312104")</f>
        <v>https://www.facebook.com/watch/live/?ref=watch_permalink&amp;v=360307549312104</v>
      </c>
      <c r="J1481" s="1" t="str">
        <f>IFERROR(__xludf.DUMMYFUNCTION("""COMPUTED_VALUE"""),"2022-07-04T15:42:44.433Z")</f>
        <v>2022-07-04T15:42:44.433Z</v>
      </c>
      <c r="K1481" s="1"/>
    </row>
    <row r="1482">
      <c r="A1482" s="2" t="str">
        <f>IFERROR(__xludf.DUMMYFUNCTION("""COMPUTED_VALUE"""),"https://www.facebook.com/metchroa")</f>
        <v>https://www.facebook.com/metchroa</v>
      </c>
      <c r="B1482" s="1" t="str">
        <f>IFERROR(__xludf.DUMMYFUNCTION("""COMPUTED_VALUE"""),"Metchie Ligan Roa")</f>
        <v>Metchie Ligan Roa</v>
      </c>
      <c r="C1482" s="1" t="str">
        <f>IFERROR(__xludf.DUMMYFUNCTION("""COMPUTED_VALUE"""),"Metchie")</f>
        <v>Metchie</v>
      </c>
      <c r="D1482" s="1" t="str">
        <f>IFERROR(__xludf.DUMMYFUNCTION("""COMPUTED_VALUE"""),"Ligan Roa")</f>
        <v>Ligan Roa</v>
      </c>
      <c r="E1482" s="1" t="str">
        <f>IFERROR(__xludf.DUMMYFUNCTION("""COMPUTED_VALUE"""),"Enjoy po... Wla pa nman ganyan sa inyo..")</f>
        <v>Enjoy po... Wla pa nman ganyan sa inyo..</v>
      </c>
      <c r="F1482" s="1">
        <f>IFERROR(__xludf.DUMMYFUNCTION("""COMPUTED_VALUE"""),3.0)</f>
        <v>3</v>
      </c>
      <c r="G1482" s="1" t="str">
        <f>IFERROR(__xludf.DUMMYFUNCTION("""COMPUTED_VALUE"""),"3 mos")</f>
        <v>3 mos</v>
      </c>
      <c r="H1482" s="1" t="str">
        <f>IFERROR(__xludf.DUMMYFUNCTION("""COMPUTED_VALUE"""),"reply")</f>
        <v>reply</v>
      </c>
      <c r="I1482" s="2" t="str">
        <f>IFERROR(__xludf.DUMMYFUNCTION("""COMPUTED_VALUE"""),"https://www.facebook.com/watch/live/?ref=watch_permalink&amp;v=360307549312104")</f>
        <v>https://www.facebook.com/watch/live/?ref=watch_permalink&amp;v=360307549312104</v>
      </c>
      <c r="J1482" s="1" t="str">
        <f>IFERROR(__xludf.DUMMYFUNCTION("""COMPUTED_VALUE"""),"2022-07-04T15:42:44.433Z")</f>
        <v>2022-07-04T15:42:44.433Z</v>
      </c>
      <c r="K1482" s="1"/>
    </row>
    <row r="1483">
      <c r="A1483" s="2" t="str">
        <f>IFERROR(__xludf.DUMMYFUNCTION("""COMPUTED_VALUE"""),"https://www.facebook.com/phoungchanh.nguyen")</f>
        <v>https://www.facebook.com/phoungchanh.nguyen</v>
      </c>
      <c r="B1483" s="1" t="str">
        <f>IFERROR(__xludf.DUMMYFUNCTION("""COMPUTED_VALUE"""),"Alexis Collins")</f>
        <v>Alexis Collins</v>
      </c>
      <c r="C1483" s="1" t="str">
        <f>IFERROR(__xludf.DUMMYFUNCTION("""COMPUTED_VALUE"""),"Alexis")</f>
        <v>Alexis</v>
      </c>
      <c r="D1483" s="1" t="str">
        <f>IFERROR(__xludf.DUMMYFUNCTION("""COMPUTED_VALUE"""),"Collins")</f>
        <v>Collins</v>
      </c>
      <c r="E1483" s="1" t="str">
        <f>IFERROR(__xludf.DUMMYFUNCTION("""COMPUTED_VALUE"""),"wala kasi mapanood sa side LBM")</f>
        <v>wala kasi mapanood sa side LBM</v>
      </c>
      <c r="F1483" s="1">
        <f>IFERROR(__xludf.DUMMYFUNCTION("""COMPUTED_VALUE"""),2.0)</f>
        <v>2</v>
      </c>
      <c r="G1483" s="1" t="str">
        <f>IFERROR(__xludf.DUMMYFUNCTION("""COMPUTED_VALUE"""),"3 mos")</f>
        <v>3 mos</v>
      </c>
      <c r="H1483" s="1" t="str">
        <f>IFERROR(__xludf.DUMMYFUNCTION("""COMPUTED_VALUE"""),"reply")</f>
        <v>reply</v>
      </c>
      <c r="I1483" s="2" t="str">
        <f>IFERROR(__xludf.DUMMYFUNCTION("""COMPUTED_VALUE"""),"https://www.facebook.com/watch/live/?ref=watch_permalink&amp;v=360307549312104")</f>
        <v>https://www.facebook.com/watch/live/?ref=watch_permalink&amp;v=360307549312104</v>
      </c>
      <c r="J1483" s="1" t="str">
        <f>IFERROR(__xludf.DUMMYFUNCTION("""COMPUTED_VALUE"""),"2022-07-04T15:42:44.433Z")</f>
        <v>2022-07-04T15:42:44.433Z</v>
      </c>
      <c r="K1483" s="1"/>
    </row>
    <row r="1484">
      <c r="A1484" s="2" t="str">
        <f>IFERROR(__xludf.DUMMYFUNCTION("""COMPUTED_VALUE"""),"https://www.facebook.com/aerol.plamenio")</f>
        <v>https://www.facebook.com/aerol.plamenio</v>
      </c>
      <c r="B1484" s="1" t="str">
        <f>IFERROR(__xludf.DUMMYFUNCTION("""COMPUTED_VALUE"""),"Aerol Plamenio")</f>
        <v>Aerol Plamenio</v>
      </c>
      <c r="C1484" s="1" t="str">
        <f>IFERROR(__xludf.DUMMYFUNCTION("""COMPUTED_VALUE"""),"Aerol")</f>
        <v>Aerol</v>
      </c>
      <c r="D1484" s="1" t="str">
        <f>IFERROR(__xludf.DUMMYFUNCTION("""COMPUTED_VALUE"""),"Plamenio")</f>
        <v>Plamenio</v>
      </c>
      <c r="E1484" s="1" t="str">
        <f>IFERROR(__xludf.DUMMYFUNCTION("""COMPUTED_VALUE"""),"Ganun na ba ka boring sa inyo?🤭")</f>
        <v>Ganun na ba ka boring sa inyo?🤭</v>
      </c>
      <c r="F1484" s="1">
        <f>IFERROR(__xludf.DUMMYFUNCTION("""COMPUTED_VALUE"""),1.0)</f>
        <v>1</v>
      </c>
      <c r="G1484" s="1" t="str">
        <f>IFERROR(__xludf.DUMMYFUNCTION("""COMPUTED_VALUE"""),"3 mos")</f>
        <v>3 mos</v>
      </c>
      <c r="H1484" s="1" t="str">
        <f>IFERROR(__xludf.DUMMYFUNCTION("""COMPUTED_VALUE"""),"reply")</f>
        <v>reply</v>
      </c>
      <c r="I1484" s="2" t="str">
        <f>IFERROR(__xludf.DUMMYFUNCTION("""COMPUTED_VALUE"""),"https://www.facebook.com/watch/live/?ref=watch_permalink&amp;v=360307549312104")</f>
        <v>https://www.facebook.com/watch/live/?ref=watch_permalink&amp;v=360307549312104</v>
      </c>
      <c r="J1484" s="1" t="str">
        <f>IFERROR(__xludf.DUMMYFUNCTION("""COMPUTED_VALUE"""),"2022-07-04T15:42:44.433Z")</f>
        <v>2022-07-04T15:42:44.433Z</v>
      </c>
      <c r="K1484" s="1"/>
    </row>
    <row r="1485">
      <c r="A1485" s="2" t="str">
        <f>IFERROR(__xludf.DUMMYFUNCTION("""COMPUTED_VALUE"""),"https://www.facebook.com/profile.php?id=100004812961576")</f>
        <v>https://www.facebook.com/profile.php?id=100004812961576</v>
      </c>
      <c r="B1485" s="1" t="str">
        <f>IFERROR(__xludf.DUMMYFUNCTION("""COMPUTED_VALUE"""),"Jayr-Bachicha Villarba")</f>
        <v>Jayr-Bachicha Villarba</v>
      </c>
      <c r="C1485" s="1" t="str">
        <f>IFERROR(__xludf.DUMMYFUNCTION("""COMPUTED_VALUE"""),"Jayr-Bachicha")</f>
        <v>Jayr-Bachicha</v>
      </c>
      <c r="D1485" s="1" t="str">
        <f>IFERROR(__xludf.DUMMYFUNCTION("""COMPUTED_VALUE"""),"Villarba")</f>
        <v>Villarba</v>
      </c>
      <c r="E1485" s="1" t="str">
        <f>IFERROR(__xludf.DUMMYFUNCTION("""COMPUTED_VALUE"""),"Umay knb kay toni 🤣🤣")</f>
        <v>Umay knb kay toni 🤣🤣</v>
      </c>
      <c r="F1485" s="1"/>
      <c r="G1485" s="1" t="str">
        <f>IFERROR(__xludf.DUMMYFUNCTION("""COMPUTED_VALUE"""),"3 mos")</f>
        <v>3 mos</v>
      </c>
      <c r="H1485" s="1" t="str">
        <f>IFERROR(__xludf.DUMMYFUNCTION("""COMPUTED_VALUE"""),"reply")</f>
        <v>reply</v>
      </c>
      <c r="I1485" s="2" t="str">
        <f>IFERROR(__xludf.DUMMYFUNCTION("""COMPUTED_VALUE"""),"https://www.facebook.com/watch/live/?ref=watch_permalink&amp;v=360307549312104")</f>
        <v>https://www.facebook.com/watch/live/?ref=watch_permalink&amp;v=360307549312104</v>
      </c>
      <c r="J1485" s="1" t="str">
        <f>IFERROR(__xludf.DUMMYFUNCTION("""COMPUTED_VALUE"""),"2022-07-04T15:42:44.433Z")</f>
        <v>2022-07-04T15:42:44.433Z</v>
      </c>
      <c r="K1485" s="1"/>
    </row>
    <row r="1486">
      <c r="A1486" s="2" t="str">
        <f>IFERROR(__xludf.DUMMYFUNCTION("""COMPUTED_VALUE"""),"https://www.facebook.com/cora.ropeta")</f>
        <v>https://www.facebook.com/cora.ropeta</v>
      </c>
      <c r="B1486" s="1" t="str">
        <f>IFERROR(__xludf.DUMMYFUNCTION("""COMPUTED_VALUE"""),"Cors M Ropeta")</f>
        <v>Cors M Ropeta</v>
      </c>
      <c r="C1486" s="1" t="str">
        <f>IFERROR(__xludf.DUMMYFUNCTION("""COMPUTED_VALUE"""),"Cors")</f>
        <v>Cors</v>
      </c>
      <c r="D1486" s="1" t="str">
        <f>IFERROR(__xludf.DUMMYFUNCTION("""COMPUTED_VALUE"""),"M Ropeta")</f>
        <v>M Ropeta</v>
      </c>
      <c r="E1486" s="1" t="str">
        <f>IFERROR(__xludf.DUMMYFUNCTION("""COMPUTED_VALUE"""),"The most qualified among the VP candidates 💖")</f>
        <v>The most qualified among the VP candidates 💖</v>
      </c>
      <c r="F1486" s="1">
        <f>IFERROR(__xludf.DUMMYFUNCTION("""COMPUTED_VALUE"""),9.0)</f>
        <v>9</v>
      </c>
      <c r="G1486" s="1" t="str">
        <f>IFERROR(__xludf.DUMMYFUNCTION("""COMPUTED_VALUE"""),"3 mos")</f>
        <v>3 mos</v>
      </c>
      <c r="H1486" s="1" t="str">
        <f>IFERROR(__xludf.DUMMYFUNCTION("""COMPUTED_VALUE"""),"comment")</f>
        <v>comment</v>
      </c>
      <c r="I1486" s="2" t="str">
        <f>IFERROR(__xludf.DUMMYFUNCTION("""COMPUTED_VALUE"""),"https://www.facebook.com/watch/live/?ref=watch_permalink&amp;v=360307549312104")</f>
        <v>https://www.facebook.com/watch/live/?ref=watch_permalink&amp;v=360307549312104</v>
      </c>
      <c r="J1486" s="1" t="str">
        <f>IFERROR(__xludf.DUMMYFUNCTION("""COMPUTED_VALUE"""),"2022-07-04T15:42:44.433Z")</f>
        <v>2022-07-04T15:42:44.433Z</v>
      </c>
      <c r="K1486" s="1"/>
    </row>
    <row r="1487">
      <c r="A1487" s="2" t="str">
        <f>IFERROR(__xludf.DUMMYFUNCTION("""COMPUTED_VALUE"""),"https://www.facebook.com/adelfa.abuda")</f>
        <v>https://www.facebook.com/adelfa.abuda</v>
      </c>
      <c r="B1487" s="1" t="str">
        <f>IFERROR(__xludf.DUMMYFUNCTION("""COMPUTED_VALUE"""),"Adelfa Abuda")</f>
        <v>Adelfa Abuda</v>
      </c>
      <c r="C1487" s="1" t="str">
        <f>IFERROR(__xludf.DUMMYFUNCTION("""COMPUTED_VALUE"""),"Adelfa")</f>
        <v>Adelfa</v>
      </c>
      <c r="D1487" s="1" t="str">
        <f>IFERROR(__xludf.DUMMYFUNCTION("""COMPUTED_VALUE"""),"Abuda")</f>
        <v>Abuda</v>
      </c>
      <c r="E1487" s="1" t="str">
        <f>IFERROR(__xludf.DUMMYFUNCTION("""COMPUTED_VALUE"""),"Here they are showing the crowd, walang daya. Sa iba nakatutok lang sa stage. Ayaw mabuko na konte lang ang attendees.")</f>
        <v>Here they are showing the crowd, walang daya. Sa iba nakatutok lang sa stage. Ayaw mabuko na konte lang ang attendees.</v>
      </c>
      <c r="F1487" s="1">
        <f>IFERROR(__xludf.DUMMYFUNCTION("""COMPUTED_VALUE"""),2.0)</f>
        <v>2</v>
      </c>
      <c r="G1487" s="1" t="str">
        <f>IFERROR(__xludf.DUMMYFUNCTION("""COMPUTED_VALUE"""),"3 mos")</f>
        <v>3 mos</v>
      </c>
      <c r="H1487" s="1" t="str">
        <f>IFERROR(__xludf.DUMMYFUNCTION("""COMPUTED_VALUE"""),"comment")</f>
        <v>comment</v>
      </c>
      <c r="I1487" s="2" t="str">
        <f>IFERROR(__xludf.DUMMYFUNCTION("""COMPUTED_VALUE"""),"https://www.facebook.com/watch/live/?ref=watch_permalink&amp;v=360307549312104")</f>
        <v>https://www.facebook.com/watch/live/?ref=watch_permalink&amp;v=360307549312104</v>
      </c>
      <c r="J1487" s="1" t="str">
        <f>IFERROR(__xludf.DUMMYFUNCTION("""COMPUTED_VALUE"""),"2022-07-04T15:42:44.433Z")</f>
        <v>2022-07-04T15:42:44.433Z</v>
      </c>
      <c r="K1487" s="1"/>
    </row>
    <row r="1488">
      <c r="A1488" s="2" t="str">
        <f>IFERROR(__xludf.DUMMYFUNCTION("""COMPUTED_VALUE"""),"https://www.facebook.com/jowel.geroy")</f>
        <v>https://www.facebook.com/jowel.geroy</v>
      </c>
      <c r="B1488" s="1" t="str">
        <f>IFERROR(__xludf.DUMMYFUNCTION("""COMPUTED_VALUE"""),"Jowel Geroy")</f>
        <v>Jowel Geroy</v>
      </c>
      <c r="C1488" s="1" t="str">
        <f>IFERROR(__xludf.DUMMYFUNCTION("""COMPUTED_VALUE"""),"Jowel")</f>
        <v>Jowel</v>
      </c>
      <c r="D1488" s="1" t="str">
        <f>IFERROR(__xludf.DUMMYFUNCTION("""COMPUTED_VALUE"""),"Geroy")</f>
        <v>Geroy</v>
      </c>
      <c r="E1488" s="1" t="str">
        <f>IFERROR(__xludf.DUMMYFUNCTION("""COMPUTED_VALUE"""),"I can feel it! GOD is working in this campaigns and in the coming election. I have high hopes and great faith that we will be able to elect a good leader for our nation this May.")</f>
        <v>I can feel it! GOD is working in this campaigns and in the coming election. I have high hopes and great faith that we will be able to elect a good leader for our nation this May.</v>
      </c>
      <c r="F1488" s="1">
        <f>IFERROR(__xludf.DUMMYFUNCTION("""COMPUTED_VALUE"""),7.0)</f>
        <v>7</v>
      </c>
      <c r="G1488" s="1" t="str">
        <f>IFERROR(__xludf.DUMMYFUNCTION("""COMPUTED_VALUE"""),"3 mos")</f>
        <v>3 mos</v>
      </c>
      <c r="H1488" s="1" t="str">
        <f>IFERROR(__xludf.DUMMYFUNCTION("""COMPUTED_VALUE"""),"comment")</f>
        <v>comment</v>
      </c>
      <c r="I1488" s="2" t="str">
        <f>IFERROR(__xludf.DUMMYFUNCTION("""COMPUTED_VALUE"""),"https://www.facebook.com/watch/live/?ref=watch_permalink&amp;v=360307549312104")</f>
        <v>https://www.facebook.com/watch/live/?ref=watch_permalink&amp;v=360307549312104</v>
      </c>
      <c r="J1488" s="1" t="str">
        <f>IFERROR(__xludf.DUMMYFUNCTION("""COMPUTED_VALUE"""),"2022-07-04T15:42:44.433Z")</f>
        <v>2022-07-04T15:42:44.433Z</v>
      </c>
      <c r="K1488" s="1"/>
    </row>
    <row r="1489">
      <c r="A1489" s="2" t="str">
        <f>IFERROR(__xludf.DUMMYFUNCTION("""COMPUTED_VALUE"""),"https://www.facebook.com/bong.umpa.1")</f>
        <v>https://www.facebook.com/bong.umpa.1</v>
      </c>
      <c r="B1489" s="1" t="str">
        <f>IFERROR(__xludf.DUMMYFUNCTION("""COMPUTED_VALUE"""),"Bong Umpa")</f>
        <v>Bong Umpa</v>
      </c>
      <c r="C1489" s="1" t="str">
        <f>IFERROR(__xludf.DUMMYFUNCTION("""COMPUTED_VALUE"""),"Bong")</f>
        <v>Bong</v>
      </c>
      <c r="D1489" s="1" t="str">
        <f>IFERROR(__xludf.DUMMYFUNCTION("""COMPUTED_VALUE"""),"Umpa")</f>
        <v>Umpa</v>
      </c>
      <c r="E1489" s="1" t="str">
        <f>IFERROR(__xludf.DUMMYFUNCTION("""COMPUTED_VALUE"""),"Mabuhay Sen Teddy Baguilat and thank you kaTropa Sir Nathan Figueroa. #GobyernongTapatAngatBuhayLahat")</f>
        <v>Mabuhay Sen Teddy Baguilat and thank you kaTropa Sir Nathan Figueroa. #GobyernongTapatAngatBuhayLahat</v>
      </c>
      <c r="F1489" s="1">
        <f>IFERROR(__xludf.DUMMYFUNCTION("""COMPUTED_VALUE"""),7.0)</f>
        <v>7</v>
      </c>
      <c r="G1489" s="1" t="str">
        <f>IFERROR(__xludf.DUMMYFUNCTION("""COMPUTED_VALUE"""),"3 mos")</f>
        <v>3 mos</v>
      </c>
      <c r="H1489" s="1" t="str">
        <f>IFERROR(__xludf.DUMMYFUNCTION("""COMPUTED_VALUE"""),"comment")</f>
        <v>comment</v>
      </c>
      <c r="I1489" s="2" t="str">
        <f>IFERROR(__xludf.DUMMYFUNCTION("""COMPUTED_VALUE"""),"https://www.facebook.com/watch/live/?ref=watch_permalink&amp;v=360307549312104")</f>
        <v>https://www.facebook.com/watch/live/?ref=watch_permalink&amp;v=360307549312104</v>
      </c>
      <c r="J1489" s="1" t="str">
        <f>IFERROR(__xludf.DUMMYFUNCTION("""COMPUTED_VALUE"""),"2022-07-04T15:42:44.433Z")</f>
        <v>2022-07-04T15:42:44.433Z</v>
      </c>
      <c r="K1489" s="1"/>
    </row>
    <row r="1490">
      <c r="A1490" s="2" t="str">
        <f>IFERROR(__xludf.DUMMYFUNCTION("""COMPUTED_VALUE"""),"https://www.facebook.com/antonette.fernandez.583")</f>
        <v>https://www.facebook.com/antonette.fernandez.583</v>
      </c>
      <c r="B1490" s="1" t="str">
        <f>IFERROR(__xludf.DUMMYFUNCTION("""COMPUTED_VALUE"""),"Antonette Fernandez")</f>
        <v>Antonette Fernandez</v>
      </c>
      <c r="C1490" s="1" t="str">
        <f>IFERROR(__xludf.DUMMYFUNCTION("""COMPUTED_VALUE"""),"Antonette")</f>
        <v>Antonette</v>
      </c>
      <c r="D1490" s="1" t="str">
        <f>IFERROR(__xludf.DUMMYFUNCTION("""COMPUTED_VALUE"""),"Fernandez")</f>
        <v>Fernandez</v>
      </c>
      <c r="E1490" s="1" t="str">
        <f>IFERROR(__xludf.DUMMYFUNCTION("""COMPUTED_VALUE"""),"Voting for you panyero Alex and the rest of the TEAM  ANGAT!!!👍👍👍#LeniKiko2022💕💕💕🌷🌷🌷")</f>
        <v>Voting for you panyero Alex and the rest of the TEAM  ANGAT!!!👍👍👍#LeniKiko2022💕💕💕🌷🌷🌷</v>
      </c>
      <c r="F1490" s="1">
        <f>IFERROR(__xludf.DUMMYFUNCTION("""COMPUTED_VALUE"""),3.0)</f>
        <v>3</v>
      </c>
      <c r="G1490" s="1" t="str">
        <f>IFERROR(__xludf.DUMMYFUNCTION("""COMPUTED_VALUE"""),"3 mos")</f>
        <v>3 mos</v>
      </c>
      <c r="H1490" s="1" t="str">
        <f>IFERROR(__xludf.DUMMYFUNCTION("""COMPUTED_VALUE"""),"comment")</f>
        <v>comment</v>
      </c>
      <c r="I1490" s="2" t="str">
        <f>IFERROR(__xludf.DUMMYFUNCTION("""COMPUTED_VALUE"""),"https://www.facebook.com/watch/live/?ref=watch_permalink&amp;v=360307549312104")</f>
        <v>https://www.facebook.com/watch/live/?ref=watch_permalink&amp;v=360307549312104</v>
      </c>
      <c r="J1490" s="1" t="str">
        <f>IFERROR(__xludf.DUMMYFUNCTION("""COMPUTED_VALUE"""),"2022-07-04T15:42:44.433Z")</f>
        <v>2022-07-04T15:42:44.433Z</v>
      </c>
      <c r="K1490" s="1"/>
    </row>
    <row r="1491">
      <c r="A1491" s="2" t="str">
        <f>IFERROR(__xludf.DUMMYFUNCTION("""COMPUTED_VALUE"""),"https://www.facebook.com/profile.php?id=100011473596628")</f>
        <v>https://www.facebook.com/profile.php?id=100011473596628</v>
      </c>
      <c r="B1491" s="1" t="str">
        <f>IFERROR(__xludf.DUMMYFUNCTION("""COMPUTED_VALUE"""),"Andressa Tandog")</f>
        <v>Andressa Tandog</v>
      </c>
      <c r="C1491" s="1" t="str">
        <f>IFERROR(__xludf.DUMMYFUNCTION("""COMPUTED_VALUE"""),"Andressa")</f>
        <v>Andressa</v>
      </c>
      <c r="D1491" s="1" t="str">
        <f>IFERROR(__xludf.DUMMYFUNCTION("""COMPUTED_VALUE"""),"Tandog")</f>
        <v>Tandog</v>
      </c>
      <c r="E1491" s="1" t="str">
        <f>IFERROR(__xludf.DUMMYFUNCTION("""COMPUTED_VALUE"""),"No matter what the caption is, what's important is we're SOLID ISKOWILLIE TANDEM AND TEAM! 🙏 💙☝️")</f>
        <v>No matter what the caption is, what's important is we're SOLID ISKOWILLIE TANDEM AND TEAM! 🙏 💙☝️</v>
      </c>
      <c r="F1491" s="1">
        <f>IFERROR(__xludf.DUMMYFUNCTION("""COMPUTED_VALUE"""),3.0)</f>
        <v>3</v>
      </c>
      <c r="G1491" s="1" t="str">
        <f>IFERROR(__xludf.DUMMYFUNCTION("""COMPUTED_VALUE"""),"3 mos")</f>
        <v>3 mos</v>
      </c>
      <c r="H1491" s="1" t="str">
        <f>IFERROR(__xludf.DUMMYFUNCTION("""COMPUTED_VALUE"""),"comment")</f>
        <v>comment</v>
      </c>
      <c r="I1491" s="2" t="str">
        <f>IFERROR(__xludf.DUMMYFUNCTION("""COMPUTED_VALUE"""),"https://www.facebook.com/watch/live/?ref=watch_permalink&amp;v=360307549312104")</f>
        <v>https://www.facebook.com/watch/live/?ref=watch_permalink&amp;v=360307549312104</v>
      </c>
      <c r="J1491" s="1" t="str">
        <f>IFERROR(__xludf.DUMMYFUNCTION("""COMPUTED_VALUE"""),"2022-07-04T15:42:44.434Z")</f>
        <v>2022-07-04T15:42:44.434Z</v>
      </c>
      <c r="K1491" s="1"/>
    </row>
    <row r="1492">
      <c r="A1492" s="2" t="str">
        <f>IFERROR(__xludf.DUMMYFUNCTION("""COMPUTED_VALUE"""),"https://www.facebook.com/jerry.deguzman1")</f>
        <v>https://www.facebook.com/jerry.deguzman1</v>
      </c>
      <c r="B1492" s="1" t="str">
        <f>IFERROR(__xludf.DUMMYFUNCTION("""COMPUTED_VALUE"""),"Jerry de Guzman")</f>
        <v>Jerry de Guzman</v>
      </c>
      <c r="C1492" s="1" t="str">
        <f>IFERROR(__xludf.DUMMYFUNCTION("""COMPUTED_VALUE"""),"Jerry")</f>
        <v>Jerry</v>
      </c>
      <c r="D1492" s="1" t="str">
        <f>IFERROR(__xludf.DUMMYFUNCTION("""COMPUTED_VALUE"""),"de Guzman")</f>
        <v>de Guzman</v>
      </c>
      <c r="E1492" s="1" t="str">
        <f>IFERROR(__xludf.DUMMYFUNCTION("""COMPUTED_VALUE"""),"May God bless all the trolls here. YOU ARE ALL WELCOME HERE!")</f>
        <v>May God bless all the trolls here. YOU ARE ALL WELCOME HERE!</v>
      </c>
      <c r="F1492" s="1">
        <f>IFERROR(__xludf.DUMMYFUNCTION("""COMPUTED_VALUE"""),2.0)</f>
        <v>2</v>
      </c>
      <c r="G1492" s="1" t="str">
        <f>IFERROR(__xludf.DUMMYFUNCTION("""COMPUTED_VALUE"""),"3 mos")</f>
        <v>3 mos</v>
      </c>
      <c r="H1492" s="1" t="str">
        <f>IFERROR(__xludf.DUMMYFUNCTION("""COMPUTED_VALUE"""),"comment")</f>
        <v>comment</v>
      </c>
      <c r="I1492" s="2" t="str">
        <f>IFERROR(__xludf.DUMMYFUNCTION("""COMPUTED_VALUE"""),"https://www.facebook.com/watch/live/?ref=watch_permalink&amp;v=360307549312104")</f>
        <v>https://www.facebook.com/watch/live/?ref=watch_permalink&amp;v=360307549312104</v>
      </c>
      <c r="J1492" s="1" t="str">
        <f>IFERROR(__xludf.DUMMYFUNCTION("""COMPUTED_VALUE"""),"2022-07-04T15:42:44.434Z")</f>
        <v>2022-07-04T15:42:44.434Z</v>
      </c>
      <c r="K1492" s="1"/>
    </row>
    <row r="1493">
      <c r="A1493" s="2" t="str">
        <f>IFERROR(__xludf.DUMMYFUNCTION("""COMPUTED_VALUE"""),"https://www.facebook.com/raul.dizon.5")</f>
        <v>https://www.facebook.com/raul.dizon.5</v>
      </c>
      <c r="B1493" s="1" t="str">
        <f>IFERROR(__xludf.DUMMYFUNCTION("""COMPUTED_VALUE"""),"Raul Dizon")</f>
        <v>Raul Dizon</v>
      </c>
      <c r="C1493" s="1" t="str">
        <f>IFERROR(__xludf.DUMMYFUNCTION("""COMPUTED_VALUE"""),"Raul")</f>
        <v>Raul</v>
      </c>
      <c r="D1493" s="1" t="str">
        <f>IFERROR(__xludf.DUMMYFUNCTION("""COMPUTED_VALUE"""),"Dizon")</f>
        <v>Dizon</v>
      </c>
      <c r="E1493" s="1" t="str">
        <f>IFERROR(__xludf.DUMMYFUNCTION("""COMPUTED_VALUE"""),"Mababait ang The Company! Sincerely hoping for good government!")</f>
        <v>Mababait ang The Company! Sincerely hoping for good government!</v>
      </c>
      <c r="F1493" s="1"/>
      <c r="G1493" s="1" t="str">
        <f>IFERROR(__xludf.DUMMYFUNCTION("""COMPUTED_VALUE"""),"3 mos")</f>
        <v>3 mos</v>
      </c>
      <c r="H1493" s="1" t="str">
        <f>IFERROR(__xludf.DUMMYFUNCTION("""COMPUTED_VALUE"""),"comment")</f>
        <v>comment</v>
      </c>
      <c r="I1493" s="2" t="str">
        <f>IFERROR(__xludf.DUMMYFUNCTION("""COMPUTED_VALUE"""),"https://www.facebook.com/watch/live/?ref=watch_permalink&amp;v=360307549312104")</f>
        <v>https://www.facebook.com/watch/live/?ref=watch_permalink&amp;v=360307549312104</v>
      </c>
      <c r="J1493" s="1" t="str">
        <f>IFERROR(__xludf.DUMMYFUNCTION("""COMPUTED_VALUE"""),"2022-07-04T15:42:44.434Z")</f>
        <v>2022-07-04T15:42:44.434Z</v>
      </c>
      <c r="K1493" s="1"/>
    </row>
    <row r="1494">
      <c r="A1494" s="2" t="str">
        <f>IFERROR(__xludf.DUMMYFUNCTION("""COMPUTED_VALUE"""),"https://www.facebook.com/rowena.o.alvarez")</f>
        <v>https://www.facebook.com/rowena.o.alvarez</v>
      </c>
      <c r="B1494" s="1" t="str">
        <f>IFERROR(__xludf.DUMMYFUNCTION("""COMPUTED_VALUE"""),"Rowena Ong Alvarez")</f>
        <v>Rowena Ong Alvarez</v>
      </c>
      <c r="C1494" s="1" t="str">
        <f>IFERROR(__xludf.DUMMYFUNCTION("""COMPUTED_VALUE"""),"Rowena")</f>
        <v>Rowena</v>
      </c>
      <c r="D1494" s="1" t="str">
        <f>IFERROR(__xludf.DUMMYFUNCTION("""COMPUTED_VALUE"""),"Ong Alvarez")</f>
        <v>Ong Alvarez</v>
      </c>
      <c r="E1494" s="1" t="str">
        <f>IFERROR(__xludf.DUMMYFUNCTION("""COMPUTED_VALUE"""),"Ayan ha LIVE drone shots streamed live dito sa FB. Hindi bawal ang drone shots kasi totoong maraming tao! 🌸")</f>
        <v>Ayan ha LIVE drone shots streamed live dito sa FB. Hindi bawal ang drone shots kasi totoong maraming tao! 🌸</v>
      </c>
      <c r="F1494" s="1">
        <f>IFERROR(__xludf.DUMMYFUNCTION("""COMPUTED_VALUE"""),2.0)</f>
        <v>2</v>
      </c>
      <c r="G1494" s="1" t="str">
        <f>IFERROR(__xludf.DUMMYFUNCTION("""COMPUTED_VALUE"""),"3 mos")</f>
        <v>3 mos</v>
      </c>
      <c r="H1494" s="1" t="str">
        <f>IFERROR(__xludf.DUMMYFUNCTION("""COMPUTED_VALUE"""),"comment")</f>
        <v>comment</v>
      </c>
      <c r="I1494" s="2" t="str">
        <f>IFERROR(__xludf.DUMMYFUNCTION("""COMPUTED_VALUE"""),"https://www.facebook.com/watch/live/?ref=watch_permalink&amp;v=360307549312104")</f>
        <v>https://www.facebook.com/watch/live/?ref=watch_permalink&amp;v=360307549312104</v>
      </c>
      <c r="J1494" s="1" t="str">
        <f>IFERROR(__xludf.DUMMYFUNCTION("""COMPUTED_VALUE"""),"2022-07-04T15:42:44.434Z")</f>
        <v>2022-07-04T15:42:44.434Z</v>
      </c>
      <c r="K1494" s="1"/>
    </row>
    <row r="1495">
      <c r="A1495" s="2" t="str">
        <f>IFERROR(__xludf.DUMMYFUNCTION("""COMPUTED_VALUE"""),"https://www.facebook.com/emily.c.luague")</f>
        <v>https://www.facebook.com/emily.c.luague</v>
      </c>
      <c r="B1495" s="1" t="str">
        <f>IFERROR(__xludf.DUMMYFUNCTION("""COMPUTED_VALUE"""),"Emily Cañares Luague")</f>
        <v>Emily Cañares Luague</v>
      </c>
      <c r="C1495" s="1" t="str">
        <f>IFERROR(__xludf.DUMMYFUNCTION("""COMPUTED_VALUE"""),"Emily")</f>
        <v>Emily</v>
      </c>
      <c r="D1495" s="1" t="str">
        <f>IFERROR(__xludf.DUMMYFUNCTION("""COMPUTED_VALUE"""),"Cañares Luague")</f>
        <v>Cañares Luague</v>
      </c>
      <c r="E1495" s="1" t="str">
        <f>IFERROR(__xludf.DUMMYFUNCTION("""COMPUTED_VALUE"""),"GO GO ATTY ALEX LACSON FORNATOR #AngatBuhayAngLahat")</f>
        <v>GO GO ATTY ALEX LACSON FORNATOR #AngatBuhayAngLahat</v>
      </c>
      <c r="F1495" s="1">
        <f>IFERROR(__xludf.DUMMYFUNCTION("""COMPUTED_VALUE"""),1.0)</f>
        <v>1</v>
      </c>
      <c r="G1495" s="1" t="str">
        <f>IFERROR(__xludf.DUMMYFUNCTION("""COMPUTED_VALUE"""),"3 mos")</f>
        <v>3 mos</v>
      </c>
      <c r="H1495" s="1" t="str">
        <f>IFERROR(__xludf.DUMMYFUNCTION("""COMPUTED_VALUE"""),"comment")</f>
        <v>comment</v>
      </c>
      <c r="I1495" s="2" t="str">
        <f>IFERROR(__xludf.DUMMYFUNCTION("""COMPUTED_VALUE"""),"https://www.facebook.com/watch/live/?ref=watch_permalink&amp;v=360307549312104")</f>
        <v>https://www.facebook.com/watch/live/?ref=watch_permalink&amp;v=360307549312104</v>
      </c>
      <c r="J1495" s="1" t="str">
        <f>IFERROR(__xludf.DUMMYFUNCTION("""COMPUTED_VALUE"""),"2022-07-04T15:42:44.434Z")</f>
        <v>2022-07-04T15:42:44.434Z</v>
      </c>
      <c r="K1495" s="1"/>
    </row>
    <row r="1496">
      <c r="A1496" s="2" t="str">
        <f>IFERROR(__xludf.DUMMYFUNCTION("""COMPUTED_VALUE"""),"https://www.facebook.com/babycoolette")</f>
        <v>https://www.facebook.com/babycoolette</v>
      </c>
      <c r="B1496" s="1" t="str">
        <f>IFERROR(__xludf.DUMMYFUNCTION("""COMPUTED_VALUE"""),"Babycool Penit Deduque")</f>
        <v>Babycool Penit Deduque</v>
      </c>
      <c r="C1496" s="1" t="str">
        <f>IFERROR(__xludf.DUMMYFUNCTION("""COMPUTED_VALUE"""),"Babycool")</f>
        <v>Babycool</v>
      </c>
      <c r="D1496" s="1" t="str">
        <f>IFERROR(__xludf.DUMMYFUNCTION("""COMPUTED_VALUE"""),"Penit Deduque")</f>
        <v>Penit Deduque</v>
      </c>
      <c r="E1496" s="1" t="str">
        <f>IFERROR(__xludf.DUMMYFUNCTION("""COMPUTED_VALUE"""),"Grave kau CAMANAVA.....PROUD OF YOU KAKAMPINKS....ANDAMI NIO.....💗🫰💗🫰 WATCHING FROM BACOLOD CITY")</f>
        <v>Grave kau CAMANAVA.....PROUD OF YOU KAKAMPINKS....ANDAMI NIO.....💗🫰💗🫰 WATCHING FROM BACOLOD CITY</v>
      </c>
      <c r="F1496" s="1">
        <f>IFERROR(__xludf.DUMMYFUNCTION("""COMPUTED_VALUE"""),5.0)</f>
        <v>5</v>
      </c>
      <c r="G1496" s="1" t="str">
        <f>IFERROR(__xludf.DUMMYFUNCTION("""COMPUTED_VALUE"""),"3 mos")</f>
        <v>3 mos</v>
      </c>
      <c r="H1496" s="1" t="str">
        <f>IFERROR(__xludf.DUMMYFUNCTION("""COMPUTED_VALUE"""),"comment")</f>
        <v>comment</v>
      </c>
      <c r="I1496" s="2" t="str">
        <f>IFERROR(__xludf.DUMMYFUNCTION("""COMPUTED_VALUE"""),"https://www.facebook.com/watch/live/?ref=watch_permalink&amp;v=360307549312104")</f>
        <v>https://www.facebook.com/watch/live/?ref=watch_permalink&amp;v=360307549312104</v>
      </c>
      <c r="J1496" s="1" t="str">
        <f>IFERROR(__xludf.DUMMYFUNCTION("""COMPUTED_VALUE"""),"2022-07-04T15:42:44.434Z")</f>
        <v>2022-07-04T15:42:44.434Z</v>
      </c>
      <c r="K1496" s="1"/>
    </row>
    <row r="1497">
      <c r="A1497" s="2" t="str">
        <f>IFERROR(__xludf.DUMMYFUNCTION("""COMPUTED_VALUE"""),"https://www.facebook.com/profile.php?id=100073807421844")</f>
        <v>https://www.facebook.com/profile.php?id=100073807421844</v>
      </c>
      <c r="B1497" s="1" t="str">
        <f>IFERROR(__xludf.DUMMYFUNCTION("""COMPUTED_VALUE"""),"Angeline Sison")</f>
        <v>Angeline Sison</v>
      </c>
      <c r="C1497" s="1" t="str">
        <f>IFERROR(__xludf.DUMMYFUNCTION("""COMPUTED_VALUE"""),"Angeline")</f>
        <v>Angeline</v>
      </c>
      <c r="D1497" s="1" t="str">
        <f>IFERROR(__xludf.DUMMYFUNCTION("""COMPUTED_VALUE"""),"Sison")</f>
        <v>Sison</v>
      </c>
      <c r="E1497" s="1" t="str">
        <f>IFERROR(__xludf.DUMMYFUNCTION("""COMPUTED_VALUE"""),"SEE, JUDGE AND ACT PROUD TO BE KAKAMPINK")</f>
        <v>SEE, JUDGE AND ACT PROUD TO BE KAKAMPINK</v>
      </c>
      <c r="F1497" s="1">
        <f>IFERROR(__xludf.DUMMYFUNCTION("""COMPUTED_VALUE"""),3.0)</f>
        <v>3</v>
      </c>
      <c r="G1497" s="1" t="str">
        <f>IFERROR(__xludf.DUMMYFUNCTION("""COMPUTED_VALUE"""),"3 mos")</f>
        <v>3 mos</v>
      </c>
      <c r="H1497" s="1" t="str">
        <f>IFERROR(__xludf.DUMMYFUNCTION("""COMPUTED_VALUE"""),"comment")</f>
        <v>comment</v>
      </c>
      <c r="I1497" s="2" t="str">
        <f>IFERROR(__xludf.DUMMYFUNCTION("""COMPUTED_VALUE"""),"https://www.facebook.com/watch/live/?ref=watch_permalink&amp;v=360307549312104")</f>
        <v>https://www.facebook.com/watch/live/?ref=watch_permalink&amp;v=360307549312104</v>
      </c>
      <c r="J1497" s="1" t="str">
        <f>IFERROR(__xludf.DUMMYFUNCTION("""COMPUTED_VALUE"""),"2022-07-04T15:42:44.434Z")</f>
        <v>2022-07-04T15:42:44.434Z</v>
      </c>
      <c r="K1497" s="1"/>
    </row>
    <row r="1498">
      <c r="A1498" s="2" t="str">
        <f>IFERROR(__xludf.DUMMYFUNCTION("""COMPUTED_VALUE"""),"https://www.facebook.com/sandra.siaton")</f>
        <v>https://www.facebook.com/sandra.siaton</v>
      </c>
      <c r="B1498" s="1" t="str">
        <f>IFERROR(__xludf.DUMMYFUNCTION("""COMPUTED_VALUE"""),"Sandra Siaton")</f>
        <v>Sandra Siaton</v>
      </c>
      <c r="C1498" s="1" t="str">
        <f>IFERROR(__xludf.DUMMYFUNCTION("""COMPUTED_VALUE"""),"Sandra")</f>
        <v>Sandra</v>
      </c>
      <c r="D1498" s="1" t="str">
        <f>IFERROR(__xludf.DUMMYFUNCTION("""COMPUTED_VALUE"""),"Siaton")</f>
        <v>Siaton</v>
      </c>
      <c r="E1498" s="1" t="str">
        <f>IFERROR(__xludf.DUMMYFUNCTION("""COMPUTED_VALUE"""),"Posting of good words is good for your health.")</f>
        <v>Posting of good words is good for your health.</v>
      </c>
      <c r="F1498" s="1"/>
      <c r="G1498" s="1" t="str">
        <f>IFERROR(__xludf.DUMMYFUNCTION("""COMPUTED_VALUE"""),"3 mos")</f>
        <v>3 mos</v>
      </c>
      <c r="H1498" s="1" t="str">
        <f>IFERROR(__xludf.DUMMYFUNCTION("""COMPUTED_VALUE"""),"comment")</f>
        <v>comment</v>
      </c>
      <c r="I1498" s="2" t="str">
        <f>IFERROR(__xludf.DUMMYFUNCTION("""COMPUTED_VALUE"""),"https://www.facebook.com/watch/live/?ref=watch_permalink&amp;v=360307549312104")</f>
        <v>https://www.facebook.com/watch/live/?ref=watch_permalink&amp;v=360307549312104</v>
      </c>
      <c r="J1498" s="1" t="str">
        <f>IFERROR(__xludf.DUMMYFUNCTION("""COMPUTED_VALUE"""),"2022-07-04T15:42:44.434Z")</f>
        <v>2022-07-04T15:42:44.434Z</v>
      </c>
      <c r="K1498" s="1"/>
    </row>
    <row r="1499">
      <c r="A1499" s="2" t="str">
        <f>IFERROR(__xludf.DUMMYFUNCTION("""COMPUTED_VALUE"""),"https://www.facebook.com/adelfa.abuda")</f>
        <v>https://www.facebook.com/adelfa.abuda</v>
      </c>
      <c r="B1499" s="1" t="str">
        <f>IFERROR(__xludf.DUMMYFUNCTION("""COMPUTED_VALUE"""),"Adelfa Abuda")</f>
        <v>Adelfa Abuda</v>
      </c>
      <c r="C1499" s="1" t="str">
        <f>IFERROR(__xludf.DUMMYFUNCTION("""COMPUTED_VALUE"""),"Adelfa")</f>
        <v>Adelfa</v>
      </c>
      <c r="D1499" s="1" t="str">
        <f>IFERROR(__xludf.DUMMYFUNCTION("""COMPUTED_VALUE"""),"Abuda")</f>
        <v>Abuda</v>
      </c>
      <c r="E1499" s="1" t="str">
        <f>IFERROR(__xludf.DUMMYFUNCTION("""COMPUTED_VALUE"""),"Ibig sabihin they have experience and they know what they need to continue to do and how they will do it.")</f>
        <v>Ibig sabihin they have experience and they know what they need to continue to do and how they will do it.</v>
      </c>
      <c r="F1499" s="1">
        <f>IFERROR(__xludf.DUMMYFUNCTION("""COMPUTED_VALUE"""),1.0)</f>
        <v>1</v>
      </c>
      <c r="G1499" s="1" t="str">
        <f>IFERROR(__xludf.DUMMYFUNCTION("""COMPUTED_VALUE"""),"3 mos")</f>
        <v>3 mos</v>
      </c>
      <c r="H1499" s="1" t="str">
        <f>IFERROR(__xludf.DUMMYFUNCTION("""COMPUTED_VALUE"""),"comment")</f>
        <v>comment</v>
      </c>
      <c r="I1499" s="2" t="str">
        <f>IFERROR(__xludf.DUMMYFUNCTION("""COMPUTED_VALUE"""),"https://www.facebook.com/watch/live/?ref=watch_permalink&amp;v=360307549312104")</f>
        <v>https://www.facebook.com/watch/live/?ref=watch_permalink&amp;v=360307549312104</v>
      </c>
      <c r="J1499" s="1" t="str">
        <f>IFERROR(__xludf.DUMMYFUNCTION("""COMPUTED_VALUE"""),"2022-07-04T15:42:44.434Z")</f>
        <v>2022-07-04T15:42:44.434Z</v>
      </c>
      <c r="K1499" s="1"/>
    </row>
    <row r="1500">
      <c r="A1500" s="2" t="str">
        <f>IFERROR(__xludf.DUMMYFUNCTION("""COMPUTED_VALUE"""),"https://www.facebook.com/sialexto")</f>
        <v>https://www.facebook.com/sialexto</v>
      </c>
      <c r="B1500" s="1" t="str">
        <f>IFERROR(__xludf.DUMMYFUNCTION("""COMPUTED_VALUE"""),"Alex Santos")</f>
        <v>Alex Santos</v>
      </c>
      <c r="C1500" s="1" t="str">
        <f>IFERROR(__xludf.DUMMYFUNCTION("""COMPUTED_VALUE"""),"Alex")</f>
        <v>Alex</v>
      </c>
      <c r="D1500" s="1" t="str">
        <f>IFERROR(__xludf.DUMMYFUNCTION("""COMPUTED_VALUE"""),"Santos")</f>
        <v>Santos</v>
      </c>
      <c r="E1500" s="1" t="str">
        <f>IFERROR(__xludf.DUMMYFUNCTION("""COMPUTED_VALUE"""),"WOW CAMANAVA!!!! Ang Daming Tao! 💗💗💗  Congrats Kakampink #LeniKiko2022 #AngatBuhayLahat  #sagobyernongtapatangatbuhaylahat")</f>
        <v>WOW CAMANAVA!!!! Ang Daming Tao! 💗💗💗  Congrats Kakampink #LeniKiko2022 #AngatBuhayLahat  #sagobyernongtapatangatbuhaylahat</v>
      </c>
      <c r="F1500" s="1">
        <f>IFERROR(__xludf.DUMMYFUNCTION("""COMPUTED_VALUE"""),2.0)</f>
        <v>2</v>
      </c>
      <c r="G1500" s="1" t="str">
        <f>IFERROR(__xludf.DUMMYFUNCTION("""COMPUTED_VALUE"""),"3 mos")</f>
        <v>3 mos</v>
      </c>
      <c r="H1500" s="1" t="str">
        <f>IFERROR(__xludf.DUMMYFUNCTION("""COMPUTED_VALUE"""),"comment")</f>
        <v>comment</v>
      </c>
      <c r="I1500" s="2" t="str">
        <f>IFERROR(__xludf.DUMMYFUNCTION("""COMPUTED_VALUE"""),"https://www.facebook.com/watch/live/?ref=watch_permalink&amp;v=360307549312104")</f>
        <v>https://www.facebook.com/watch/live/?ref=watch_permalink&amp;v=360307549312104</v>
      </c>
      <c r="J1500" s="1" t="str">
        <f>IFERROR(__xludf.DUMMYFUNCTION("""COMPUTED_VALUE"""),"2022-07-04T15:42:44.434Z")</f>
        <v>2022-07-04T15:42:44.434Z</v>
      </c>
      <c r="K1500" s="1"/>
    </row>
    <row r="1501">
      <c r="A1501" s="2" t="str">
        <f>IFERROR(__xludf.DUMMYFUNCTION("""COMPUTED_VALUE"""),"https://www.facebook.com/marygrace.bruma")</f>
        <v>https://www.facebook.com/marygrace.bruma</v>
      </c>
      <c r="B1501" s="1" t="str">
        <f>IFERROR(__xludf.DUMMYFUNCTION("""COMPUTED_VALUE"""),"Mary Grace Bruma-Fernandez")</f>
        <v>Mary Grace Bruma-Fernandez</v>
      </c>
      <c r="C1501" s="1" t="str">
        <f>IFERROR(__xludf.DUMMYFUNCTION("""COMPUTED_VALUE"""),"Mary")</f>
        <v>Mary</v>
      </c>
      <c r="D1501" s="1" t="str">
        <f>IFERROR(__xludf.DUMMYFUNCTION("""COMPUTED_VALUE"""),"Grace Bruma-Fernandez")</f>
        <v>Grace Bruma-Fernandez</v>
      </c>
      <c r="E1501" s="1" t="str">
        <f>IFERROR(__xludf.DUMMYFUNCTION("""COMPUTED_VALUE"""),"Watching here from caticlan boracay laban My president..ipanalo n ntin to🙏🙏")</f>
        <v>Watching here from caticlan boracay laban My president..ipanalo n ntin to🙏🙏</v>
      </c>
      <c r="F1501" s="1">
        <f>IFERROR(__xludf.DUMMYFUNCTION("""COMPUTED_VALUE"""),1.0)</f>
        <v>1</v>
      </c>
      <c r="G1501" s="1" t="str">
        <f>IFERROR(__xludf.DUMMYFUNCTION("""COMPUTED_VALUE"""),"3 mos")</f>
        <v>3 mos</v>
      </c>
      <c r="H1501" s="1" t="str">
        <f>IFERROR(__xludf.DUMMYFUNCTION("""COMPUTED_VALUE"""),"comment")</f>
        <v>comment</v>
      </c>
      <c r="I1501" s="2" t="str">
        <f>IFERROR(__xludf.DUMMYFUNCTION("""COMPUTED_VALUE"""),"https://www.facebook.com/watch/live/?ref=watch_permalink&amp;v=360307549312104")</f>
        <v>https://www.facebook.com/watch/live/?ref=watch_permalink&amp;v=360307549312104</v>
      </c>
      <c r="J1501" s="1" t="str">
        <f>IFERROR(__xludf.DUMMYFUNCTION("""COMPUTED_VALUE"""),"2022-07-04T15:42:44.434Z")</f>
        <v>2022-07-04T15:42:44.434Z</v>
      </c>
      <c r="K1501" s="1"/>
    </row>
    <row r="1502">
      <c r="A1502" s="2" t="str">
        <f>IFERROR(__xludf.DUMMYFUNCTION("""COMPUTED_VALUE"""),"https://www.facebook.com/pearl.a.pedroso")</f>
        <v>https://www.facebook.com/pearl.a.pedroso</v>
      </c>
      <c r="B1502" s="1" t="str">
        <f>IFERROR(__xludf.DUMMYFUNCTION("""COMPUTED_VALUE"""),"Pearl Angeli P. Pedroso")</f>
        <v>Pearl Angeli P. Pedroso</v>
      </c>
      <c r="C1502" s="1" t="str">
        <f>IFERROR(__xludf.DUMMYFUNCTION("""COMPUTED_VALUE"""),"Pearl")</f>
        <v>Pearl</v>
      </c>
      <c r="D1502" s="1" t="str">
        <f>IFERROR(__xludf.DUMMYFUNCTION("""COMPUTED_VALUE"""),"Angeli P. Pedroso")</f>
        <v>Angeli P. Pedroso</v>
      </c>
      <c r="E1502" s="1" t="str">
        <f>IFERROR(__xludf.DUMMYFUNCTION("""COMPUTED_VALUE"""),"Sending love to all fellow Kakampinks in CaMaNaVa!  #LetLeniKikoLead2022")</f>
        <v>Sending love to all fellow Kakampinks in CaMaNaVa!  #LetLeniKikoLead2022</v>
      </c>
      <c r="F1502" s="1">
        <f>IFERROR(__xludf.DUMMYFUNCTION("""COMPUTED_VALUE"""),3.0)</f>
        <v>3</v>
      </c>
      <c r="G1502" s="1" t="str">
        <f>IFERROR(__xludf.DUMMYFUNCTION("""COMPUTED_VALUE"""),"3 mos")</f>
        <v>3 mos</v>
      </c>
      <c r="H1502" s="1" t="str">
        <f>IFERROR(__xludf.DUMMYFUNCTION("""COMPUTED_VALUE"""),"comment")</f>
        <v>comment</v>
      </c>
      <c r="I1502" s="2" t="str">
        <f>IFERROR(__xludf.DUMMYFUNCTION("""COMPUTED_VALUE"""),"https://www.facebook.com/watch/live/?ref=watch_permalink&amp;v=360307549312104")</f>
        <v>https://www.facebook.com/watch/live/?ref=watch_permalink&amp;v=360307549312104</v>
      </c>
      <c r="J1502" s="1" t="str">
        <f>IFERROR(__xludf.DUMMYFUNCTION("""COMPUTED_VALUE"""),"2022-07-04T15:42:44.434Z")</f>
        <v>2022-07-04T15:42:44.434Z</v>
      </c>
      <c r="K1502" s="1"/>
    </row>
    <row r="1503">
      <c r="A1503" s="2" t="str">
        <f>IFERROR(__xludf.DUMMYFUNCTION("""COMPUTED_VALUE"""),"https://www.facebook.com/jowel.geroy")</f>
        <v>https://www.facebook.com/jowel.geroy</v>
      </c>
      <c r="B1503" s="1" t="str">
        <f>IFERROR(__xludf.DUMMYFUNCTION("""COMPUTED_VALUE"""),"Jowel Geroy")</f>
        <v>Jowel Geroy</v>
      </c>
      <c r="C1503" s="1" t="str">
        <f>IFERROR(__xludf.DUMMYFUNCTION("""COMPUTED_VALUE"""),"Jowel")</f>
        <v>Jowel</v>
      </c>
      <c r="D1503" s="1" t="str">
        <f>IFERROR(__xludf.DUMMYFUNCTION("""COMPUTED_VALUE"""),"Geroy")</f>
        <v>Geroy</v>
      </c>
      <c r="E1503" s="1" t="str">
        <f>IFERROR(__xludf.DUMMYFUNCTION("""COMPUTED_VALUE"""),"We Filipinos are environmental lovers kaya CLAYGO tayo mga kababayan sa mga venue natin ng mga sorties para maayos parin ang kapaligiran. #Mararangal tayong mga Pilipino.")</f>
        <v>We Filipinos are environmental lovers kaya CLAYGO tayo mga kababayan sa mga venue natin ng mga sorties para maayos parin ang kapaligiran. #Mararangal tayong mga Pilipino.</v>
      </c>
      <c r="F1503" s="1"/>
      <c r="G1503" s="1" t="str">
        <f>IFERROR(__xludf.DUMMYFUNCTION("""COMPUTED_VALUE"""),"3 mos")</f>
        <v>3 mos</v>
      </c>
      <c r="H1503" s="1" t="str">
        <f>IFERROR(__xludf.DUMMYFUNCTION("""COMPUTED_VALUE"""),"comment")</f>
        <v>comment</v>
      </c>
      <c r="I1503" s="2" t="str">
        <f>IFERROR(__xludf.DUMMYFUNCTION("""COMPUTED_VALUE"""),"https://www.facebook.com/watch/live/?ref=watch_permalink&amp;v=360307549312104")</f>
        <v>https://www.facebook.com/watch/live/?ref=watch_permalink&amp;v=360307549312104</v>
      </c>
      <c r="J1503" s="1" t="str">
        <f>IFERROR(__xludf.DUMMYFUNCTION("""COMPUTED_VALUE"""),"2022-07-04T15:42:44.434Z")</f>
        <v>2022-07-04T15:42:44.434Z</v>
      </c>
      <c r="K1503" s="1"/>
    </row>
    <row r="1504">
      <c r="A1504" s="2" t="str">
        <f>IFERROR(__xludf.DUMMYFUNCTION("""COMPUTED_VALUE"""),"https://www.facebook.com/silvana.kagura")</f>
        <v>https://www.facebook.com/silvana.kagura</v>
      </c>
      <c r="B1504" s="1" t="str">
        <f>IFERROR(__xludf.DUMMYFUNCTION("""COMPUTED_VALUE"""),"Silvana Kagura")</f>
        <v>Silvana Kagura</v>
      </c>
      <c r="C1504" s="1" t="str">
        <f>IFERROR(__xludf.DUMMYFUNCTION("""COMPUTED_VALUE"""),"Silvana")</f>
        <v>Silvana</v>
      </c>
      <c r="D1504" s="1" t="str">
        <f>IFERROR(__xludf.DUMMYFUNCTION("""COMPUTED_VALUE"""),"Kagura")</f>
        <v>Kagura</v>
      </c>
      <c r="E1504" s="1" t="str">
        <f>IFERROR(__xludf.DUMMYFUNCTION("""COMPUTED_VALUE"""),"🌷🌷🌷🌷🌷🌷good luck po atty. Chel Diokno 🌷🌷🌷🌷🌷🌷 my family votes for you")</f>
        <v>🌷🌷🌷🌷🌷🌷good luck po atty. Chel Diokno 🌷🌷🌷🌷🌷🌷 my family votes for you</v>
      </c>
      <c r="F1504" s="1">
        <f>IFERROR(__xludf.DUMMYFUNCTION("""COMPUTED_VALUE"""),4.0)</f>
        <v>4</v>
      </c>
      <c r="G1504" s="1" t="str">
        <f>IFERROR(__xludf.DUMMYFUNCTION("""COMPUTED_VALUE"""),"3 mos")</f>
        <v>3 mos</v>
      </c>
      <c r="H1504" s="1" t="str">
        <f>IFERROR(__xludf.DUMMYFUNCTION("""COMPUTED_VALUE"""),"comment")</f>
        <v>comment</v>
      </c>
      <c r="I1504" s="2" t="str">
        <f>IFERROR(__xludf.DUMMYFUNCTION("""COMPUTED_VALUE"""),"https://www.facebook.com/watch/live/?ref=watch_permalink&amp;v=360307549312104")</f>
        <v>https://www.facebook.com/watch/live/?ref=watch_permalink&amp;v=360307549312104</v>
      </c>
      <c r="J1504" s="1" t="str">
        <f>IFERROR(__xludf.DUMMYFUNCTION("""COMPUTED_VALUE"""),"2022-07-04T15:42:44.434Z")</f>
        <v>2022-07-04T15:42:44.434Z</v>
      </c>
      <c r="K1504" s="1"/>
    </row>
    <row r="1505">
      <c r="A1505" s="2" t="str">
        <f>IFERROR(__xludf.DUMMYFUNCTION("""COMPUTED_VALUE"""),"https://www.facebook.com/jowel.geroy")</f>
        <v>https://www.facebook.com/jowel.geroy</v>
      </c>
      <c r="B1505" s="1" t="str">
        <f>IFERROR(__xludf.DUMMYFUNCTION("""COMPUTED_VALUE"""),"Jowel Geroy")</f>
        <v>Jowel Geroy</v>
      </c>
      <c r="C1505" s="1" t="str">
        <f>IFERROR(__xludf.DUMMYFUNCTION("""COMPUTED_VALUE"""),"Jowel")</f>
        <v>Jowel</v>
      </c>
      <c r="D1505" s="1" t="str">
        <f>IFERROR(__xludf.DUMMYFUNCTION("""COMPUTED_VALUE"""),"Geroy")</f>
        <v>Geroy</v>
      </c>
      <c r="E1505" s="1" t="str">
        <f>IFERROR(__xludf.DUMMYFUNCTION("""COMPUTED_VALUE"""),"Yan lumalaganap na ang character change, ito yung positive character development na nangyayari on the ground! nakakahawa kayo! Maraming salamat!")</f>
        <v>Yan lumalaganap na ang character change, ito yung positive character development na nangyayari on the ground! nakakahawa kayo! Maraming salamat!</v>
      </c>
      <c r="F1505" s="1">
        <f>IFERROR(__xludf.DUMMYFUNCTION("""COMPUTED_VALUE"""),2.0)</f>
        <v>2</v>
      </c>
      <c r="G1505" s="1" t="str">
        <f>IFERROR(__xludf.DUMMYFUNCTION("""COMPUTED_VALUE"""),"3 mos")</f>
        <v>3 mos</v>
      </c>
      <c r="H1505" s="1" t="str">
        <f>IFERROR(__xludf.DUMMYFUNCTION("""COMPUTED_VALUE"""),"comment")</f>
        <v>comment</v>
      </c>
      <c r="I1505" s="2" t="str">
        <f>IFERROR(__xludf.DUMMYFUNCTION("""COMPUTED_VALUE"""),"https://www.facebook.com/watch/live/?ref=watch_permalink&amp;v=360307549312104")</f>
        <v>https://www.facebook.com/watch/live/?ref=watch_permalink&amp;v=360307549312104</v>
      </c>
      <c r="J1505" s="1" t="str">
        <f>IFERROR(__xludf.DUMMYFUNCTION("""COMPUTED_VALUE"""),"2022-07-04T15:42:44.434Z")</f>
        <v>2022-07-04T15:42:44.434Z</v>
      </c>
      <c r="K1505" s="1"/>
    </row>
    <row r="1506">
      <c r="A1506" s="2" t="str">
        <f>IFERROR(__xludf.DUMMYFUNCTION("""COMPUTED_VALUE"""),"https://www.facebook.com/rottenlittlecog")</f>
        <v>https://www.facebook.com/rottenlittlecog</v>
      </c>
      <c r="B1506" s="1" t="str">
        <f>IFERROR(__xludf.DUMMYFUNCTION("""COMPUTED_VALUE"""),"Elliana Rei Magnaye")</f>
        <v>Elliana Rei Magnaye</v>
      </c>
      <c r="C1506" s="1" t="str">
        <f>IFERROR(__xludf.DUMMYFUNCTION("""COMPUTED_VALUE"""),"Elliana")</f>
        <v>Elliana</v>
      </c>
      <c r="D1506" s="1" t="str">
        <f>IFERROR(__xludf.DUMMYFUNCTION("""COMPUTED_VALUE"""),"Rei Magnaye")</f>
        <v>Rei Magnaye</v>
      </c>
      <c r="E1506" s="1" t="str">
        <f>IFERROR(__xludf.DUMMYFUNCTION("""COMPUTED_VALUE"""),"“This is the revolution of the new generation.” 🌷🤩")</f>
        <v>“This is the revolution of the new generation.” 🌷🤩</v>
      </c>
      <c r="F1506" s="1">
        <f>IFERROR(__xludf.DUMMYFUNCTION("""COMPUTED_VALUE"""),1.0)</f>
        <v>1</v>
      </c>
      <c r="G1506" s="1" t="str">
        <f>IFERROR(__xludf.DUMMYFUNCTION("""COMPUTED_VALUE"""),"3 mos")</f>
        <v>3 mos</v>
      </c>
      <c r="H1506" s="1" t="str">
        <f>IFERROR(__xludf.DUMMYFUNCTION("""COMPUTED_VALUE"""),"comment")</f>
        <v>comment</v>
      </c>
      <c r="I1506" s="2" t="str">
        <f>IFERROR(__xludf.DUMMYFUNCTION("""COMPUTED_VALUE"""),"https://www.facebook.com/watch/live/?ref=watch_permalink&amp;v=360307549312104")</f>
        <v>https://www.facebook.com/watch/live/?ref=watch_permalink&amp;v=360307549312104</v>
      </c>
      <c r="J1506" s="1" t="str">
        <f>IFERROR(__xludf.DUMMYFUNCTION("""COMPUTED_VALUE"""),"2022-07-04T15:42:44.434Z")</f>
        <v>2022-07-04T15:42:44.434Z</v>
      </c>
      <c r="K1506" s="1"/>
    </row>
    <row r="1507">
      <c r="A1507" s="2" t="str">
        <f>IFERROR(__xludf.DUMMYFUNCTION("""COMPUTED_VALUE"""),"https://www.facebook.com/john.tayone.56")</f>
        <v>https://www.facebook.com/john.tayone.56</v>
      </c>
      <c r="B1507" s="1" t="str">
        <f>IFERROR(__xludf.DUMMYFUNCTION("""COMPUTED_VALUE"""),"John Tayone")</f>
        <v>John Tayone</v>
      </c>
      <c r="C1507" s="1" t="str">
        <f>IFERROR(__xludf.DUMMYFUNCTION("""COMPUTED_VALUE"""),"John")</f>
        <v>John</v>
      </c>
      <c r="D1507" s="1" t="str">
        <f>IFERROR(__xludf.DUMMYFUNCTION("""COMPUTED_VALUE"""),"Tayone")</f>
        <v>Tayone</v>
      </c>
      <c r="E1507" s="1" t="str">
        <f>IFERROR(__xludf.DUMMYFUNCTION("""COMPUTED_VALUE"""),"Guys dont drained your energy with bashers..enjoy the moment..")</f>
        <v>Guys dont drained your energy with bashers..enjoy the moment..</v>
      </c>
      <c r="F1507" s="1">
        <f>IFERROR(__xludf.DUMMYFUNCTION("""COMPUTED_VALUE"""),1.0)</f>
        <v>1</v>
      </c>
      <c r="G1507" s="1" t="str">
        <f>IFERROR(__xludf.DUMMYFUNCTION("""COMPUTED_VALUE"""),"3 mos")</f>
        <v>3 mos</v>
      </c>
      <c r="H1507" s="1" t="str">
        <f>IFERROR(__xludf.DUMMYFUNCTION("""COMPUTED_VALUE"""),"comment")</f>
        <v>comment</v>
      </c>
      <c r="I1507" s="2" t="str">
        <f>IFERROR(__xludf.DUMMYFUNCTION("""COMPUTED_VALUE"""),"https://www.facebook.com/watch/live/?ref=watch_permalink&amp;v=360307549312104")</f>
        <v>https://www.facebook.com/watch/live/?ref=watch_permalink&amp;v=360307549312104</v>
      </c>
      <c r="J1507" s="1" t="str">
        <f>IFERROR(__xludf.DUMMYFUNCTION("""COMPUTED_VALUE"""),"2022-07-04T15:42:44.434Z")</f>
        <v>2022-07-04T15:42:44.434Z</v>
      </c>
      <c r="K1507" s="1"/>
    </row>
    <row r="1508">
      <c r="A1508" s="2" t="str">
        <f>IFERROR(__xludf.DUMMYFUNCTION("""COMPUTED_VALUE"""),"https://www.facebook.com/samantha.luiz.92")</f>
        <v>https://www.facebook.com/samantha.luiz.92</v>
      </c>
      <c r="B1508" s="1" t="str">
        <f>IFERROR(__xludf.DUMMYFUNCTION("""COMPUTED_VALUE"""),"Jazmin R. Bereber")</f>
        <v>Jazmin R. Bereber</v>
      </c>
      <c r="C1508" s="1" t="str">
        <f>IFERROR(__xludf.DUMMYFUNCTION("""COMPUTED_VALUE"""),"Jazmin")</f>
        <v>Jazmin</v>
      </c>
      <c r="D1508" s="1" t="str">
        <f>IFERROR(__xludf.DUMMYFUNCTION("""COMPUTED_VALUE"""),"R. Bereber")</f>
        <v>R. Bereber</v>
      </c>
      <c r="E1508" s="1" t="str">
        <f>IFERROR(__xludf.DUMMYFUNCTION("""COMPUTED_VALUE"""),"Jazmin R. Bereber")</f>
        <v>Jazmin R. Bereber</v>
      </c>
      <c r="F1508" s="1"/>
      <c r="G1508" s="1" t="str">
        <f>IFERROR(__xludf.DUMMYFUNCTION("""COMPUTED_VALUE"""),"3 mos")</f>
        <v>3 mos</v>
      </c>
      <c r="H1508" s="1" t="str">
        <f>IFERROR(__xludf.DUMMYFUNCTION("""COMPUTED_VALUE"""),"comment")</f>
        <v>comment</v>
      </c>
      <c r="I1508" s="2" t="str">
        <f>IFERROR(__xludf.DUMMYFUNCTION("""COMPUTED_VALUE"""),"https://www.facebook.com/watch/live/?ref=watch_permalink&amp;v=360307549312104")</f>
        <v>https://www.facebook.com/watch/live/?ref=watch_permalink&amp;v=360307549312104</v>
      </c>
      <c r="J1508" s="1" t="str">
        <f>IFERROR(__xludf.DUMMYFUNCTION("""COMPUTED_VALUE"""),"2022-07-04T15:42:44.434Z")</f>
        <v>2022-07-04T15:42:44.434Z</v>
      </c>
      <c r="K1508" s="1"/>
    </row>
    <row r="1509">
      <c r="A1509" s="2" t="str">
        <f>IFERROR(__xludf.DUMMYFUNCTION("""COMPUTED_VALUE"""),"https://www.facebook.com/profile.php?id=100010223315744")</f>
        <v>https://www.facebook.com/profile.php?id=100010223315744</v>
      </c>
      <c r="B1509" s="1" t="str">
        <f>IFERROR(__xludf.DUMMYFUNCTION("""COMPUTED_VALUE"""),"Archival Santos")</f>
        <v>Archival Santos</v>
      </c>
      <c r="C1509" s="1" t="str">
        <f>IFERROR(__xludf.DUMMYFUNCTION("""COMPUTED_VALUE"""),"Archival")</f>
        <v>Archival</v>
      </c>
      <c r="D1509" s="1" t="str">
        <f>IFERROR(__xludf.DUMMYFUNCTION("""COMPUTED_VALUE"""),"Santos")</f>
        <v>Santos</v>
      </c>
      <c r="E1509" s="1" t="str">
        <f>IFERROR(__xludf.DUMMYFUNCTION("""COMPUTED_VALUE"""),"Archival Santos")</f>
        <v>Archival Santos</v>
      </c>
      <c r="F1509" s="1"/>
      <c r="G1509" s="1" t="str">
        <f>IFERROR(__xludf.DUMMYFUNCTION("""COMPUTED_VALUE"""),"3 mos")</f>
        <v>3 mos</v>
      </c>
      <c r="H1509" s="1" t="str">
        <f>IFERROR(__xludf.DUMMYFUNCTION("""COMPUTED_VALUE"""),"comment")</f>
        <v>comment</v>
      </c>
      <c r="I1509" s="2" t="str">
        <f>IFERROR(__xludf.DUMMYFUNCTION("""COMPUTED_VALUE"""),"https://www.facebook.com/watch/live/?ref=watch_permalink&amp;v=360307549312104")</f>
        <v>https://www.facebook.com/watch/live/?ref=watch_permalink&amp;v=360307549312104</v>
      </c>
      <c r="J1509" s="1" t="str">
        <f>IFERROR(__xludf.DUMMYFUNCTION("""COMPUTED_VALUE"""),"2022-07-04T15:42:44.435Z")</f>
        <v>2022-07-04T15:42:44.435Z</v>
      </c>
      <c r="K1509" s="1"/>
    </row>
    <row r="1510">
      <c r="A1510" s="2" t="str">
        <f>IFERROR(__xludf.DUMMYFUNCTION("""COMPUTED_VALUE"""),"https://www.facebook.com/nelia.alfonso")</f>
        <v>https://www.facebook.com/nelia.alfonso</v>
      </c>
      <c r="B1510" s="1" t="str">
        <f>IFERROR(__xludf.DUMMYFUNCTION("""COMPUTED_VALUE"""),"Nelia Alfonso")</f>
        <v>Nelia Alfonso</v>
      </c>
      <c r="C1510" s="1" t="str">
        <f>IFERROR(__xludf.DUMMYFUNCTION("""COMPUTED_VALUE"""),"Nelia")</f>
        <v>Nelia</v>
      </c>
      <c r="D1510" s="1" t="str">
        <f>IFERROR(__xludf.DUMMYFUNCTION("""COMPUTED_VALUE"""),"Alfonso")</f>
        <v>Alfonso</v>
      </c>
      <c r="E1510" s="1" t="str">
        <f>IFERROR(__xludf.DUMMYFUNCTION("""COMPUTED_VALUE"""),"Nelia Alfonso")</f>
        <v>Nelia Alfonso</v>
      </c>
      <c r="F1510" s="1">
        <f>IFERROR(__xludf.DUMMYFUNCTION("""COMPUTED_VALUE"""),3.0)</f>
        <v>3</v>
      </c>
      <c r="G1510" s="1" t="str">
        <f>IFERROR(__xludf.DUMMYFUNCTION("""COMPUTED_VALUE"""),"3 mos")</f>
        <v>3 mos</v>
      </c>
      <c r="H1510" s="1" t="str">
        <f>IFERROR(__xludf.DUMMYFUNCTION("""COMPUTED_VALUE"""),"comment")</f>
        <v>comment</v>
      </c>
      <c r="I1510" s="2" t="str">
        <f>IFERROR(__xludf.DUMMYFUNCTION("""COMPUTED_VALUE"""),"https://www.facebook.com/watch/live/?ref=watch_permalink&amp;v=360307549312104")</f>
        <v>https://www.facebook.com/watch/live/?ref=watch_permalink&amp;v=360307549312104</v>
      </c>
      <c r="J1510" s="1" t="str">
        <f>IFERROR(__xludf.DUMMYFUNCTION("""COMPUTED_VALUE"""),"2022-07-04T15:42:44.435Z")</f>
        <v>2022-07-04T15:42:44.435Z</v>
      </c>
      <c r="K1510" s="1"/>
    </row>
    <row r="1511">
      <c r="A1511" s="2" t="str">
        <f>IFERROR(__xludf.DUMMYFUNCTION("""COMPUTED_VALUE"""),"https://www.facebook.com/riooochaaan")</f>
        <v>https://www.facebook.com/riooochaaan</v>
      </c>
      <c r="B1511" s="1" t="str">
        <f>IFERROR(__xludf.DUMMYFUNCTION("""COMPUTED_VALUE"""),"Rio Chan")</f>
        <v>Rio Chan</v>
      </c>
      <c r="C1511" s="1" t="str">
        <f>IFERROR(__xludf.DUMMYFUNCTION("""COMPUTED_VALUE"""),"Rio")</f>
        <v>Rio</v>
      </c>
      <c r="D1511" s="1" t="str">
        <f>IFERROR(__xludf.DUMMYFUNCTION("""COMPUTED_VALUE"""),"Chan")</f>
        <v>Chan</v>
      </c>
      <c r="E1511" s="1" t="str">
        <f>IFERROR(__xludf.DUMMYFUNCTION("""COMPUTED_VALUE"""),"#LetLeniLead2022")</f>
        <v>#LetLeniLead2022</v>
      </c>
      <c r="F1511" s="1"/>
      <c r="G1511" s="1" t="str">
        <f>IFERROR(__xludf.DUMMYFUNCTION("""COMPUTED_VALUE"""),"3 mos")</f>
        <v>3 mos</v>
      </c>
      <c r="H1511" s="1" t="str">
        <f>IFERROR(__xludf.DUMMYFUNCTION("""COMPUTED_VALUE"""),"comment")</f>
        <v>comment</v>
      </c>
      <c r="I1511" s="2" t="str">
        <f>IFERROR(__xludf.DUMMYFUNCTION("""COMPUTED_VALUE"""),"https://www.facebook.com/watch/live/?ref=watch_permalink&amp;v=360307549312104")</f>
        <v>https://www.facebook.com/watch/live/?ref=watch_permalink&amp;v=360307549312104</v>
      </c>
      <c r="J1511" s="1" t="str">
        <f>IFERROR(__xludf.DUMMYFUNCTION("""COMPUTED_VALUE"""),"2022-07-04T15:42:44.435Z")</f>
        <v>2022-07-04T15:42:44.435Z</v>
      </c>
      <c r="K1511" s="1"/>
    </row>
    <row r="1512">
      <c r="A1512" s="2" t="str">
        <f>IFERROR(__xludf.DUMMYFUNCTION("""COMPUTED_VALUE"""),"https://www.facebook.com/albert.erebito")</f>
        <v>https://www.facebook.com/albert.erebito</v>
      </c>
      <c r="B1512" s="1" t="str">
        <f>IFERROR(__xludf.DUMMYFUNCTION("""COMPUTED_VALUE"""),"Albert Erebito")</f>
        <v>Albert Erebito</v>
      </c>
      <c r="C1512" s="1" t="str">
        <f>IFERROR(__xludf.DUMMYFUNCTION("""COMPUTED_VALUE"""),"Albert")</f>
        <v>Albert</v>
      </c>
      <c r="D1512" s="1" t="str">
        <f>IFERROR(__xludf.DUMMYFUNCTION("""COMPUTED_VALUE"""),"Erebito")</f>
        <v>Erebito</v>
      </c>
      <c r="E1512" s="1" t="str">
        <f>IFERROR(__xludf.DUMMYFUNCTION("""COMPUTED_VALUE"""),"Albert Erebito")</f>
        <v>Albert Erebito</v>
      </c>
      <c r="F1512" s="1"/>
      <c r="G1512" s="1" t="str">
        <f>IFERROR(__xludf.DUMMYFUNCTION("""COMPUTED_VALUE"""),"3 mos")</f>
        <v>3 mos</v>
      </c>
      <c r="H1512" s="1" t="str">
        <f>IFERROR(__xludf.DUMMYFUNCTION("""COMPUTED_VALUE"""),"comment")</f>
        <v>comment</v>
      </c>
      <c r="I1512" s="2" t="str">
        <f>IFERROR(__xludf.DUMMYFUNCTION("""COMPUTED_VALUE"""),"https://www.facebook.com/watch/live/?ref=watch_permalink&amp;v=360307549312104")</f>
        <v>https://www.facebook.com/watch/live/?ref=watch_permalink&amp;v=360307549312104</v>
      </c>
      <c r="J1512" s="1" t="str">
        <f>IFERROR(__xludf.DUMMYFUNCTION("""COMPUTED_VALUE"""),"2022-07-04T15:42:44.435Z")</f>
        <v>2022-07-04T15:42:44.435Z</v>
      </c>
      <c r="K1512" s="1"/>
    </row>
    <row r="1513">
      <c r="A1513" s="2" t="str">
        <f>IFERROR(__xludf.DUMMYFUNCTION("""COMPUTED_VALUE"""),"https://www.facebook.com/deth.mamaclay")</f>
        <v>https://www.facebook.com/deth.mamaclay</v>
      </c>
      <c r="B1513" s="1" t="str">
        <f>IFERROR(__xludf.DUMMYFUNCTION("""COMPUTED_VALUE"""),"Deth Mamaclay")</f>
        <v>Deth Mamaclay</v>
      </c>
      <c r="C1513" s="1" t="str">
        <f>IFERROR(__xludf.DUMMYFUNCTION("""COMPUTED_VALUE"""),"Deth")</f>
        <v>Deth</v>
      </c>
      <c r="D1513" s="1" t="str">
        <f>IFERROR(__xludf.DUMMYFUNCTION("""COMPUTED_VALUE"""),"Mamaclay")</f>
        <v>Mamaclay</v>
      </c>
      <c r="E1513" s="1" t="str">
        <f>IFERROR(__xludf.DUMMYFUNCTION("""COMPUTED_VALUE"""),"Deth Mamaclay")</f>
        <v>Deth Mamaclay</v>
      </c>
      <c r="F1513" s="1"/>
      <c r="G1513" s="1" t="str">
        <f>IFERROR(__xludf.DUMMYFUNCTION("""COMPUTED_VALUE"""),"3 mos")</f>
        <v>3 mos</v>
      </c>
      <c r="H1513" s="1" t="str">
        <f>IFERROR(__xludf.DUMMYFUNCTION("""COMPUTED_VALUE"""),"comment")</f>
        <v>comment</v>
      </c>
      <c r="I1513" s="2" t="str">
        <f>IFERROR(__xludf.DUMMYFUNCTION("""COMPUTED_VALUE"""),"https://www.facebook.com/watch/live/?ref=watch_permalink&amp;v=360307549312104")</f>
        <v>https://www.facebook.com/watch/live/?ref=watch_permalink&amp;v=360307549312104</v>
      </c>
      <c r="J1513" s="1" t="str">
        <f>IFERROR(__xludf.DUMMYFUNCTION("""COMPUTED_VALUE"""),"2022-07-04T15:42:44.435Z")</f>
        <v>2022-07-04T15:42:44.435Z</v>
      </c>
      <c r="K1513" s="1"/>
    </row>
    <row r="1514">
      <c r="A1514" s="2" t="str">
        <f>IFERROR(__xludf.DUMMYFUNCTION("""COMPUTED_VALUE"""),"https://www.facebook.com/jazzminelouisse.agudo.3")</f>
        <v>https://www.facebook.com/jazzminelouisse.agudo.3</v>
      </c>
      <c r="B1514" s="1" t="str">
        <f>IFERROR(__xludf.DUMMYFUNCTION("""COMPUTED_VALUE"""),"Louisse Momshie")</f>
        <v>Louisse Momshie</v>
      </c>
      <c r="C1514" s="1" t="str">
        <f>IFERROR(__xludf.DUMMYFUNCTION("""COMPUTED_VALUE"""),"Louisse")</f>
        <v>Louisse</v>
      </c>
      <c r="D1514" s="1" t="str">
        <f>IFERROR(__xludf.DUMMYFUNCTION("""COMPUTED_VALUE"""),"Momshie")</f>
        <v>Momshie</v>
      </c>
      <c r="E1514" s="1" t="str">
        <f>IFERROR(__xludf.DUMMYFUNCTION("""COMPUTED_VALUE"""),"Louisse Momshie")</f>
        <v>Louisse Momshie</v>
      </c>
      <c r="F1514" s="1"/>
      <c r="G1514" s="1" t="str">
        <f>IFERROR(__xludf.DUMMYFUNCTION("""COMPUTED_VALUE"""),"3 mos")</f>
        <v>3 mos</v>
      </c>
      <c r="H1514" s="1" t="str">
        <f>IFERROR(__xludf.DUMMYFUNCTION("""COMPUTED_VALUE"""),"comment")</f>
        <v>comment</v>
      </c>
      <c r="I1514" s="2" t="str">
        <f>IFERROR(__xludf.DUMMYFUNCTION("""COMPUTED_VALUE"""),"https://www.facebook.com/watch/live/?ref=watch_permalink&amp;v=360307549312104")</f>
        <v>https://www.facebook.com/watch/live/?ref=watch_permalink&amp;v=360307549312104</v>
      </c>
      <c r="J1514" s="1" t="str">
        <f>IFERROR(__xludf.DUMMYFUNCTION("""COMPUTED_VALUE"""),"2022-07-04T15:42:44.435Z")</f>
        <v>2022-07-04T15:42:44.435Z</v>
      </c>
      <c r="K1514" s="1"/>
    </row>
    <row r="1515">
      <c r="A1515" s="2" t="str">
        <f>IFERROR(__xludf.DUMMYFUNCTION("""COMPUTED_VALUE"""),"https://www.facebook.com/profile.php?id=100071111743897")</f>
        <v>https://www.facebook.com/profile.php?id=100071111743897</v>
      </c>
      <c r="B1515" s="1" t="str">
        <f>IFERROR(__xludf.DUMMYFUNCTION("""COMPUTED_VALUE"""),"Marie Balmaceda")</f>
        <v>Marie Balmaceda</v>
      </c>
      <c r="C1515" s="1" t="str">
        <f>IFERROR(__xludf.DUMMYFUNCTION("""COMPUTED_VALUE"""),"Marie")</f>
        <v>Marie</v>
      </c>
      <c r="D1515" s="1" t="str">
        <f>IFERROR(__xludf.DUMMYFUNCTION("""COMPUTED_VALUE"""),"Balmaceda")</f>
        <v>Balmaceda</v>
      </c>
      <c r="E1515" s="1" t="str">
        <f>IFERROR(__xludf.DUMMYFUNCTION("""COMPUTED_VALUE"""),"Marie Balmaceda")</f>
        <v>Marie Balmaceda</v>
      </c>
      <c r="F1515" s="1"/>
      <c r="G1515" s="1" t="str">
        <f>IFERROR(__xludf.DUMMYFUNCTION("""COMPUTED_VALUE"""),"3 mos")</f>
        <v>3 mos</v>
      </c>
      <c r="H1515" s="1" t="str">
        <f>IFERROR(__xludf.DUMMYFUNCTION("""COMPUTED_VALUE"""),"comment")</f>
        <v>comment</v>
      </c>
      <c r="I1515" s="2" t="str">
        <f>IFERROR(__xludf.DUMMYFUNCTION("""COMPUTED_VALUE"""),"https://www.facebook.com/watch/live/?ref=watch_permalink&amp;v=360307549312104")</f>
        <v>https://www.facebook.com/watch/live/?ref=watch_permalink&amp;v=360307549312104</v>
      </c>
      <c r="J1515" s="1" t="str">
        <f>IFERROR(__xludf.DUMMYFUNCTION("""COMPUTED_VALUE"""),"2022-07-04T15:42:44.435Z")</f>
        <v>2022-07-04T15:42:44.435Z</v>
      </c>
      <c r="K1515" s="1"/>
    </row>
    <row r="1516">
      <c r="A1516" s="2" t="str">
        <f>IFERROR(__xludf.DUMMYFUNCTION("""COMPUTED_VALUE"""),"https://www.facebook.com/gin.elle.100")</f>
        <v>https://www.facebook.com/gin.elle.100</v>
      </c>
      <c r="B1516" s="1" t="str">
        <f>IFERROR(__xludf.DUMMYFUNCTION("""COMPUTED_VALUE"""),"Gin Elle")</f>
        <v>Gin Elle</v>
      </c>
      <c r="C1516" s="1" t="str">
        <f>IFERROR(__xludf.DUMMYFUNCTION("""COMPUTED_VALUE"""),"Gin")</f>
        <v>Gin</v>
      </c>
      <c r="D1516" s="1" t="str">
        <f>IFERROR(__xludf.DUMMYFUNCTION("""COMPUTED_VALUE"""),"Elle")</f>
        <v>Elle</v>
      </c>
      <c r="E1516" s="1" t="str">
        <f>IFERROR(__xludf.DUMMYFUNCTION("""COMPUTED_VALUE"""),"Gin Elle")</f>
        <v>Gin Elle</v>
      </c>
      <c r="F1516" s="1"/>
      <c r="G1516" s="1" t="str">
        <f>IFERROR(__xludf.DUMMYFUNCTION("""COMPUTED_VALUE"""),"3 mos")</f>
        <v>3 mos</v>
      </c>
      <c r="H1516" s="1" t="str">
        <f>IFERROR(__xludf.DUMMYFUNCTION("""COMPUTED_VALUE"""),"comment")</f>
        <v>comment</v>
      </c>
      <c r="I1516" s="2" t="str">
        <f>IFERROR(__xludf.DUMMYFUNCTION("""COMPUTED_VALUE"""),"https://www.facebook.com/watch/live/?ref=watch_permalink&amp;v=360307549312104")</f>
        <v>https://www.facebook.com/watch/live/?ref=watch_permalink&amp;v=360307549312104</v>
      </c>
      <c r="J1516" s="1" t="str">
        <f>IFERROR(__xludf.DUMMYFUNCTION("""COMPUTED_VALUE"""),"2022-07-04T15:42:44.435Z")</f>
        <v>2022-07-04T15:42:44.435Z</v>
      </c>
      <c r="K1516" s="1"/>
    </row>
    <row r="1517">
      <c r="A1517" s="2" t="str">
        <f>IFERROR(__xludf.DUMMYFUNCTION("""COMPUTED_VALUE"""),"https://www.facebook.com/wilma.remobautista.9")</f>
        <v>https://www.facebook.com/wilma.remobautista.9</v>
      </c>
      <c r="B1517" s="1" t="str">
        <f>IFERROR(__xludf.DUMMYFUNCTION("""COMPUTED_VALUE"""),"Wilma Remo Bautista")</f>
        <v>Wilma Remo Bautista</v>
      </c>
      <c r="C1517" s="1" t="str">
        <f>IFERROR(__xludf.DUMMYFUNCTION("""COMPUTED_VALUE"""),"Wilma")</f>
        <v>Wilma</v>
      </c>
      <c r="D1517" s="1" t="str">
        <f>IFERROR(__xludf.DUMMYFUNCTION("""COMPUTED_VALUE"""),"Remo Bautista")</f>
        <v>Remo Bautista</v>
      </c>
      <c r="E1517" s="1" t="str">
        <f>IFERROR(__xludf.DUMMYFUNCTION("""COMPUTED_VALUE"""),"Wilma Remo Bautista")</f>
        <v>Wilma Remo Bautista</v>
      </c>
      <c r="F1517" s="1"/>
      <c r="G1517" s="1" t="str">
        <f>IFERROR(__xludf.DUMMYFUNCTION("""COMPUTED_VALUE"""),"3 mos")</f>
        <v>3 mos</v>
      </c>
      <c r="H1517" s="1" t="str">
        <f>IFERROR(__xludf.DUMMYFUNCTION("""COMPUTED_VALUE"""),"comment")</f>
        <v>comment</v>
      </c>
      <c r="I1517" s="2" t="str">
        <f>IFERROR(__xludf.DUMMYFUNCTION("""COMPUTED_VALUE"""),"https://www.facebook.com/watch/live/?ref=watch_permalink&amp;v=360307549312104")</f>
        <v>https://www.facebook.com/watch/live/?ref=watch_permalink&amp;v=360307549312104</v>
      </c>
      <c r="J1517" s="1" t="str">
        <f>IFERROR(__xludf.DUMMYFUNCTION("""COMPUTED_VALUE"""),"2022-07-04T15:42:44.435Z")</f>
        <v>2022-07-04T15:42:44.435Z</v>
      </c>
      <c r="K1517" s="1"/>
    </row>
    <row r="1518">
      <c r="A1518" s="2" t="str">
        <f>IFERROR(__xludf.DUMMYFUNCTION("""COMPUTED_VALUE"""),"https://www.facebook.com/titorobert.piansay.12")</f>
        <v>https://www.facebook.com/titorobert.piansay.12</v>
      </c>
      <c r="B1518" s="1" t="str">
        <f>IFERROR(__xludf.DUMMYFUNCTION("""COMPUTED_VALUE"""),"Tito Robert Piansay")</f>
        <v>Tito Robert Piansay</v>
      </c>
      <c r="C1518" s="1" t="str">
        <f>IFERROR(__xludf.DUMMYFUNCTION("""COMPUTED_VALUE"""),"Tito")</f>
        <v>Tito</v>
      </c>
      <c r="D1518" s="1" t="str">
        <f>IFERROR(__xludf.DUMMYFUNCTION("""COMPUTED_VALUE"""),"Robert Piansay")</f>
        <v>Robert Piansay</v>
      </c>
      <c r="E1518" s="1" t="str">
        <f>IFERROR(__xludf.DUMMYFUNCTION("""COMPUTED_VALUE"""),"Tito Robert Piansay")</f>
        <v>Tito Robert Piansay</v>
      </c>
      <c r="F1518" s="1"/>
      <c r="G1518" s="1" t="str">
        <f>IFERROR(__xludf.DUMMYFUNCTION("""COMPUTED_VALUE"""),"3 mos")</f>
        <v>3 mos</v>
      </c>
      <c r="H1518" s="1" t="str">
        <f>IFERROR(__xludf.DUMMYFUNCTION("""COMPUTED_VALUE"""),"comment")</f>
        <v>comment</v>
      </c>
      <c r="I1518" s="2" t="str">
        <f>IFERROR(__xludf.DUMMYFUNCTION("""COMPUTED_VALUE"""),"https://www.facebook.com/watch/live/?ref=watch_permalink&amp;v=360307549312104")</f>
        <v>https://www.facebook.com/watch/live/?ref=watch_permalink&amp;v=360307549312104</v>
      </c>
      <c r="J1518" s="1" t="str">
        <f>IFERROR(__xludf.DUMMYFUNCTION("""COMPUTED_VALUE"""),"2022-07-04T15:42:44.435Z")</f>
        <v>2022-07-04T15:42:44.435Z</v>
      </c>
      <c r="K1518" s="1"/>
    </row>
    <row r="1519">
      <c r="A1519" s="2" t="str">
        <f>IFERROR(__xludf.DUMMYFUNCTION("""COMPUTED_VALUE"""),"https://www.facebook.com/ester.manlisic")</f>
        <v>https://www.facebook.com/ester.manlisic</v>
      </c>
      <c r="B1519" s="1" t="str">
        <f>IFERROR(__xludf.DUMMYFUNCTION("""COMPUTED_VALUE"""),"Ester Larga Manlisic")</f>
        <v>Ester Larga Manlisic</v>
      </c>
      <c r="C1519" s="1" t="str">
        <f>IFERROR(__xludf.DUMMYFUNCTION("""COMPUTED_VALUE"""),"Ester")</f>
        <v>Ester</v>
      </c>
      <c r="D1519" s="1" t="str">
        <f>IFERROR(__xludf.DUMMYFUNCTION("""COMPUTED_VALUE"""),"Larga Manlisic")</f>
        <v>Larga Manlisic</v>
      </c>
      <c r="E1519" s="1" t="str">
        <f>IFERROR(__xludf.DUMMYFUNCTION("""COMPUTED_VALUE"""),"Ester Larga Manlisic")</f>
        <v>Ester Larga Manlisic</v>
      </c>
      <c r="F1519" s="1"/>
      <c r="G1519" s="1" t="str">
        <f>IFERROR(__xludf.DUMMYFUNCTION("""COMPUTED_VALUE"""),"3 mos")</f>
        <v>3 mos</v>
      </c>
      <c r="H1519" s="1" t="str">
        <f>IFERROR(__xludf.DUMMYFUNCTION("""COMPUTED_VALUE"""),"comment")</f>
        <v>comment</v>
      </c>
      <c r="I1519" s="2" t="str">
        <f>IFERROR(__xludf.DUMMYFUNCTION("""COMPUTED_VALUE"""),"https://www.facebook.com/watch/live/?ref=watch_permalink&amp;v=360307549312104")</f>
        <v>https://www.facebook.com/watch/live/?ref=watch_permalink&amp;v=360307549312104</v>
      </c>
      <c r="J1519" s="1" t="str">
        <f>IFERROR(__xludf.DUMMYFUNCTION("""COMPUTED_VALUE"""),"2022-07-04T15:42:44.435Z")</f>
        <v>2022-07-04T15:42:44.435Z</v>
      </c>
      <c r="K1519" s="1"/>
    </row>
    <row r="1520">
      <c r="A1520" s="2" t="str">
        <f>IFERROR(__xludf.DUMMYFUNCTION("""COMPUTED_VALUE"""),"https://www.facebook.com/maryjean.larion")</f>
        <v>https://www.facebook.com/maryjean.larion</v>
      </c>
      <c r="B1520" s="1" t="str">
        <f>IFERROR(__xludf.DUMMYFUNCTION("""COMPUTED_VALUE"""),"Mary Jean A. Larion")</f>
        <v>Mary Jean A. Larion</v>
      </c>
      <c r="C1520" s="1" t="str">
        <f>IFERROR(__xludf.DUMMYFUNCTION("""COMPUTED_VALUE"""),"Mary")</f>
        <v>Mary</v>
      </c>
      <c r="D1520" s="1" t="str">
        <f>IFERROR(__xludf.DUMMYFUNCTION("""COMPUTED_VALUE"""),"Jean A. Larion")</f>
        <v>Jean A. Larion</v>
      </c>
      <c r="E1520" s="1" t="str">
        <f>IFERROR(__xludf.DUMMYFUNCTION("""COMPUTED_VALUE"""),"Mary Jean A. Larion")</f>
        <v>Mary Jean A. Larion</v>
      </c>
      <c r="F1520" s="1"/>
      <c r="G1520" s="1" t="str">
        <f>IFERROR(__xludf.DUMMYFUNCTION("""COMPUTED_VALUE"""),"3 mos")</f>
        <v>3 mos</v>
      </c>
      <c r="H1520" s="1" t="str">
        <f>IFERROR(__xludf.DUMMYFUNCTION("""COMPUTED_VALUE"""),"comment")</f>
        <v>comment</v>
      </c>
      <c r="I1520" s="2" t="str">
        <f>IFERROR(__xludf.DUMMYFUNCTION("""COMPUTED_VALUE"""),"https://www.facebook.com/watch/live/?ref=watch_permalink&amp;v=360307549312104")</f>
        <v>https://www.facebook.com/watch/live/?ref=watch_permalink&amp;v=360307549312104</v>
      </c>
      <c r="J1520" s="1" t="str">
        <f>IFERROR(__xludf.DUMMYFUNCTION("""COMPUTED_VALUE"""),"2022-07-04T15:42:44.435Z")</f>
        <v>2022-07-04T15:42:44.435Z</v>
      </c>
      <c r="K1520" s="1"/>
    </row>
    <row r="1521">
      <c r="A1521" s="2" t="str">
        <f>IFERROR(__xludf.DUMMYFUNCTION("""COMPUTED_VALUE"""),"https://www.facebook.com/madonna.bagalayfulgar.3")</f>
        <v>https://www.facebook.com/madonna.bagalayfulgar.3</v>
      </c>
      <c r="B1521" s="1" t="str">
        <f>IFERROR(__xludf.DUMMYFUNCTION("""COMPUTED_VALUE"""),"Madonna Bagalay Fulgar")</f>
        <v>Madonna Bagalay Fulgar</v>
      </c>
      <c r="C1521" s="1" t="str">
        <f>IFERROR(__xludf.DUMMYFUNCTION("""COMPUTED_VALUE"""),"Madonna")</f>
        <v>Madonna</v>
      </c>
      <c r="D1521" s="1" t="str">
        <f>IFERROR(__xludf.DUMMYFUNCTION("""COMPUTED_VALUE"""),"Bagalay Fulgar")</f>
        <v>Bagalay Fulgar</v>
      </c>
      <c r="E1521" s="1" t="str">
        <f>IFERROR(__xludf.DUMMYFUNCTION("""COMPUTED_VALUE"""),"Madonna Bagalay Fulgar")</f>
        <v>Madonna Bagalay Fulgar</v>
      </c>
      <c r="F1521" s="1"/>
      <c r="G1521" s="1" t="str">
        <f>IFERROR(__xludf.DUMMYFUNCTION("""COMPUTED_VALUE"""),"3 mos")</f>
        <v>3 mos</v>
      </c>
      <c r="H1521" s="1" t="str">
        <f>IFERROR(__xludf.DUMMYFUNCTION("""COMPUTED_VALUE"""),"comment")</f>
        <v>comment</v>
      </c>
      <c r="I1521" s="2" t="str">
        <f>IFERROR(__xludf.DUMMYFUNCTION("""COMPUTED_VALUE"""),"https://www.facebook.com/watch/live/?ref=watch_permalink&amp;v=360307549312104")</f>
        <v>https://www.facebook.com/watch/live/?ref=watch_permalink&amp;v=360307549312104</v>
      </c>
      <c r="J1521" s="1" t="str">
        <f>IFERROR(__xludf.DUMMYFUNCTION("""COMPUTED_VALUE"""),"2022-07-04T15:42:44.435Z")</f>
        <v>2022-07-04T15:42:44.435Z</v>
      </c>
      <c r="K1521" s="1"/>
    </row>
    <row r="1522">
      <c r="A1522" s="2" t="str">
        <f>IFERROR(__xludf.DUMMYFUNCTION("""COMPUTED_VALUE"""),"https://www.facebook.com/cora.ropeta")</f>
        <v>https://www.facebook.com/cora.ropeta</v>
      </c>
      <c r="B1522" s="1" t="str">
        <f>IFERROR(__xludf.DUMMYFUNCTION("""COMPUTED_VALUE"""),"Cors M Ropeta")</f>
        <v>Cors M Ropeta</v>
      </c>
      <c r="C1522" s="1" t="str">
        <f>IFERROR(__xludf.DUMMYFUNCTION("""COMPUTED_VALUE"""),"Cors")</f>
        <v>Cors</v>
      </c>
      <c r="D1522" s="1" t="str">
        <f>IFERROR(__xludf.DUMMYFUNCTION("""COMPUTED_VALUE"""),"M Ropeta")</f>
        <v>M Ropeta</v>
      </c>
      <c r="E1522" s="1" t="str">
        <f>IFERROR(__xludf.DUMMYFUNCTION("""COMPUTED_VALUE"""),"#KikoPangilinan2022")</f>
        <v>#KikoPangilinan2022</v>
      </c>
      <c r="F1522" s="1"/>
      <c r="G1522" s="1" t="str">
        <f>IFERROR(__xludf.DUMMYFUNCTION("""COMPUTED_VALUE"""),"3 mos")</f>
        <v>3 mos</v>
      </c>
      <c r="H1522" s="1" t="str">
        <f>IFERROR(__xludf.DUMMYFUNCTION("""COMPUTED_VALUE"""),"comment")</f>
        <v>comment</v>
      </c>
      <c r="I1522" s="2" t="str">
        <f>IFERROR(__xludf.DUMMYFUNCTION("""COMPUTED_VALUE"""),"https://www.facebook.com/watch/live/?ref=watch_permalink&amp;v=360307549312104")</f>
        <v>https://www.facebook.com/watch/live/?ref=watch_permalink&amp;v=360307549312104</v>
      </c>
      <c r="J1522" s="1" t="str">
        <f>IFERROR(__xludf.DUMMYFUNCTION("""COMPUTED_VALUE"""),"2022-07-04T15:42:44.435Z")</f>
        <v>2022-07-04T15:42:44.435Z</v>
      </c>
      <c r="K1522" s="1"/>
    </row>
    <row r="1523">
      <c r="A1523" s="2" t="str">
        <f>IFERROR(__xludf.DUMMYFUNCTION("""COMPUTED_VALUE"""),"https://www.facebook.com/profile.php?id=100070893796485")</f>
        <v>https://www.facebook.com/profile.php?id=100070893796485</v>
      </c>
      <c r="B1523" s="1" t="str">
        <f>IFERROR(__xludf.DUMMYFUNCTION("""COMPUTED_VALUE"""),"Andigerg Adp")</f>
        <v>Andigerg Adp</v>
      </c>
      <c r="C1523" s="1" t="str">
        <f>IFERROR(__xludf.DUMMYFUNCTION("""COMPUTED_VALUE"""),"Andigerg")</f>
        <v>Andigerg</v>
      </c>
      <c r="D1523" s="1" t="str">
        <f>IFERROR(__xludf.DUMMYFUNCTION("""COMPUTED_VALUE"""),"Adp")</f>
        <v>Adp</v>
      </c>
      <c r="E1523" s="1" t="str">
        <f>IFERROR(__xludf.DUMMYFUNCTION("""COMPUTED_VALUE"""),"Andigerg Adp")</f>
        <v>Andigerg Adp</v>
      </c>
      <c r="F1523" s="1"/>
      <c r="G1523" s="1" t="str">
        <f>IFERROR(__xludf.DUMMYFUNCTION("""COMPUTED_VALUE"""),"3 mos")</f>
        <v>3 mos</v>
      </c>
      <c r="H1523" s="1" t="str">
        <f>IFERROR(__xludf.DUMMYFUNCTION("""COMPUTED_VALUE"""),"comment")</f>
        <v>comment</v>
      </c>
      <c r="I1523" s="2" t="str">
        <f>IFERROR(__xludf.DUMMYFUNCTION("""COMPUTED_VALUE"""),"https://www.facebook.com/watch/live/?ref=watch_permalink&amp;v=360307549312104")</f>
        <v>https://www.facebook.com/watch/live/?ref=watch_permalink&amp;v=360307549312104</v>
      </c>
      <c r="J1523" s="1" t="str">
        <f>IFERROR(__xludf.DUMMYFUNCTION("""COMPUTED_VALUE"""),"2022-07-04T15:42:44.435Z")</f>
        <v>2022-07-04T15:42:44.435Z</v>
      </c>
      <c r="K1523" s="1"/>
    </row>
    <row r="1524">
      <c r="A1524" s="2" t="str">
        <f>IFERROR(__xludf.DUMMYFUNCTION("""COMPUTED_VALUE"""),"https://www.facebook.com/dollysampane")</f>
        <v>https://www.facebook.com/dollysampane</v>
      </c>
      <c r="B1524" s="1" t="str">
        <f>IFERROR(__xludf.DUMMYFUNCTION("""COMPUTED_VALUE"""),"Dolly James")</f>
        <v>Dolly James</v>
      </c>
      <c r="C1524" s="1" t="str">
        <f>IFERROR(__xludf.DUMMYFUNCTION("""COMPUTED_VALUE"""),"Dolly")</f>
        <v>Dolly</v>
      </c>
      <c r="D1524" s="1" t="str">
        <f>IFERROR(__xludf.DUMMYFUNCTION("""COMPUTED_VALUE"""),"James")</f>
        <v>James</v>
      </c>
      <c r="E1524" s="1" t="str">
        <f>IFERROR(__xludf.DUMMYFUNCTION("""COMPUTED_VALUE"""),"Dolly James")</f>
        <v>Dolly James</v>
      </c>
      <c r="F1524" s="1"/>
      <c r="G1524" s="1" t="str">
        <f>IFERROR(__xludf.DUMMYFUNCTION("""COMPUTED_VALUE"""),"3 mos")</f>
        <v>3 mos</v>
      </c>
      <c r="H1524" s="1" t="str">
        <f>IFERROR(__xludf.DUMMYFUNCTION("""COMPUTED_VALUE"""),"comment")</f>
        <v>comment</v>
      </c>
      <c r="I1524" s="2" t="str">
        <f>IFERROR(__xludf.DUMMYFUNCTION("""COMPUTED_VALUE"""),"https://www.facebook.com/watch/live/?ref=watch_permalink&amp;v=360307549312104")</f>
        <v>https://www.facebook.com/watch/live/?ref=watch_permalink&amp;v=360307549312104</v>
      </c>
      <c r="J1524" s="1" t="str">
        <f>IFERROR(__xludf.DUMMYFUNCTION("""COMPUTED_VALUE"""),"2022-07-04T15:42:44.435Z")</f>
        <v>2022-07-04T15:42:44.435Z</v>
      </c>
      <c r="K1524" s="1"/>
    </row>
    <row r="1525">
      <c r="A1525" s="2" t="str">
        <f>IFERROR(__xludf.DUMMYFUNCTION("""COMPUTED_VALUE"""),"https://www.facebook.com/ayen.francisco.927")</f>
        <v>https://www.facebook.com/ayen.francisco.927</v>
      </c>
      <c r="B1525" s="1" t="str">
        <f>IFERROR(__xludf.DUMMYFUNCTION("""COMPUTED_VALUE"""),"Ayen Francisco")</f>
        <v>Ayen Francisco</v>
      </c>
      <c r="C1525" s="1" t="str">
        <f>IFERROR(__xludf.DUMMYFUNCTION("""COMPUTED_VALUE"""),"Ayen")</f>
        <v>Ayen</v>
      </c>
      <c r="D1525" s="1" t="str">
        <f>IFERROR(__xludf.DUMMYFUNCTION("""COMPUTED_VALUE"""),"Francisco")</f>
        <v>Francisco</v>
      </c>
      <c r="E1525" s="1" t="str">
        <f>IFERROR(__xludf.DUMMYFUNCTION("""COMPUTED_VALUE"""),"Ayen Francisco")</f>
        <v>Ayen Francisco</v>
      </c>
      <c r="F1525" s="1"/>
      <c r="G1525" s="1" t="str">
        <f>IFERROR(__xludf.DUMMYFUNCTION("""COMPUTED_VALUE"""),"3 mos")</f>
        <v>3 mos</v>
      </c>
      <c r="H1525" s="1" t="str">
        <f>IFERROR(__xludf.DUMMYFUNCTION("""COMPUTED_VALUE"""),"comment")</f>
        <v>comment</v>
      </c>
      <c r="I1525" s="2" t="str">
        <f>IFERROR(__xludf.DUMMYFUNCTION("""COMPUTED_VALUE"""),"https://www.facebook.com/watch/live/?ref=watch_permalink&amp;v=360307549312104")</f>
        <v>https://www.facebook.com/watch/live/?ref=watch_permalink&amp;v=360307549312104</v>
      </c>
      <c r="J1525" s="1" t="str">
        <f>IFERROR(__xludf.DUMMYFUNCTION("""COMPUTED_VALUE"""),"2022-07-04T15:42:44.435Z")</f>
        <v>2022-07-04T15:42:44.435Z</v>
      </c>
      <c r="K1525" s="1"/>
    </row>
    <row r="1526">
      <c r="A1526" s="2" t="str">
        <f>IFERROR(__xludf.DUMMYFUNCTION("""COMPUTED_VALUE"""),"https://www.facebook.com/mariane.mangubat")</f>
        <v>https://www.facebook.com/mariane.mangubat</v>
      </c>
      <c r="B1526" s="1" t="str">
        <f>IFERROR(__xludf.DUMMYFUNCTION("""COMPUTED_VALUE"""),"Mariane Mangubat")</f>
        <v>Mariane Mangubat</v>
      </c>
      <c r="C1526" s="1" t="str">
        <f>IFERROR(__xludf.DUMMYFUNCTION("""COMPUTED_VALUE"""),"Mariane")</f>
        <v>Mariane</v>
      </c>
      <c r="D1526" s="1" t="str">
        <f>IFERROR(__xludf.DUMMYFUNCTION("""COMPUTED_VALUE"""),"Mangubat")</f>
        <v>Mangubat</v>
      </c>
      <c r="E1526" s="1" t="str">
        <f>IFERROR(__xludf.DUMMYFUNCTION("""COMPUTED_VALUE"""),"#LeniKiko2022")</f>
        <v>#LeniKiko2022</v>
      </c>
      <c r="F1526" s="1"/>
      <c r="G1526" s="1" t="str">
        <f>IFERROR(__xludf.DUMMYFUNCTION("""COMPUTED_VALUE"""),"3 mos")</f>
        <v>3 mos</v>
      </c>
      <c r="H1526" s="1" t="str">
        <f>IFERROR(__xludf.DUMMYFUNCTION("""COMPUTED_VALUE"""),"comment")</f>
        <v>comment</v>
      </c>
      <c r="I1526" s="2" t="str">
        <f>IFERROR(__xludf.DUMMYFUNCTION("""COMPUTED_VALUE"""),"https://www.facebook.com/watch/live/?ref=watch_permalink&amp;v=360307549312104")</f>
        <v>https://www.facebook.com/watch/live/?ref=watch_permalink&amp;v=360307549312104</v>
      </c>
      <c r="J1526" s="1" t="str">
        <f>IFERROR(__xludf.DUMMYFUNCTION("""COMPUTED_VALUE"""),"2022-07-04T15:42:44.435Z")</f>
        <v>2022-07-04T15:42:44.435Z</v>
      </c>
      <c r="K1526" s="1"/>
    </row>
    <row r="1527">
      <c r="A1527" s="2" t="str">
        <f>IFERROR(__xludf.DUMMYFUNCTION("""COMPUTED_VALUE"""),"https://www.facebook.com/elanie.berou.3")</f>
        <v>https://www.facebook.com/elanie.berou.3</v>
      </c>
      <c r="B1527" s="1" t="str">
        <f>IFERROR(__xludf.DUMMYFUNCTION("""COMPUTED_VALUE"""),"Elanie Abonales Berou")</f>
        <v>Elanie Abonales Berou</v>
      </c>
      <c r="C1527" s="1" t="str">
        <f>IFERROR(__xludf.DUMMYFUNCTION("""COMPUTED_VALUE"""),"Elanie")</f>
        <v>Elanie</v>
      </c>
      <c r="D1527" s="1" t="str">
        <f>IFERROR(__xludf.DUMMYFUNCTION("""COMPUTED_VALUE"""),"Abonales Berou")</f>
        <v>Abonales Berou</v>
      </c>
      <c r="E1527" s="1" t="str">
        <f>IFERROR(__xludf.DUMMYFUNCTION("""COMPUTED_VALUE"""),"Elanie Abonales Berou")</f>
        <v>Elanie Abonales Berou</v>
      </c>
      <c r="F1527" s="1"/>
      <c r="G1527" s="1" t="str">
        <f>IFERROR(__xludf.DUMMYFUNCTION("""COMPUTED_VALUE"""),"3 mos")</f>
        <v>3 mos</v>
      </c>
      <c r="H1527" s="1" t="str">
        <f>IFERROR(__xludf.DUMMYFUNCTION("""COMPUTED_VALUE"""),"comment")</f>
        <v>comment</v>
      </c>
      <c r="I1527" s="2" t="str">
        <f>IFERROR(__xludf.DUMMYFUNCTION("""COMPUTED_VALUE"""),"https://www.facebook.com/watch/live/?ref=watch_permalink&amp;v=360307549312104")</f>
        <v>https://www.facebook.com/watch/live/?ref=watch_permalink&amp;v=360307549312104</v>
      </c>
      <c r="J1527" s="1" t="str">
        <f>IFERROR(__xludf.DUMMYFUNCTION("""COMPUTED_VALUE"""),"2022-07-04T15:42:44.435Z")</f>
        <v>2022-07-04T15:42:44.435Z</v>
      </c>
      <c r="K1527" s="1"/>
    </row>
    <row r="1528">
      <c r="A1528" s="2" t="str">
        <f>IFERROR(__xludf.DUMMYFUNCTION("""COMPUTED_VALUE"""),"https://www.facebook.com/arnold.alam.12")</f>
        <v>https://www.facebook.com/arnold.alam.12</v>
      </c>
      <c r="B1528" s="1" t="str">
        <f>IFERROR(__xludf.DUMMYFUNCTION("""COMPUTED_VALUE"""),"Arnold Alam")</f>
        <v>Arnold Alam</v>
      </c>
      <c r="C1528" s="1" t="str">
        <f>IFERROR(__xludf.DUMMYFUNCTION("""COMPUTED_VALUE"""),"Arnold")</f>
        <v>Arnold</v>
      </c>
      <c r="D1528" s="1" t="str">
        <f>IFERROR(__xludf.DUMMYFUNCTION("""COMPUTED_VALUE"""),"Alam")</f>
        <v>Alam</v>
      </c>
      <c r="E1528" s="1" t="str">
        <f>IFERROR(__xludf.DUMMYFUNCTION("""COMPUTED_VALUE"""),"Arnold Alam")</f>
        <v>Arnold Alam</v>
      </c>
      <c r="F1528" s="1"/>
      <c r="G1528" s="1" t="str">
        <f>IFERROR(__xludf.DUMMYFUNCTION("""COMPUTED_VALUE"""),"3 mos")</f>
        <v>3 mos</v>
      </c>
      <c r="H1528" s="1" t="str">
        <f>IFERROR(__xludf.DUMMYFUNCTION("""COMPUTED_VALUE"""),"comment")</f>
        <v>comment</v>
      </c>
      <c r="I1528" s="2" t="str">
        <f>IFERROR(__xludf.DUMMYFUNCTION("""COMPUTED_VALUE"""),"https://www.facebook.com/watch/live/?ref=watch_permalink&amp;v=360307549312104")</f>
        <v>https://www.facebook.com/watch/live/?ref=watch_permalink&amp;v=360307549312104</v>
      </c>
      <c r="J1528" s="1" t="str">
        <f>IFERROR(__xludf.DUMMYFUNCTION("""COMPUTED_VALUE"""),"2022-07-04T15:42:44.435Z")</f>
        <v>2022-07-04T15:42:44.435Z</v>
      </c>
      <c r="K1528" s="1"/>
    </row>
    <row r="1529">
      <c r="A1529" s="2" t="str">
        <f>IFERROR(__xludf.DUMMYFUNCTION("""COMPUTED_VALUE"""),"https://www.facebook.com/jingjing.abellana")</f>
        <v>https://www.facebook.com/jingjing.abellana</v>
      </c>
      <c r="B1529" s="1" t="str">
        <f>IFERROR(__xludf.DUMMYFUNCTION("""COMPUTED_VALUE"""),"JingJing Abellana")</f>
        <v>JingJing Abellana</v>
      </c>
      <c r="C1529" s="1" t="str">
        <f>IFERROR(__xludf.DUMMYFUNCTION("""COMPUTED_VALUE"""),"JingJing")</f>
        <v>JingJing</v>
      </c>
      <c r="D1529" s="1" t="str">
        <f>IFERROR(__xludf.DUMMYFUNCTION("""COMPUTED_VALUE"""),"Abellana")</f>
        <v>Abellana</v>
      </c>
      <c r="E1529" s="1" t="str">
        <f>IFERROR(__xludf.DUMMYFUNCTION("""COMPUTED_VALUE"""),"#45SonnyMatula")</f>
        <v>#45SonnyMatula</v>
      </c>
      <c r="F1529" s="1"/>
      <c r="G1529" s="1" t="str">
        <f>IFERROR(__xludf.DUMMYFUNCTION("""COMPUTED_VALUE"""),"3 mos")</f>
        <v>3 mos</v>
      </c>
      <c r="H1529" s="1" t="str">
        <f>IFERROR(__xludf.DUMMYFUNCTION("""COMPUTED_VALUE"""),"comment")</f>
        <v>comment</v>
      </c>
      <c r="I1529" s="2" t="str">
        <f>IFERROR(__xludf.DUMMYFUNCTION("""COMPUTED_VALUE"""),"https://www.facebook.com/watch/live/?ref=watch_permalink&amp;v=360307549312104")</f>
        <v>https://www.facebook.com/watch/live/?ref=watch_permalink&amp;v=360307549312104</v>
      </c>
      <c r="J1529" s="1" t="str">
        <f>IFERROR(__xludf.DUMMYFUNCTION("""COMPUTED_VALUE"""),"2022-07-04T15:42:44.435Z")</f>
        <v>2022-07-04T15:42:44.435Z</v>
      </c>
      <c r="K1529" s="1"/>
    </row>
    <row r="1530">
      <c r="A1530" s="2" t="str">
        <f>IFERROR(__xludf.DUMMYFUNCTION("""COMPUTED_VALUE"""),"https://www.facebook.com/maryjean.larion")</f>
        <v>https://www.facebook.com/maryjean.larion</v>
      </c>
      <c r="B1530" s="1" t="str">
        <f>IFERROR(__xludf.DUMMYFUNCTION("""COMPUTED_VALUE"""),"Mary Jean A. Larion")</f>
        <v>Mary Jean A. Larion</v>
      </c>
      <c r="C1530" s="1" t="str">
        <f>IFERROR(__xludf.DUMMYFUNCTION("""COMPUTED_VALUE"""),"Mary")</f>
        <v>Mary</v>
      </c>
      <c r="D1530" s="1" t="str">
        <f>IFERROR(__xludf.DUMMYFUNCTION("""COMPUTED_VALUE"""),"Jean A. Larion")</f>
        <v>Jean A. Larion</v>
      </c>
      <c r="E1530" s="1" t="str">
        <f>IFERROR(__xludf.DUMMYFUNCTION("""COMPUTED_VALUE"""),"Mary Jean A. Larion")</f>
        <v>Mary Jean A. Larion</v>
      </c>
      <c r="F1530" s="1"/>
      <c r="G1530" s="1" t="str">
        <f>IFERROR(__xludf.DUMMYFUNCTION("""COMPUTED_VALUE"""),"3 mos")</f>
        <v>3 mos</v>
      </c>
      <c r="H1530" s="1" t="str">
        <f>IFERROR(__xludf.DUMMYFUNCTION("""COMPUTED_VALUE"""),"comment")</f>
        <v>comment</v>
      </c>
      <c r="I1530" s="2" t="str">
        <f>IFERROR(__xludf.DUMMYFUNCTION("""COMPUTED_VALUE"""),"https://www.facebook.com/watch/live/?ref=watch_permalink&amp;v=360307549312104")</f>
        <v>https://www.facebook.com/watch/live/?ref=watch_permalink&amp;v=360307549312104</v>
      </c>
      <c r="J1530" s="1" t="str">
        <f>IFERROR(__xludf.DUMMYFUNCTION("""COMPUTED_VALUE"""),"2022-07-04T15:42:44.435Z")</f>
        <v>2022-07-04T15:42:44.435Z</v>
      </c>
      <c r="K1530" s="1"/>
    </row>
    <row r="1531">
      <c r="A1531" s="2" t="str">
        <f>IFERROR(__xludf.DUMMYFUNCTION("""COMPUTED_VALUE"""),"https://www.facebook.com/siguenza.med96")</f>
        <v>https://www.facebook.com/siguenza.med96</v>
      </c>
      <c r="B1531" s="1" t="str">
        <f>IFERROR(__xludf.DUMMYFUNCTION("""COMPUTED_VALUE"""),"Siguenza Med")</f>
        <v>Siguenza Med</v>
      </c>
      <c r="C1531" s="1" t="str">
        <f>IFERROR(__xludf.DUMMYFUNCTION("""COMPUTED_VALUE"""),"Siguenza")</f>
        <v>Siguenza</v>
      </c>
      <c r="D1531" s="1" t="str">
        <f>IFERROR(__xludf.DUMMYFUNCTION("""COMPUTED_VALUE"""),"Med")</f>
        <v>Med</v>
      </c>
      <c r="E1531" s="1" t="str">
        <f>IFERROR(__xludf.DUMMYFUNCTION("""COMPUTED_VALUE"""),"#GobyernongTapatAngatBuhayLahat")</f>
        <v>#GobyernongTapatAngatBuhayLahat</v>
      </c>
      <c r="F1531" s="1"/>
      <c r="G1531" s="1" t="str">
        <f>IFERROR(__xludf.DUMMYFUNCTION("""COMPUTED_VALUE"""),"3 mos")</f>
        <v>3 mos</v>
      </c>
      <c r="H1531" s="1" t="str">
        <f>IFERROR(__xludf.DUMMYFUNCTION("""COMPUTED_VALUE"""),"comment")</f>
        <v>comment</v>
      </c>
      <c r="I1531" s="2" t="str">
        <f>IFERROR(__xludf.DUMMYFUNCTION("""COMPUTED_VALUE"""),"https://www.facebook.com/watch/live/?ref=watch_permalink&amp;v=360307549312104")</f>
        <v>https://www.facebook.com/watch/live/?ref=watch_permalink&amp;v=360307549312104</v>
      </c>
      <c r="J1531" s="1" t="str">
        <f>IFERROR(__xludf.DUMMYFUNCTION("""COMPUTED_VALUE"""),"2022-07-04T15:42:44.435Z")</f>
        <v>2022-07-04T15:42:44.435Z</v>
      </c>
      <c r="K1531" s="1"/>
    </row>
    <row r="1532">
      <c r="A1532" s="2" t="str">
        <f>IFERROR(__xludf.DUMMYFUNCTION("""COMPUTED_VALUE"""),"https://www.facebook.com/annalyn.patayan")</f>
        <v>https://www.facebook.com/annalyn.patayan</v>
      </c>
      <c r="B1532" s="1" t="str">
        <f>IFERROR(__xludf.DUMMYFUNCTION("""COMPUTED_VALUE"""),"Annalyn P. Mangubat")</f>
        <v>Annalyn P. Mangubat</v>
      </c>
      <c r="C1532" s="1" t="str">
        <f>IFERROR(__xludf.DUMMYFUNCTION("""COMPUTED_VALUE"""),"Annalyn")</f>
        <v>Annalyn</v>
      </c>
      <c r="D1532" s="1" t="str">
        <f>IFERROR(__xludf.DUMMYFUNCTION("""COMPUTED_VALUE"""),"P. Mangubat")</f>
        <v>P. Mangubat</v>
      </c>
      <c r="E1532" s="1" t="str">
        <f>IFERROR(__xludf.DUMMYFUNCTION("""COMPUTED_VALUE"""),"Annalyn P. Mangubat")</f>
        <v>Annalyn P. Mangubat</v>
      </c>
      <c r="F1532" s="1"/>
      <c r="G1532" s="1" t="str">
        <f>IFERROR(__xludf.DUMMYFUNCTION("""COMPUTED_VALUE"""),"3 mos")</f>
        <v>3 mos</v>
      </c>
      <c r="H1532" s="1" t="str">
        <f>IFERROR(__xludf.DUMMYFUNCTION("""COMPUTED_VALUE"""),"comment")</f>
        <v>comment</v>
      </c>
      <c r="I1532" s="2" t="str">
        <f>IFERROR(__xludf.DUMMYFUNCTION("""COMPUTED_VALUE"""),"https://www.facebook.com/watch/live/?ref=watch_permalink&amp;v=360307549312104")</f>
        <v>https://www.facebook.com/watch/live/?ref=watch_permalink&amp;v=360307549312104</v>
      </c>
      <c r="J1532" s="1" t="str">
        <f>IFERROR(__xludf.DUMMYFUNCTION("""COMPUTED_VALUE"""),"2022-07-04T15:42:44.435Z")</f>
        <v>2022-07-04T15:42:44.435Z</v>
      </c>
      <c r="K1532" s="1"/>
    </row>
    <row r="1533">
      <c r="A1533" s="2" t="str">
        <f>IFERROR(__xludf.DUMMYFUNCTION("""COMPUTED_VALUE"""),"https://www.facebook.com/ayen.francisco.927")</f>
        <v>https://www.facebook.com/ayen.francisco.927</v>
      </c>
      <c r="B1533" s="1" t="str">
        <f>IFERROR(__xludf.DUMMYFUNCTION("""COMPUTED_VALUE"""),"Ayen Francisco")</f>
        <v>Ayen Francisco</v>
      </c>
      <c r="C1533" s="1" t="str">
        <f>IFERROR(__xludf.DUMMYFUNCTION("""COMPUTED_VALUE"""),"Ayen")</f>
        <v>Ayen</v>
      </c>
      <c r="D1533" s="1" t="str">
        <f>IFERROR(__xludf.DUMMYFUNCTION("""COMPUTED_VALUE"""),"Francisco")</f>
        <v>Francisco</v>
      </c>
      <c r="E1533" s="1" t="str">
        <f>IFERROR(__xludf.DUMMYFUNCTION("""COMPUTED_VALUE"""),"Ayen Francisco")</f>
        <v>Ayen Francisco</v>
      </c>
      <c r="F1533" s="1"/>
      <c r="G1533" s="1" t="str">
        <f>IFERROR(__xludf.DUMMYFUNCTION("""COMPUTED_VALUE"""),"3 mos")</f>
        <v>3 mos</v>
      </c>
      <c r="H1533" s="1" t="str">
        <f>IFERROR(__xludf.DUMMYFUNCTION("""COMPUTED_VALUE"""),"comment")</f>
        <v>comment</v>
      </c>
      <c r="I1533" s="2" t="str">
        <f>IFERROR(__xludf.DUMMYFUNCTION("""COMPUTED_VALUE"""),"https://www.facebook.com/watch/live/?ref=watch_permalink&amp;v=360307549312104")</f>
        <v>https://www.facebook.com/watch/live/?ref=watch_permalink&amp;v=360307549312104</v>
      </c>
      <c r="J1533" s="1" t="str">
        <f>IFERROR(__xludf.DUMMYFUNCTION("""COMPUTED_VALUE"""),"2022-07-04T15:42:44.435Z")</f>
        <v>2022-07-04T15:42:44.435Z</v>
      </c>
      <c r="K1533" s="1"/>
    </row>
    <row r="1534">
      <c r="A1534" s="2" t="str">
        <f>IFERROR(__xludf.DUMMYFUNCTION("""COMPUTED_VALUE"""),"https://www.facebook.com/ayen.francisco.927")</f>
        <v>https://www.facebook.com/ayen.francisco.927</v>
      </c>
      <c r="B1534" s="1" t="str">
        <f>IFERROR(__xludf.DUMMYFUNCTION("""COMPUTED_VALUE"""),"Ayen Francisco")</f>
        <v>Ayen Francisco</v>
      </c>
      <c r="C1534" s="1" t="str">
        <f>IFERROR(__xludf.DUMMYFUNCTION("""COMPUTED_VALUE"""),"Ayen")</f>
        <v>Ayen</v>
      </c>
      <c r="D1534" s="1" t="str">
        <f>IFERROR(__xludf.DUMMYFUNCTION("""COMPUTED_VALUE"""),"Francisco")</f>
        <v>Francisco</v>
      </c>
      <c r="E1534" s="1" t="str">
        <f>IFERROR(__xludf.DUMMYFUNCTION("""COMPUTED_VALUE"""),"Ayen Francisco")</f>
        <v>Ayen Francisco</v>
      </c>
      <c r="F1534" s="1"/>
      <c r="G1534" s="1" t="str">
        <f>IFERROR(__xludf.DUMMYFUNCTION("""COMPUTED_VALUE"""),"3 mos")</f>
        <v>3 mos</v>
      </c>
      <c r="H1534" s="1" t="str">
        <f>IFERROR(__xludf.DUMMYFUNCTION("""COMPUTED_VALUE"""),"comment")</f>
        <v>comment</v>
      </c>
      <c r="I1534" s="2" t="str">
        <f>IFERROR(__xludf.DUMMYFUNCTION("""COMPUTED_VALUE"""),"https://www.facebook.com/watch/live/?ref=watch_permalink&amp;v=360307549312104")</f>
        <v>https://www.facebook.com/watch/live/?ref=watch_permalink&amp;v=360307549312104</v>
      </c>
      <c r="J1534" s="1" t="str">
        <f>IFERROR(__xludf.DUMMYFUNCTION("""COMPUTED_VALUE"""),"2022-07-04T15:42:44.435Z")</f>
        <v>2022-07-04T15:42:44.435Z</v>
      </c>
      <c r="K1534" s="1"/>
    </row>
    <row r="1535">
      <c r="A1535" s="2" t="str">
        <f>IFERROR(__xludf.DUMMYFUNCTION("""COMPUTED_VALUE"""),"https://www.facebook.com/ayen.francisco.927")</f>
        <v>https://www.facebook.com/ayen.francisco.927</v>
      </c>
      <c r="B1535" s="1" t="str">
        <f>IFERROR(__xludf.DUMMYFUNCTION("""COMPUTED_VALUE"""),"Ayen Francisco")</f>
        <v>Ayen Francisco</v>
      </c>
      <c r="C1535" s="1" t="str">
        <f>IFERROR(__xludf.DUMMYFUNCTION("""COMPUTED_VALUE"""),"Ayen")</f>
        <v>Ayen</v>
      </c>
      <c r="D1535" s="1" t="str">
        <f>IFERROR(__xludf.DUMMYFUNCTION("""COMPUTED_VALUE"""),"Francisco")</f>
        <v>Francisco</v>
      </c>
      <c r="E1535" s="1" t="str">
        <f>IFERROR(__xludf.DUMMYFUNCTION("""COMPUTED_VALUE"""),"Ayen Francisco")</f>
        <v>Ayen Francisco</v>
      </c>
      <c r="F1535" s="1"/>
      <c r="G1535" s="1" t="str">
        <f>IFERROR(__xludf.DUMMYFUNCTION("""COMPUTED_VALUE"""),"3 mos")</f>
        <v>3 mos</v>
      </c>
      <c r="H1535" s="1" t="str">
        <f>IFERROR(__xludf.DUMMYFUNCTION("""COMPUTED_VALUE"""),"comment")</f>
        <v>comment</v>
      </c>
      <c r="I1535" s="2" t="str">
        <f>IFERROR(__xludf.DUMMYFUNCTION("""COMPUTED_VALUE"""),"https://www.facebook.com/watch/live/?ref=watch_permalink&amp;v=360307549312104")</f>
        <v>https://www.facebook.com/watch/live/?ref=watch_permalink&amp;v=360307549312104</v>
      </c>
      <c r="J1535" s="1" t="str">
        <f>IFERROR(__xludf.DUMMYFUNCTION("""COMPUTED_VALUE"""),"2022-07-04T15:42:44.435Z")</f>
        <v>2022-07-04T15:42:44.435Z</v>
      </c>
      <c r="K1535" s="1"/>
    </row>
    <row r="1536">
      <c r="A1536" s="2" t="str">
        <f>IFERROR(__xludf.DUMMYFUNCTION("""COMPUTED_VALUE"""),"https://www.facebook.com/ayen.francisco.927")</f>
        <v>https://www.facebook.com/ayen.francisco.927</v>
      </c>
      <c r="B1536" s="1" t="str">
        <f>IFERROR(__xludf.DUMMYFUNCTION("""COMPUTED_VALUE"""),"Ayen Francisco")</f>
        <v>Ayen Francisco</v>
      </c>
      <c r="C1536" s="1" t="str">
        <f>IFERROR(__xludf.DUMMYFUNCTION("""COMPUTED_VALUE"""),"Ayen")</f>
        <v>Ayen</v>
      </c>
      <c r="D1536" s="1" t="str">
        <f>IFERROR(__xludf.DUMMYFUNCTION("""COMPUTED_VALUE"""),"Francisco")</f>
        <v>Francisco</v>
      </c>
      <c r="E1536" s="1" t="str">
        <f>IFERROR(__xludf.DUMMYFUNCTION("""COMPUTED_VALUE"""),"Ayen Francisco")</f>
        <v>Ayen Francisco</v>
      </c>
      <c r="F1536" s="1"/>
      <c r="G1536" s="1" t="str">
        <f>IFERROR(__xludf.DUMMYFUNCTION("""COMPUTED_VALUE"""),"3 mos")</f>
        <v>3 mos</v>
      </c>
      <c r="H1536" s="1" t="str">
        <f>IFERROR(__xludf.DUMMYFUNCTION("""COMPUTED_VALUE"""),"comment")</f>
        <v>comment</v>
      </c>
      <c r="I1536" s="2" t="str">
        <f>IFERROR(__xludf.DUMMYFUNCTION("""COMPUTED_VALUE"""),"https://www.facebook.com/watch/live/?ref=watch_permalink&amp;v=360307549312104")</f>
        <v>https://www.facebook.com/watch/live/?ref=watch_permalink&amp;v=360307549312104</v>
      </c>
      <c r="J1536" s="1" t="str">
        <f>IFERROR(__xludf.DUMMYFUNCTION("""COMPUTED_VALUE"""),"2022-07-04T15:42:44.435Z")</f>
        <v>2022-07-04T15:42:44.435Z</v>
      </c>
      <c r="K1536" s="1"/>
    </row>
    <row r="1537">
      <c r="A1537" s="2" t="str">
        <f>IFERROR(__xludf.DUMMYFUNCTION("""COMPUTED_VALUE"""),"https://www.facebook.com/ayen.francisco.927")</f>
        <v>https://www.facebook.com/ayen.francisco.927</v>
      </c>
      <c r="B1537" s="1" t="str">
        <f>IFERROR(__xludf.DUMMYFUNCTION("""COMPUTED_VALUE"""),"Ayen Francisco")</f>
        <v>Ayen Francisco</v>
      </c>
      <c r="C1537" s="1" t="str">
        <f>IFERROR(__xludf.DUMMYFUNCTION("""COMPUTED_VALUE"""),"Ayen")</f>
        <v>Ayen</v>
      </c>
      <c r="D1537" s="1" t="str">
        <f>IFERROR(__xludf.DUMMYFUNCTION("""COMPUTED_VALUE"""),"Francisco")</f>
        <v>Francisco</v>
      </c>
      <c r="E1537" s="1" t="str">
        <f>IFERROR(__xludf.DUMMYFUNCTION("""COMPUTED_VALUE"""),"Ayen Francisco")</f>
        <v>Ayen Francisco</v>
      </c>
      <c r="F1537" s="1"/>
      <c r="G1537" s="1" t="str">
        <f>IFERROR(__xludf.DUMMYFUNCTION("""COMPUTED_VALUE"""),"3 mos")</f>
        <v>3 mos</v>
      </c>
      <c r="H1537" s="1" t="str">
        <f>IFERROR(__xludf.DUMMYFUNCTION("""COMPUTED_VALUE"""),"comment")</f>
        <v>comment</v>
      </c>
      <c r="I1537" s="2" t="str">
        <f>IFERROR(__xludf.DUMMYFUNCTION("""COMPUTED_VALUE"""),"https://www.facebook.com/watch/live/?ref=watch_permalink&amp;v=360307549312104")</f>
        <v>https://www.facebook.com/watch/live/?ref=watch_permalink&amp;v=360307549312104</v>
      </c>
      <c r="J1537" s="1" t="str">
        <f>IFERROR(__xludf.DUMMYFUNCTION("""COMPUTED_VALUE"""),"2022-07-04T15:42:44.435Z")</f>
        <v>2022-07-04T15:42:44.435Z</v>
      </c>
      <c r="K1537" s="1"/>
    </row>
    <row r="1538">
      <c r="A1538" s="2" t="str">
        <f>IFERROR(__xludf.DUMMYFUNCTION("""COMPUTED_VALUE"""),"https://www.facebook.com/ayen.francisco.927")</f>
        <v>https://www.facebook.com/ayen.francisco.927</v>
      </c>
      <c r="B1538" s="1" t="str">
        <f>IFERROR(__xludf.DUMMYFUNCTION("""COMPUTED_VALUE"""),"Ayen Francisco")</f>
        <v>Ayen Francisco</v>
      </c>
      <c r="C1538" s="1" t="str">
        <f>IFERROR(__xludf.DUMMYFUNCTION("""COMPUTED_VALUE"""),"Ayen")</f>
        <v>Ayen</v>
      </c>
      <c r="D1538" s="1" t="str">
        <f>IFERROR(__xludf.DUMMYFUNCTION("""COMPUTED_VALUE"""),"Francisco")</f>
        <v>Francisco</v>
      </c>
      <c r="E1538" s="1" t="str">
        <f>IFERROR(__xludf.DUMMYFUNCTION("""COMPUTED_VALUE"""),"Ayen Francisco")</f>
        <v>Ayen Francisco</v>
      </c>
      <c r="F1538" s="1"/>
      <c r="G1538" s="1" t="str">
        <f>IFERROR(__xludf.DUMMYFUNCTION("""COMPUTED_VALUE"""),"3 mos")</f>
        <v>3 mos</v>
      </c>
      <c r="H1538" s="1" t="str">
        <f>IFERROR(__xludf.DUMMYFUNCTION("""COMPUTED_VALUE"""),"comment")</f>
        <v>comment</v>
      </c>
      <c r="I1538" s="2" t="str">
        <f>IFERROR(__xludf.DUMMYFUNCTION("""COMPUTED_VALUE"""),"https://www.facebook.com/watch/live/?ref=watch_permalink&amp;v=360307549312104")</f>
        <v>https://www.facebook.com/watch/live/?ref=watch_permalink&amp;v=360307549312104</v>
      </c>
      <c r="J1538" s="1" t="str">
        <f>IFERROR(__xludf.DUMMYFUNCTION("""COMPUTED_VALUE"""),"2022-07-04T15:42:44.435Z")</f>
        <v>2022-07-04T15:42:44.435Z</v>
      </c>
      <c r="K1538" s="1"/>
    </row>
    <row r="1539">
      <c r="A1539" s="2" t="str">
        <f>IFERROR(__xludf.DUMMYFUNCTION("""COMPUTED_VALUE"""),"https://www.facebook.com/ayen.francisco.927")</f>
        <v>https://www.facebook.com/ayen.francisco.927</v>
      </c>
      <c r="B1539" s="1" t="str">
        <f>IFERROR(__xludf.DUMMYFUNCTION("""COMPUTED_VALUE"""),"Ayen Francisco")</f>
        <v>Ayen Francisco</v>
      </c>
      <c r="C1539" s="1" t="str">
        <f>IFERROR(__xludf.DUMMYFUNCTION("""COMPUTED_VALUE"""),"Ayen")</f>
        <v>Ayen</v>
      </c>
      <c r="D1539" s="1" t="str">
        <f>IFERROR(__xludf.DUMMYFUNCTION("""COMPUTED_VALUE"""),"Francisco")</f>
        <v>Francisco</v>
      </c>
      <c r="E1539" s="1" t="str">
        <f>IFERROR(__xludf.DUMMYFUNCTION("""COMPUTED_VALUE"""),"Ayen Francisco")</f>
        <v>Ayen Francisco</v>
      </c>
      <c r="F1539" s="1"/>
      <c r="G1539" s="1" t="str">
        <f>IFERROR(__xludf.DUMMYFUNCTION("""COMPUTED_VALUE"""),"3 mos")</f>
        <v>3 mos</v>
      </c>
      <c r="H1539" s="1" t="str">
        <f>IFERROR(__xludf.DUMMYFUNCTION("""COMPUTED_VALUE"""),"comment")</f>
        <v>comment</v>
      </c>
      <c r="I1539" s="2" t="str">
        <f>IFERROR(__xludf.DUMMYFUNCTION("""COMPUTED_VALUE"""),"https://www.facebook.com/watch/live/?ref=watch_permalink&amp;v=360307549312104")</f>
        <v>https://www.facebook.com/watch/live/?ref=watch_permalink&amp;v=360307549312104</v>
      </c>
      <c r="J1539" s="1" t="str">
        <f>IFERROR(__xludf.DUMMYFUNCTION("""COMPUTED_VALUE"""),"2022-07-04T15:42:44.435Z")</f>
        <v>2022-07-04T15:42:44.435Z</v>
      </c>
      <c r="K1539" s="1"/>
    </row>
    <row r="1540">
      <c r="A1540" s="2" t="str">
        <f>IFERROR(__xludf.DUMMYFUNCTION("""COMPUTED_VALUE"""),"https://www.facebook.com/ayen.francisco.927")</f>
        <v>https://www.facebook.com/ayen.francisco.927</v>
      </c>
      <c r="B1540" s="1" t="str">
        <f>IFERROR(__xludf.DUMMYFUNCTION("""COMPUTED_VALUE"""),"Ayen Francisco")</f>
        <v>Ayen Francisco</v>
      </c>
      <c r="C1540" s="1" t="str">
        <f>IFERROR(__xludf.DUMMYFUNCTION("""COMPUTED_VALUE"""),"Ayen")</f>
        <v>Ayen</v>
      </c>
      <c r="D1540" s="1" t="str">
        <f>IFERROR(__xludf.DUMMYFUNCTION("""COMPUTED_VALUE"""),"Francisco")</f>
        <v>Francisco</v>
      </c>
      <c r="E1540" s="1" t="str">
        <f>IFERROR(__xludf.DUMMYFUNCTION("""COMPUTED_VALUE"""),"Ayen Francisco")</f>
        <v>Ayen Francisco</v>
      </c>
      <c r="F1540" s="1"/>
      <c r="G1540" s="1" t="str">
        <f>IFERROR(__xludf.DUMMYFUNCTION("""COMPUTED_VALUE"""),"3 mos")</f>
        <v>3 mos</v>
      </c>
      <c r="H1540" s="1" t="str">
        <f>IFERROR(__xludf.DUMMYFUNCTION("""COMPUTED_VALUE"""),"comment")</f>
        <v>comment</v>
      </c>
      <c r="I1540" s="2" t="str">
        <f>IFERROR(__xludf.DUMMYFUNCTION("""COMPUTED_VALUE"""),"https://www.facebook.com/watch/live/?ref=watch_permalink&amp;v=360307549312104")</f>
        <v>https://www.facebook.com/watch/live/?ref=watch_permalink&amp;v=360307549312104</v>
      </c>
      <c r="J1540" s="1" t="str">
        <f>IFERROR(__xludf.DUMMYFUNCTION("""COMPUTED_VALUE"""),"2022-07-04T15:42:44.435Z")</f>
        <v>2022-07-04T15:42:44.435Z</v>
      </c>
      <c r="K1540" s="1"/>
    </row>
    <row r="1541">
      <c r="A1541" s="2" t="str">
        <f>IFERROR(__xludf.DUMMYFUNCTION("""COMPUTED_VALUE"""),"https://www.facebook.com/materesa.villa.9")</f>
        <v>https://www.facebook.com/materesa.villa.9</v>
      </c>
      <c r="B1541" s="1" t="str">
        <f>IFERROR(__xludf.DUMMYFUNCTION("""COMPUTED_VALUE"""),"Ma Teresa Villa")</f>
        <v>Ma Teresa Villa</v>
      </c>
      <c r="C1541" s="1" t="str">
        <f>IFERROR(__xludf.DUMMYFUNCTION("""COMPUTED_VALUE"""),"Ma")</f>
        <v>Ma</v>
      </c>
      <c r="D1541" s="1" t="str">
        <f>IFERROR(__xludf.DUMMYFUNCTION("""COMPUTED_VALUE"""),"Teresa Villa")</f>
        <v>Teresa Villa</v>
      </c>
      <c r="E1541" s="1" t="str">
        <f>IFERROR(__xludf.DUMMYFUNCTION("""COMPUTED_VALUE"""),"Ma Teresa Villa")</f>
        <v>Ma Teresa Villa</v>
      </c>
      <c r="F1541" s="1"/>
      <c r="G1541" s="1" t="str">
        <f>IFERROR(__xludf.DUMMYFUNCTION("""COMPUTED_VALUE"""),"3 mos")</f>
        <v>3 mos</v>
      </c>
      <c r="H1541" s="1" t="str">
        <f>IFERROR(__xludf.DUMMYFUNCTION("""COMPUTED_VALUE"""),"comment")</f>
        <v>comment</v>
      </c>
      <c r="I1541" s="2" t="str">
        <f>IFERROR(__xludf.DUMMYFUNCTION("""COMPUTED_VALUE"""),"https://www.facebook.com/watch/live/?ref=watch_permalink&amp;v=360307549312104")</f>
        <v>https://www.facebook.com/watch/live/?ref=watch_permalink&amp;v=360307549312104</v>
      </c>
      <c r="J1541" s="1" t="str">
        <f>IFERROR(__xludf.DUMMYFUNCTION("""COMPUTED_VALUE"""),"2022-07-04T15:42:44.435Z")</f>
        <v>2022-07-04T15:42:44.435Z</v>
      </c>
      <c r="K1541" s="1"/>
    </row>
    <row r="1542">
      <c r="A1542" s="2" t="str">
        <f>IFERROR(__xludf.DUMMYFUNCTION("""COMPUTED_VALUE"""),"https://www.facebook.com/ayen.francisco.927")</f>
        <v>https://www.facebook.com/ayen.francisco.927</v>
      </c>
      <c r="B1542" s="1" t="str">
        <f>IFERROR(__xludf.DUMMYFUNCTION("""COMPUTED_VALUE"""),"Ayen Francisco")</f>
        <v>Ayen Francisco</v>
      </c>
      <c r="C1542" s="1" t="str">
        <f>IFERROR(__xludf.DUMMYFUNCTION("""COMPUTED_VALUE"""),"Ayen")</f>
        <v>Ayen</v>
      </c>
      <c r="D1542" s="1" t="str">
        <f>IFERROR(__xludf.DUMMYFUNCTION("""COMPUTED_VALUE"""),"Francisco")</f>
        <v>Francisco</v>
      </c>
      <c r="E1542" s="1" t="str">
        <f>IFERROR(__xludf.DUMMYFUNCTION("""COMPUTED_VALUE"""),"Ayen Francisco")</f>
        <v>Ayen Francisco</v>
      </c>
      <c r="F1542" s="1"/>
      <c r="G1542" s="1" t="str">
        <f>IFERROR(__xludf.DUMMYFUNCTION("""COMPUTED_VALUE"""),"3 mos")</f>
        <v>3 mos</v>
      </c>
      <c r="H1542" s="1" t="str">
        <f>IFERROR(__xludf.DUMMYFUNCTION("""COMPUTED_VALUE"""),"comment")</f>
        <v>comment</v>
      </c>
      <c r="I1542" s="2" t="str">
        <f>IFERROR(__xludf.DUMMYFUNCTION("""COMPUTED_VALUE"""),"https://www.facebook.com/watch/live/?ref=watch_permalink&amp;v=360307549312104")</f>
        <v>https://www.facebook.com/watch/live/?ref=watch_permalink&amp;v=360307549312104</v>
      </c>
      <c r="J1542" s="1" t="str">
        <f>IFERROR(__xludf.DUMMYFUNCTION("""COMPUTED_VALUE"""),"2022-07-04T15:42:44.435Z")</f>
        <v>2022-07-04T15:42:44.435Z</v>
      </c>
      <c r="K1542" s="1"/>
    </row>
    <row r="1543">
      <c r="A1543" s="2" t="str">
        <f>IFERROR(__xludf.DUMMYFUNCTION("""COMPUTED_VALUE"""),"https://www.facebook.com/profile.php?id=100071111743897")</f>
        <v>https://www.facebook.com/profile.php?id=100071111743897</v>
      </c>
      <c r="B1543" s="1" t="str">
        <f>IFERROR(__xludf.DUMMYFUNCTION("""COMPUTED_VALUE"""),"Marie Balmaceda")</f>
        <v>Marie Balmaceda</v>
      </c>
      <c r="C1543" s="1" t="str">
        <f>IFERROR(__xludf.DUMMYFUNCTION("""COMPUTED_VALUE"""),"Marie")</f>
        <v>Marie</v>
      </c>
      <c r="D1543" s="1" t="str">
        <f>IFERROR(__xludf.DUMMYFUNCTION("""COMPUTED_VALUE"""),"Balmaceda")</f>
        <v>Balmaceda</v>
      </c>
      <c r="E1543" s="1" t="str">
        <f>IFERROR(__xludf.DUMMYFUNCTION("""COMPUTED_VALUE"""),"Marie Balmaceda")</f>
        <v>Marie Balmaceda</v>
      </c>
      <c r="F1543" s="1"/>
      <c r="G1543" s="1" t="str">
        <f>IFERROR(__xludf.DUMMYFUNCTION("""COMPUTED_VALUE"""),"3 mos")</f>
        <v>3 mos</v>
      </c>
      <c r="H1543" s="1" t="str">
        <f>IFERROR(__xludf.DUMMYFUNCTION("""COMPUTED_VALUE"""),"comment")</f>
        <v>comment</v>
      </c>
      <c r="I1543" s="2" t="str">
        <f>IFERROR(__xludf.DUMMYFUNCTION("""COMPUTED_VALUE"""),"https://www.facebook.com/watch/live/?ref=watch_permalink&amp;v=360307549312104")</f>
        <v>https://www.facebook.com/watch/live/?ref=watch_permalink&amp;v=360307549312104</v>
      </c>
      <c r="J1543" s="1" t="str">
        <f>IFERROR(__xludf.DUMMYFUNCTION("""COMPUTED_VALUE"""),"2022-07-04T15:42:44.435Z")</f>
        <v>2022-07-04T15:42:44.435Z</v>
      </c>
      <c r="K1543" s="1"/>
    </row>
    <row r="1544">
      <c r="A1544" s="2" t="str">
        <f>IFERROR(__xludf.DUMMYFUNCTION("""COMPUTED_VALUE"""),"https://www.facebook.com/nenita.nino.37")</f>
        <v>https://www.facebook.com/nenita.nino.37</v>
      </c>
      <c r="B1544" s="1" t="str">
        <f>IFERROR(__xludf.DUMMYFUNCTION("""COMPUTED_VALUE"""),"Nenita Niño")</f>
        <v>Nenita Niño</v>
      </c>
      <c r="C1544" s="1" t="str">
        <f>IFERROR(__xludf.DUMMYFUNCTION("""COMPUTED_VALUE"""),"Nenita")</f>
        <v>Nenita</v>
      </c>
      <c r="D1544" s="1" t="str">
        <f>IFERROR(__xludf.DUMMYFUNCTION("""COMPUTED_VALUE"""),"Niño")</f>
        <v>Niño</v>
      </c>
      <c r="E1544" s="1" t="str">
        <f>IFERROR(__xludf.DUMMYFUNCTION("""COMPUTED_VALUE"""),"Nenita Niño")</f>
        <v>Nenita Niño</v>
      </c>
      <c r="F1544" s="1"/>
      <c r="G1544" s="1" t="str">
        <f>IFERROR(__xludf.DUMMYFUNCTION("""COMPUTED_VALUE"""),"3 mos")</f>
        <v>3 mos</v>
      </c>
      <c r="H1544" s="1" t="str">
        <f>IFERROR(__xludf.DUMMYFUNCTION("""COMPUTED_VALUE"""),"comment")</f>
        <v>comment</v>
      </c>
      <c r="I1544" s="2" t="str">
        <f>IFERROR(__xludf.DUMMYFUNCTION("""COMPUTED_VALUE"""),"https://www.facebook.com/watch/live/?ref=watch_permalink&amp;v=360307549312104")</f>
        <v>https://www.facebook.com/watch/live/?ref=watch_permalink&amp;v=360307549312104</v>
      </c>
      <c r="J1544" s="1" t="str">
        <f>IFERROR(__xludf.DUMMYFUNCTION("""COMPUTED_VALUE"""),"2022-07-04T15:42:44.435Z")</f>
        <v>2022-07-04T15:42:44.435Z</v>
      </c>
      <c r="K1544" s="1"/>
    </row>
    <row r="1545">
      <c r="A1545" s="2" t="str">
        <f>IFERROR(__xludf.DUMMYFUNCTION("""COMPUTED_VALUE"""),"https://www.facebook.com/gin.elle.100")</f>
        <v>https://www.facebook.com/gin.elle.100</v>
      </c>
      <c r="B1545" s="1" t="str">
        <f>IFERROR(__xludf.DUMMYFUNCTION("""COMPUTED_VALUE"""),"Gin Elle")</f>
        <v>Gin Elle</v>
      </c>
      <c r="C1545" s="1" t="str">
        <f>IFERROR(__xludf.DUMMYFUNCTION("""COMPUTED_VALUE"""),"Gin")</f>
        <v>Gin</v>
      </c>
      <c r="D1545" s="1" t="str">
        <f>IFERROR(__xludf.DUMMYFUNCTION("""COMPUTED_VALUE"""),"Elle")</f>
        <v>Elle</v>
      </c>
      <c r="E1545" s="1" t="str">
        <f>IFERROR(__xludf.DUMMYFUNCTION("""COMPUTED_VALUE"""),"Gin Elle")</f>
        <v>Gin Elle</v>
      </c>
      <c r="F1545" s="1"/>
      <c r="G1545" s="1" t="str">
        <f>IFERROR(__xludf.DUMMYFUNCTION("""COMPUTED_VALUE"""),"3 mos")</f>
        <v>3 mos</v>
      </c>
      <c r="H1545" s="1" t="str">
        <f>IFERROR(__xludf.DUMMYFUNCTION("""COMPUTED_VALUE"""),"comment")</f>
        <v>comment</v>
      </c>
      <c r="I1545" s="2" t="str">
        <f>IFERROR(__xludf.DUMMYFUNCTION("""COMPUTED_VALUE"""),"https://www.facebook.com/watch/live/?ref=watch_permalink&amp;v=360307549312104")</f>
        <v>https://www.facebook.com/watch/live/?ref=watch_permalink&amp;v=360307549312104</v>
      </c>
      <c r="J1545" s="1" t="str">
        <f>IFERROR(__xludf.DUMMYFUNCTION("""COMPUTED_VALUE"""),"2022-07-04T15:42:44.435Z")</f>
        <v>2022-07-04T15:42:44.435Z</v>
      </c>
      <c r="K1545" s="1"/>
    </row>
    <row r="1546">
      <c r="A1546" s="2" t="str">
        <f>IFERROR(__xludf.DUMMYFUNCTION("""COMPUTED_VALUE"""),"https://www.facebook.com/samantha.luiz.92")</f>
        <v>https://www.facebook.com/samantha.luiz.92</v>
      </c>
      <c r="B1546" s="1" t="str">
        <f>IFERROR(__xludf.DUMMYFUNCTION("""COMPUTED_VALUE"""),"Jazmin R. Bereber")</f>
        <v>Jazmin R. Bereber</v>
      </c>
      <c r="C1546" s="1" t="str">
        <f>IFERROR(__xludf.DUMMYFUNCTION("""COMPUTED_VALUE"""),"Jazmin")</f>
        <v>Jazmin</v>
      </c>
      <c r="D1546" s="1" t="str">
        <f>IFERROR(__xludf.DUMMYFUNCTION("""COMPUTED_VALUE"""),"R. Bereber")</f>
        <v>R. Bereber</v>
      </c>
      <c r="E1546" s="1" t="str">
        <f>IFERROR(__xludf.DUMMYFUNCTION("""COMPUTED_VALUE"""),"Jazmin R. Bereber")</f>
        <v>Jazmin R. Bereber</v>
      </c>
      <c r="F1546" s="1"/>
      <c r="G1546" s="1" t="str">
        <f>IFERROR(__xludf.DUMMYFUNCTION("""COMPUTED_VALUE"""),"3 mos")</f>
        <v>3 mos</v>
      </c>
      <c r="H1546" s="1" t="str">
        <f>IFERROR(__xludf.DUMMYFUNCTION("""COMPUTED_VALUE"""),"comment")</f>
        <v>comment</v>
      </c>
      <c r="I1546" s="2" t="str">
        <f>IFERROR(__xludf.DUMMYFUNCTION("""COMPUTED_VALUE"""),"https://www.facebook.com/watch/live/?ref=watch_permalink&amp;v=360307549312104")</f>
        <v>https://www.facebook.com/watch/live/?ref=watch_permalink&amp;v=360307549312104</v>
      </c>
      <c r="J1546" s="1" t="str">
        <f>IFERROR(__xludf.DUMMYFUNCTION("""COMPUTED_VALUE"""),"2022-07-04T15:42:44.435Z")</f>
        <v>2022-07-04T15:42:44.435Z</v>
      </c>
      <c r="K1546" s="1"/>
    </row>
    <row r="1547">
      <c r="A1547" s="2" t="str">
        <f>IFERROR(__xludf.DUMMYFUNCTION("""COMPUTED_VALUE"""),"https://www.facebook.com/wilma.remobautista.9")</f>
        <v>https://www.facebook.com/wilma.remobautista.9</v>
      </c>
      <c r="B1547" s="1" t="str">
        <f>IFERROR(__xludf.DUMMYFUNCTION("""COMPUTED_VALUE"""),"Wilma Remo Bautista")</f>
        <v>Wilma Remo Bautista</v>
      </c>
      <c r="C1547" s="1" t="str">
        <f>IFERROR(__xludf.DUMMYFUNCTION("""COMPUTED_VALUE"""),"Wilma")</f>
        <v>Wilma</v>
      </c>
      <c r="D1547" s="1" t="str">
        <f>IFERROR(__xludf.DUMMYFUNCTION("""COMPUTED_VALUE"""),"Remo Bautista")</f>
        <v>Remo Bautista</v>
      </c>
      <c r="E1547" s="1" t="str">
        <f>IFERROR(__xludf.DUMMYFUNCTION("""COMPUTED_VALUE"""),"Wilma Remo Bautista")</f>
        <v>Wilma Remo Bautista</v>
      </c>
      <c r="F1547" s="1"/>
      <c r="G1547" s="1" t="str">
        <f>IFERROR(__xludf.DUMMYFUNCTION("""COMPUTED_VALUE"""),"3 mos")</f>
        <v>3 mos</v>
      </c>
      <c r="H1547" s="1" t="str">
        <f>IFERROR(__xludf.DUMMYFUNCTION("""COMPUTED_VALUE"""),"comment")</f>
        <v>comment</v>
      </c>
      <c r="I1547" s="2" t="str">
        <f>IFERROR(__xludf.DUMMYFUNCTION("""COMPUTED_VALUE"""),"https://www.facebook.com/watch/live/?ref=watch_permalink&amp;v=360307549312104")</f>
        <v>https://www.facebook.com/watch/live/?ref=watch_permalink&amp;v=360307549312104</v>
      </c>
      <c r="J1547" s="1" t="str">
        <f>IFERROR(__xludf.DUMMYFUNCTION("""COMPUTED_VALUE"""),"2022-07-04T15:42:44.436Z")</f>
        <v>2022-07-04T15:42:44.436Z</v>
      </c>
      <c r="K1547" s="1"/>
    </row>
    <row r="1548">
      <c r="A1548" s="2" t="str">
        <f>IFERROR(__xludf.DUMMYFUNCTION("""COMPUTED_VALUE"""),"https://www.facebook.com/romer.carredo")</f>
        <v>https://www.facebook.com/romer.carredo</v>
      </c>
      <c r="B1548" s="1" t="str">
        <f>IFERROR(__xludf.DUMMYFUNCTION("""COMPUTED_VALUE"""),"Reg Leceña Chua")</f>
        <v>Reg Leceña Chua</v>
      </c>
      <c r="C1548" s="1" t="str">
        <f>IFERROR(__xludf.DUMMYFUNCTION("""COMPUTED_VALUE"""),"Reg")</f>
        <v>Reg</v>
      </c>
      <c r="D1548" s="1" t="str">
        <f>IFERROR(__xludf.DUMMYFUNCTION("""COMPUTED_VALUE"""),"Leceña Chua")</f>
        <v>Leceña Chua</v>
      </c>
      <c r="E1548" s="1" t="str">
        <f>IFERROR(__xludf.DUMMYFUNCTION("""COMPUTED_VALUE"""),"#CaMaNaVaIsPink🙏💕🎀🇵🇭❗️📌")</f>
        <v>#CaMaNaVaIsPink🙏💕🎀🇵🇭❗️📌</v>
      </c>
      <c r="F1548" s="1"/>
      <c r="G1548" s="1" t="str">
        <f>IFERROR(__xludf.DUMMYFUNCTION("""COMPUTED_VALUE"""),"3 mos")</f>
        <v>3 mos</v>
      </c>
      <c r="H1548" s="1" t="str">
        <f>IFERROR(__xludf.DUMMYFUNCTION("""COMPUTED_VALUE"""),"comment")</f>
        <v>comment</v>
      </c>
      <c r="I1548" s="2" t="str">
        <f>IFERROR(__xludf.DUMMYFUNCTION("""COMPUTED_VALUE"""),"https://www.facebook.com/watch/live/?ref=watch_permalink&amp;v=360307549312104")</f>
        <v>https://www.facebook.com/watch/live/?ref=watch_permalink&amp;v=360307549312104</v>
      </c>
      <c r="J1548" s="1" t="str">
        <f>IFERROR(__xludf.DUMMYFUNCTION("""COMPUTED_VALUE"""),"2022-07-04T15:42:44.436Z")</f>
        <v>2022-07-04T15:42:44.436Z</v>
      </c>
      <c r="K1548" s="1"/>
    </row>
    <row r="1549">
      <c r="A1549" s="2" t="str">
        <f>IFERROR(__xludf.DUMMYFUNCTION("""COMPUTED_VALUE"""),"https://www.facebook.com/yhel.domingo.9")</f>
        <v>https://www.facebook.com/yhel.domingo.9</v>
      </c>
      <c r="B1549" s="1" t="str">
        <f>IFERROR(__xludf.DUMMYFUNCTION("""COMPUTED_VALUE"""),"Elysa Domingo")</f>
        <v>Elysa Domingo</v>
      </c>
      <c r="C1549" s="1" t="str">
        <f>IFERROR(__xludf.DUMMYFUNCTION("""COMPUTED_VALUE"""),"Elysa")</f>
        <v>Elysa</v>
      </c>
      <c r="D1549" s="1" t="str">
        <f>IFERROR(__xludf.DUMMYFUNCTION("""COMPUTED_VALUE"""),"Domingo")</f>
        <v>Domingo</v>
      </c>
      <c r="E1549" s="1" t="str">
        <f>IFERROR(__xludf.DUMMYFUNCTION("""COMPUTED_VALUE"""),"#CaMaNaVaIsPink")</f>
        <v>#CaMaNaVaIsPink</v>
      </c>
      <c r="F1549" s="1">
        <f>IFERROR(__xludf.DUMMYFUNCTION("""COMPUTED_VALUE"""),1.0)</f>
        <v>1</v>
      </c>
      <c r="G1549" s="1" t="str">
        <f>IFERROR(__xludf.DUMMYFUNCTION("""COMPUTED_VALUE"""),"3 mos")</f>
        <v>3 mos</v>
      </c>
      <c r="H1549" s="1" t="str">
        <f>IFERROR(__xludf.DUMMYFUNCTION("""COMPUTED_VALUE"""),"comment")</f>
        <v>comment</v>
      </c>
      <c r="I1549" s="2" t="str">
        <f>IFERROR(__xludf.DUMMYFUNCTION("""COMPUTED_VALUE"""),"https://www.facebook.com/watch/live/?ref=watch_permalink&amp;v=360307549312104")</f>
        <v>https://www.facebook.com/watch/live/?ref=watch_permalink&amp;v=360307549312104</v>
      </c>
      <c r="J1549" s="1" t="str">
        <f>IFERROR(__xludf.DUMMYFUNCTION("""COMPUTED_VALUE"""),"2022-07-04T15:42:44.436Z")</f>
        <v>2022-07-04T15:42:44.436Z</v>
      </c>
      <c r="K1549" s="1"/>
    </row>
    <row r="1550">
      <c r="A1550" s="2" t="str">
        <f>IFERROR(__xludf.DUMMYFUNCTION("""COMPUTED_VALUE"""),"https://www.facebook.com/gin.elle.100")</f>
        <v>https://www.facebook.com/gin.elle.100</v>
      </c>
      <c r="B1550" s="1" t="str">
        <f>IFERROR(__xludf.DUMMYFUNCTION("""COMPUTED_VALUE"""),"Gin Elle")</f>
        <v>Gin Elle</v>
      </c>
      <c r="C1550" s="1" t="str">
        <f>IFERROR(__xludf.DUMMYFUNCTION("""COMPUTED_VALUE"""),"Gin")</f>
        <v>Gin</v>
      </c>
      <c r="D1550" s="1" t="str">
        <f>IFERROR(__xludf.DUMMYFUNCTION("""COMPUTED_VALUE"""),"Elle")</f>
        <v>Elle</v>
      </c>
      <c r="E1550" s="1" t="str">
        <f>IFERROR(__xludf.DUMMYFUNCTION("""COMPUTED_VALUE"""),"Gin Elle")</f>
        <v>Gin Elle</v>
      </c>
      <c r="F1550" s="1"/>
      <c r="G1550" s="1" t="str">
        <f>IFERROR(__xludf.DUMMYFUNCTION("""COMPUTED_VALUE"""),"3 mos")</f>
        <v>3 mos</v>
      </c>
      <c r="H1550" s="1" t="str">
        <f>IFERROR(__xludf.DUMMYFUNCTION("""COMPUTED_VALUE"""),"comment")</f>
        <v>comment</v>
      </c>
      <c r="I1550" s="2" t="str">
        <f>IFERROR(__xludf.DUMMYFUNCTION("""COMPUTED_VALUE"""),"https://www.facebook.com/watch/live/?ref=watch_permalink&amp;v=360307549312104")</f>
        <v>https://www.facebook.com/watch/live/?ref=watch_permalink&amp;v=360307549312104</v>
      </c>
      <c r="J1550" s="1" t="str">
        <f>IFERROR(__xludf.DUMMYFUNCTION("""COMPUTED_VALUE"""),"2022-07-04T15:42:44.436Z")</f>
        <v>2022-07-04T15:42:44.436Z</v>
      </c>
      <c r="K1550" s="1"/>
    </row>
    <row r="1551">
      <c r="A1551" s="2" t="str">
        <f>IFERROR(__xludf.DUMMYFUNCTION("""COMPUTED_VALUE"""),"https://www.facebook.com/rona.baltazar.16")</f>
        <v>https://www.facebook.com/rona.baltazar.16</v>
      </c>
      <c r="B1551" s="1" t="str">
        <f>IFERROR(__xludf.DUMMYFUNCTION("""COMPUTED_VALUE"""),"Rona Javier Baltazar")</f>
        <v>Rona Javier Baltazar</v>
      </c>
      <c r="C1551" s="1" t="str">
        <f>IFERROR(__xludf.DUMMYFUNCTION("""COMPUTED_VALUE"""),"Rona")</f>
        <v>Rona</v>
      </c>
      <c r="D1551" s="1" t="str">
        <f>IFERROR(__xludf.DUMMYFUNCTION("""COMPUTED_VALUE"""),"Javier Baltazar")</f>
        <v>Javier Baltazar</v>
      </c>
      <c r="E1551" s="1" t="str">
        <f>IFERROR(__xludf.DUMMYFUNCTION("""COMPUTED_VALUE"""),"#KakamPinkSa2022")</f>
        <v>#KakamPinkSa2022</v>
      </c>
      <c r="F1551" s="1">
        <f>IFERROR(__xludf.DUMMYFUNCTION("""COMPUTED_VALUE"""),2.0)</f>
        <v>2</v>
      </c>
      <c r="G1551" s="1" t="str">
        <f>IFERROR(__xludf.DUMMYFUNCTION("""COMPUTED_VALUE"""),"3 mos")</f>
        <v>3 mos</v>
      </c>
      <c r="H1551" s="1" t="str">
        <f>IFERROR(__xludf.DUMMYFUNCTION("""COMPUTED_VALUE"""),"comment")</f>
        <v>comment</v>
      </c>
      <c r="I1551" s="2" t="str">
        <f>IFERROR(__xludf.DUMMYFUNCTION("""COMPUTED_VALUE"""),"https://www.facebook.com/watch/live/?ref=watch_permalink&amp;v=360307549312104")</f>
        <v>https://www.facebook.com/watch/live/?ref=watch_permalink&amp;v=360307549312104</v>
      </c>
      <c r="J1551" s="1" t="str">
        <f>IFERROR(__xludf.DUMMYFUNCTION("""COMPUTED_VALUE"""),"2022-07-04T15:42:44.436Z")</f>
        <v>2022-07-04T15:42:44.436Z</v>
      </c>
      <c r="K1551" s="1"/>
    </row>
    <row r="1552">
      <c r="A1552" s="2" t="str">
        <f>IFERROR(__xludf.DUMMYFUNCTION("""COMPUTED_VALUE"""),"https://www.facebook.com/elanie.berou.3")</f>
        <v>https://www.facebook.com/elanie.berou.3</v>
      </c>
      <c r="B1552" s="1" t="str">
        <f>IFERROR(__xludf.DUMMYFUNCTION("""COMPUTED_VALUE"""),"Elanie Abonales Berou")</f>
        <v>Elanie Abonales Berou</v>
      </c>
      <c r="C1552" s="1" t="str">
        <f>IFERROR(__xludf.DUMMYFUNCTION("""COMPUTED_VALUE"""),"Elanie")</f>
        <v>Elanie</v>
      </c>
      <c r="D1552" s="1" t="str">
        <f>IFERROR(__xludf.DUMMYFUNCTION("""COMPUTED_VALUE"""),"Abonales Berou")</f>
        <v>Abonales Berou</v>
      </c>
      <c r="E1552" s="1" t="str">
        <f>IFERROR(__xludf.DUMMYFUNCTION("""COMPUTED_VALUE"""),"Elanie Abonales Berou")</f>
        <v>Elanie Abonales Berou</v>
      </c>
      <c r="F1552" s="1"/>
      <c r="G1552" s="1" t="str">
        <f>IFERROR(__xludf.DUMMYFUNCTION("""COMPUTED_VALUE"""),"3 mos")</f>
        <v>3 mos</v>
      </c>
      <c r="H1552" s="1" t="str">
        <f>IFERROR(__xludf.DUMMYFUNCTION("""COMPUTED_VALUE"""),"comment")</f>
        <v>comment</v>
      </c>
      <c r="I1552" s="2" t="str">
        <f>IFERROR(__xludf.DUMMYFUNCTION("""COMPUTED_VALUE"""),"https://www.facebook.com/watch/live/?ref=watch_permalink&amp;v=360307549312104")</f>
        <v>https://www.facebook.com/watch/live/?ref=watch_permalink&amp;v=360307549312104</v>
      </c>
      <c r="J1552" s="1" t="str">
        <f>IFERROR(__xludf.DUMMYFUNCTION("""COMPUTED_VALUE"""),"2022-07-04T15:42:44.436Z")</f>
        <v>2022-07-04T15:42:44.436Z</v>
      </c>
      <c r="K1552" s="1"/>
    </row>
    <row r="1553">
      <c r="A1553" s="2" t="str">
        <f>IFERROR(__xludf.DUMMYFUNCTION("""COMPUTED_VALUE"""),"https://www.facebook.com/ophelia.villapando")</f>
        <v>https://www.facebook.com/ophelia.villapando</v>
      </c>
      <c r="B1553" s="1" t="str">
        <f>IFERROR(__xludf.DUMMYFUNCTION("""COMPUTED_VALUE"""),"Ophelia Villapando")</f>
        <v>Ophelia Villapando</v>
      </c>
      <c r="C1553" s="1" t="str">
        <f>IFERROR(__xludf.DUMMYFUNCTION("""COMPUTED_VALUE"""),"Ophelia")</f>
        <v>Ophelia</v>
      </c>
      <c r="D1553" s="1" t="str">
        <f>IFERROR(__xludf.DUMMYFUNCTION("""COMPUTED_VALUE"""),"Villapando")</f>
        <v>Villapando</v>
      </c>
      <c r="E1553" s="1" t="str">
        <f>IFERROR(__xludf.DUMMYFUNCTION("""COMPUTED_VALUE"""),"#IpanaloNaNa10To")</f>
        <v>#IpanaloNaNa10To</v>
      </c>
      <c r="F1553" s="1"/>
      <c r="G1553" s="1" t="str">
        <f>IFERROR(__xludf.DUMMYFUNCTION("""COMPUTED_VALUE"""),"3 mos")</f>
        <v>3 mos</v>
      </c>
      <c r="H1553" s="1" t="str">
        <f>IFERROR(__xludf.DUMMYFUNCTION("""COMPUTED_VALUE"""),"comment")</f>
        <v>comment</v>
      </c>
      <c r="I1553" s="2" t="str">
        <f>IFERROR(__xludf.DUMMYFUNCTION("""COMPUTED_VALUE"""),"https://www.facebook.com/watch/live/?ref=watch_permalink&amp;v=360307549312104")</f>
        <v>https://www.facebook.com/watch/live/?ref=watch_permalink&amp;v=360307549312104</v>
      </c>
      <c r="J1553" s="1" t="str">
        <f>IFERROR(__xludf.DUMMYFUNCTION("""COMPUTED_VALUE"""),"2022-07-04T15:42:44.436Z")</f>
        <v>2022-07-04T15:42:44.436Z</v>
      </c>
      <c r="K1553" s="1"/>
    </row>
    <row r="1554">
      <c r="A1554" s="2" t="str">
        <f>IFERROR(__xludf.DUMMYFUNCTION("""COMPUTED_VALUE"""),"https://www.facebook.com/madonna.bagalayfulgar.3")</f>
        <v>https://www.facebook.com/madonna.bagalayfulgar.3</v>
      </c>
      <c r="B1554" s="1" t="str">
        <f>IFERROR(__xludf.DUMMYFUNCTION("""COMPUTED_VALUE"""),"Madonna Bagalay Fulgar")</f>
        <v>Madonna Bagalay Fulgar</v>
      </c>
      <c r="C1554" s="1" t="str">
        <f>IFERROR(__xludf.DUMMYFUNCTION("""COMPUTED_VALUE"""),"Madonna")</f>
        <v>Madonna</v>
      </c>
      <c r="D1554" s="1" t="str">
        <f>IFERROR(__xludf.DUMMYFUNCTION("""COMPUTED_VALUE"""),"Bagalay Fulgar")</f>
        <v>Bagalay Fulgar</v>
      </c>
      <c r="E1554" s="1" t="str">
        <f>IFERROR(__xludf.DUMMYFUNCTION("""COMPUTED_VALUE"""),"Madonna Bagalay Fulgar")</f>
        <v>Madonna Bagalay Fulgar</v>
      </c>
      <c r="F1554" s="1"/>
      <c r="G1554" s="1" t="str">
        <f>IFERROR(__xludf.DUMMYFUNCTION("""COMPUTED_VALUE"""),"3 mos")</f>
        <v>3 mos</v>
      </c>
      <c r="H1554" s="1" t="str">
        <f>IFERROR(__xludf.DUMMYFUNCTION("""COMPUTED_VALUE"""),"comment")</f>
        <v>comment</v>
      </c>
      <c r="I1554" s="2" t="str">
        <f>IFERROR(__xludf.DUMMYFUNCTION("""COMPUTED_VALUE"""),"https://www.facebook.com/watch/live/?ref=watch_permalink&amp;v=360307549312104")</f>
        <v>https://www.facebook.com/watch/live/?ref=watch_permalink&amp;v=360307549312104</v>
      </c>
      <c r="J1554" s="1" t="str">
        <f>IFERROR(__xludf.DUMMYFUNCTION("""COMPUTED_VALUE"""),"2022-07-04T15:42:44.436Z")</f>
        <v>2022-07-04T15:42:44.436Z</v>
      </c>
      <c r="K1554" s="1"/>
    </row>
    <row r="1555">
      <c r="A1555" s="2" t="str">
        <f>IFERROR(__xludf.DUMMYFUNCTION("""COMPUTED_VALUE"""),"https://www.facebook.com/profile.php?id=100071047785780")</f>
        <v>https://www.facebook.com/profile.php?id=100071047785780</v>
      </c>
      <c r="B1555" s="1" t="str">
        <f>IFERROR(__xludf.DUMMYFUNCTION("""COMPUTED_VALUE"""),"Eugenio Nicol")</f>
        <v>Eugenio Nicol</v>
      </c>
      <c r="C1555" s="1" t="str">
        <f>IFERROR(__xludf.DUMMYFUNCTION("""COMPUTED_VALUE"""),"Eugenio")</f>
        <v>Eugenio</v>
      </c>
      <c r="D1555" s="1" t="str">
        <f>IFERROR(__xludf.DUMMYFUNCTION("""COMPUTED_VALUE"""),"Nicol")</f>
        <v>Nicol</v>
      </c>
      <c r="E1555" s="1" t="str">
        <f>IFERROR(__xludf.DUMMYFUNCTION("""COMPUTED_VALUE"""),"Eugenio Nicol")</f>
        <v>Eugenio Nicol</v>
      </c>
      <c r="F1555" s="1"/>
      <c r="G1555" s="1" t="str">
        <f>IFERROR(__xludf.DUMMYFUNCTION("""COMPUTED_VALUE"""),"3 mos")</f>
        <v>3 mos</v>
      </c>
      <c r="H1555" s="1" t="str">
        <f>IFERROR(__xludf.DUMMYFUNCTION("""COMPUTED_VALUE"""),"comment")</f>
        <v>comment</v>
      </c>
      <c r="I1555" s="2" t="str">
        <f>IFERROR(__xludf.DUMMYFUNCTION("""COMPUTED_VALUE"""),"https://www.facebook.com/watch/live/?ref=watch_permalink&amp;v=360307549312104")</f>
        <v>https://www.facebook.com/watch/live/?ref=watch_permalink&amp;v=360307549312104</v>
      </c>
      <c r="J1555" s="1" t="str">
        <f>IFERROR(__xludf.DUMMYFUNCTION("""COMPUTED_VALUE"""),"2022-07-04T15:42:44.436Z")</f>
        <v>2022-07-04T15:42:44.436Z</v>
      </c>
      <c r="K1555" s="1"/>
    </row>
    <row r="1556">
      <c r="A1556" s="2" t="str">
        <f>IFERROR(__xludf.DUMMYFUNCTION("""COMPUTED_VALUE"""),"https://www.facebook.com/maryjean.larion")</f>
        <v>https://www.facebook.com/maryjean.larion</v>
      </c>
      <c r="B1556" s="1" t="str">
        <f>IFERROR(__xludf.DUMMYFUNCTION("""COMPUTED_VALUE"""),"Mary Jean A. Larion")</f>
        <v>Mary Jean A. Larion</v>
      </c>
      <c r="C1556" s="1" t="str">
        <f>IFERROR(__xludf.DUMMYFUNCTION("""COMPUTED_VALUE"""),"Mary")</f>
        <v>Mary</v>
      </c>
      <c r="D1556" s="1" t="str">
        <f>IFERROR(__xludf.DUMMYFUNCTION("""COMPUTED_VALUE"""),"Jean A. Larion")</f>
        <v>Jean A. Larion</v>
      </c>
      <c r="E1556" s="1" t="str">
        <f>IFERROR(__xludf.DUMMYFUNCTION("""COMPUTED_VALUE"""),"Mary Jean A. Larion")</f>
        <v>Mary Jean A. Larion</v>
      </c>
      <c r="F1556" s="1"/>
      <c r="G1556" s="1" t="str">
        <f>IFERROR(__xludf.DUMMYFUNCTION("""COMPUTED_VALUE"""),"3 mos")</f>
        <v>3 mos</v>
      </c>
      <c r="H1556" s="1" t="str">
        <f>IFERROR(__xludf.DUMMYFUNCTION("""COMPUTED_VALUE"""),"comment")</f>
        <v>comment</v>
      </c>
      <c r="I1556" s="2" t="str">
        <f>IFERROR(__xludf.DUMMYFUNCTION("""COMPUTED_VALUE"""),"https://www.facebook.com/watch/live/?ref=watch_permalink&amp;v=360307549312104")</f>
        <v>https://www.facebook.com/watch/live/?ref=watch_permalink&amp;v=360307549312104</v>
      </c>
      <c r="J1556" s="1" t="str">
        <f>IFERROR(__xludf.DUMMYFUNCTION("""COMPUTED_VALUE"""),"2022-07-04T15:42:44.436Z")</f>
        <v>2022-07-04T15:42:44.436Z</v>
      </c>
      <c r="K1556" s="1"/>
    </row>
    <row r="1557">
      <c r="A1557" s="2" t="str">
        <f>IFERROR(__xludf.DUMMYFUNCTION("""COMPUTED_VALUE"""),"https://www.facebook.com/maryjean.larion")</f>
        <v>https://www.facebook.com/maryjean.larion</v>
      </c>
      <c r="B1557" s="1" t="str">
        <f>IFERROR(__xludf.DUMMYFUNCTION("""COMPUTED_VALUE"""),"Mary Jean A. Larion")</f>
        <v>Mary Jean A. Larion</v>
      </c>
      <c r="C1557" s="1" t="str">
        <f>IFERROR(__xludf.DUMMYFUNCTION("""COMPUTED_VALUE"""),"Mary")</f>
        <v>Mary</v>
      </c>
      <c r="D1557" s="1" t="str">
        <f>IFERROR(__xludf.DUMMYFUNCTION("""COMPUTED_VALUE"""),"Jean A. Larion")</f>
        <v>Jean A. Larion</v>
      </c>
      <c r="E1557" s="1" t="str">
        <f>IFERROR(__xludf.DUMMYFUNCTION("""COMPUTED_VALUE"""),"Mary Jean A. Larion")</f>
        <v>Mary Jean A. Larion</v>
      </c>
      <c r="F1557" s="1"/>
      <c r="G1557" s="1" t="str">
        <f>IFERROR(__xludf.DUMMYFUNCTION("""COMPUTED_VALUE"""),"3 mos")</f>
        <v>3 mos</v>
      </c>
      <c r="H1557" s="1" t="str">
        <f>IFERROR(__xludf.DUMMYFUNCTION("""COMPUTED_VALUE"""),"comment")</f>
        <v>comment</v>
      </c>
      <c r="I1557" s="2" t="str">
        <f>IFERROR(__xludf.DUMMYFUNCTION("""COMPUTED_VALUE"""),"https://www.facebook.com/watch/live/?ref=watch_permalink&amp;v=360307549312104")</f>
        <v>https://www.facebook.com/watch/live/?ref=watch_permalink&amp;v=360307549312104</v>
      </c>
      <c r="J1557" s="1" t="str">
        <f>IFERROR(__xludf.DUMMYFUNCTION("""COMPUTED_VALUE"""),"2022-07-04T15:42:44.436Z")</f>
        <v>2022-07-04T15:42:44.436Z</v>
      </c>
      <c r="K1557" s="1"/>
    </row>
    <row r="1558">
      <c r="A1558" s="2" t="str">
        <f>IFERROR(__xludf.DUMMYFUNCTION("""COMPUTED_VALUE"""),"https://www.facebook.com/profile.php?id=100070893796485")</f>
        <v>https://www.facebook.com/profile.php?id=100070893796485</v>
      </c>
      <c r="B1558" s="1" t="str">
        <f>IFERROR(__xludf.DUMMYFUNCTION("""COMPUTED_VALUE"""),"Andigerg Adp")</f>
        <v>Andigerg Adp</v>
      </c>
      <c r="C1558" s="1" t="str">
        <f>IFERROR(__xludf.DUMMYFUNCTION("""COMPUTED_VALUE"""),"Andigerg")</f>
        <v>Andigerg</v>
      </c>
      <c r="D1558" s="1" t="str">
        <f>IFERROR(__xludf.DUMMYFUNCTION("""COMPUTED_VALUE"""),"Adp")</f>
        <v>Adp</v>
      </c>
      <c r="E1558" s="1" t="str">
        <f>IFERROR(__xludf.DUMMYFUNCTION("""COMPUTED_VALUE"""),"Andigerg Adp")</f>
        <v>Andigerg Adp</v>
      </c>
      <c r="F1558" s="1"/>
      <c r="G1558" s="1" t="str">
        <f>IFERROR(__xludf.DUMMYFUNCTION("""COMPUTED_VALUE"""),"3 mos")</f>
        <v>3 mos</v>
      </c>
      <c r="H1558" s="1" t="str">
        <f>IFERROR(__xludf.DUMMYFUNCTION("""COMPUTED_VALUE"""),"comment")</f>
        <v>comment</v>
      </c>
      <c r="I1558" s="2" t="str">
        <f>IFERROR(__xludf.DUMMYFUNCTION("""COMPUTED_VALUE"""),"https://www.facebook.com/watch/live/?ref=watch_permalink&amp;v=360307549312104")</f>
        <v>https://www.facebook.com/watch/live/?ref=watch_permalink&amp;v=360307549312104</v>
      </c>
      <c r="J1558" s="1" t="str">
        <f>IFERROR(__xludf.DUMMYFUNCTION("""COMPUTED_VALUE"""),"2022-07-04T15:42:44.436Z")</f>
        <v>2022-07-04T15:42:44.436Z</v>
      </c>
      <c r="K1558" s="1"/>
    </row>
    <row r="1559">
      <c r="A1559" s="2" t="str">
        <f>IFERROR(__xludf.DUMMYFUNCTION("""COMPUTED_VALUE"""),"https://www.facebook.com/materesa.villa.9")</f>
        <v>https://www.facebook.com/materesa.villa.9</v>
      </c>
      <c r="B1559" s="1" t="str">
        <f>IFERROR(__xludf.DUMMYFUNCTION("""COMPUTED_VALUE"""),"Ma Teresa Villa")</f>
        <v>Ma Teresa Villa</v>
      </c>
      <c r="C1559" s="1" t="str">
        <f>IFERROR(__xludf.DUMMYFUNCTION("""COMPUTED_VALUE"""),"Ma")</f>
        <v>Ma</v>
      </c>
      <c r="D1559" s="1" t="str">
        <f>IFERROR(__xludf.DUMMYFUNCTION("""COMPUTED_VALUE"""),"Teresa Villa")</f>
        <v>Teresa Villa</v>
      </c>
      <c r="E1559" s="1" t="str">
        <f>IFERROR(__xludf.DUMMYFUNCTION("""COMPUTED_VALUE"""),"Ma Teresa Villa")</f>
        <v>Ma Teresa Villa</v>
      </c>
      <c r="F1559" s="1"/>
      <c r="G1559" s="1" t="str">
        <f>IFERROR(__xludf.DUMMYFUNCTION("""COMPUTED_VALUE"""),"3 mos")</f>
        <v>3 mos</v>
      </c>
      <c r="H1559" s="1" t="str">
        <f>IFERROR(__xludf.DUMMYFUNCTION("""COMPUTED_VALUE"""),"comment")</f>
        <v>comment</v>
      </c>
      <c r="I1559" s="2" t="str">
        <f>IFERROR(__xludf.DUMMYFUNCTION("""COMPUTED_VALUE"""),"https://www.facebook.com/watch/live/?ref=watch_permalink&amp;v=360307549312104")</f>
        <v>https://www.facebook.com/watch/live/?ref=watch_permalink&amp;v=360307549312104</v>
      </c>
      <c r="J1559" s="1" t="str">
        <f>IFERROR(__xludf.DUMMYFUNCTION("""COMPUTED_VALUE"""),"2022-07-04T15:42:44.436Z")</f>
        <v>2022-07-04T15:42:44.436Z</v>
      </c>
      <c r="K1559" s="1"/>
    </row>
    <row r="1560">
      <c r="A1560" s="2" t="str">
        <f>IFERROR(__xludf.DUMMYFUNCTION("""COMPUTED_VALUE"""),"https://www.facebook.com/maryjean.larion")</f>
        <v>https://www.facebook.com/maryjean.larion</v>
      </c>
      <c r="B1560" s="1" t="str">
        <f>IFERROR(__xludf.DUMMYFUNCTION("""COMPUTED_VALUE"""),"Mary Jean A. Larion")</f>
        <v>Mary Jean A. Larion</v>
      </c>
      <c r="C1560" s="1" t="str">
        <f>IFERROR(__xludf.DUMMYFUNCTION("""COMPUTED_VALUE"""),"Mary")</f>
        <v>Mary</v>
      </c>
      <c r="D1560" s="1" t="str">
        <f>IFERROR(__xludf.DUMMYFUNCTION("""COMPUTED_VALUE"""),"Jean A. Larion")</f>
        <v>Jean A. Larion</v>
      </c>
      <c r="E1560" s="1" t="str">
        <f>IFERROR(__xludf.DUMMYFUNCTION("""COMPUTED_VALUE"""),"Mary Jean A. Larion")</f>
        <v>Mary Jean A. Larion</v>
      </c>
      <c r="F1560" s="1"/>
      <c r="G1560" s="1" t="str">
        <f>IFERROR(__xludf.DUMMYFUNCTION("""COMPUTED_VALUE"""),"3 mos")</f>
        <v>3 mos</v>
      </c>
      <c r="H1560" s="1" t="str">
        <f>IFERROR(__xludf.DUMMYFUNCTION("""COMPUTED_VALUE"""),"comment")</f>
        <v>comment</v>
      </c>
      <c r="I1560" s="2" t="str">
        <f>IFERROR(__xludf.DUMMYFUNCTION("""COMPUTED_VALUE"""),"https://www.facebook.com/watch/live/?ref=watch_permalink&amp;v=360307549312104")</f>
        <v>https://www.facebook.com/watch/live/?ref=watch_permalink&amp;v=360307549312104</v>
      </c>
      <c r="J1560" s="1" t="str">
        <f>IFERROR(__xludf.DUMMYFUNCTION("""COMPUTED_VALUE"""),"2022-07-04T15:42:44.436Z")</f>
        <v>2022-07-04T15:42:44.436Z</v>
      </c>
      <c r="K1560" s="1"/>
    </row>
    <row r="1561">
      <c r="A1561" s="2" t="str">
        <f>IFERROR(__xludf.DUMMYFUNCTION("""COMPUTED_VALUE"""),"https://www.facebook.com/madonna.bagalayfulgar.3")</f>
        <v>https://www.facebook.com/madonna.bagalayfulgar.3</v>
      </c>
      <c r="B1561" s="1" t="str">
        <f>IFERROR(__xludf.DUMMYFUNCTION("""COMPUTED_VALUE"""),"Madonna Bagalay Fulgar")</f>
        <v>Madonna Bagalay Fulgar</v>
      </c>
      <c r="C1561" s="1" t="str">
        <f>IFERROR(__xludf.DUMMYFUNCTION("""COMPUTED_VALUE"""),"Madonna")</f>
        <v>Madonna</v>
      </c>
      <c r="D1561" s="1" t="str">
        <f>IFERROR(__xludf.DUMMYFUNCTION("""COMPUTED_VALUE"""),"Bagalay Fulgar")</f>
        <v>Bagalay Fulgar</v>
      </c>
      <c r="E1561" s="1" t="str">
        <f>IFERROR(__xludf.DUMMYFUNCTION("""COMPUTED_VALUE"""),"Madonna Bagalay Fulgar")</f>
        <v>Madonna Bagalay Fulgar</v>
      </c>
      <c r="F1561" s="1"/>
      <c r="G1561" s="1" t="str">
        <f>IFERROR(__xludf.DUMMYFUNCTION("""COMPUTED_VALUE"""),"3 mos")</f>
        <v>3 mos</v>
      </c>
      <c r="H1561" s="1" t="str">
        <f>IFERROR(__xludf.DUMMYFUNCTION("""COMPUTED_VALUE"""),"comment")</f>
        <v>comment</v>
      </c>
      <c r="I1561" s="2" t="str">
        <f>IFERROR(__xludf.DUMMYFUNCTION("""COMPUTED_VALUE"""),"https://www.facebook.com/watch/live/?ref=watch_permalink&amp;v=360307549312104")</f>
        <v>https://www.facebook.com/watch/live/?ref=watch_permalink&amp;v=360307549312104</v>
      </c>
      <c r="J1561" s="1" t="str">
        <f>IFERROR(__xludf.DUMMYFUNCTION("""COMPUTED_VALUE"""),"2022-07-04T15:42:44.436Z")</f>
        <v>2022-07-04T15:42:44.436Z</v>
      </c>
      <c r="K1561" s="1"/>
    </row>
    <row r="1562">
      <c r="A1562" s="2" t="str">
        <f>IFERROR(__xludf.DUMMYFUNCTION("""COMPUTED_VALUE"""),"https://www.facebook.com/profile.php?id=100070669880767")</f>
        <v>https://www.facebook.com/profile.php?id=100070669880767</v>
      </c>
      <c r="B1562" s="1" t="str">
        <f>IFERROR(__xludf.DUMMYFUNCTION("""COMPUTED_VALUE"""),"Danilo Punay")</f>
        <v>Danilo Punay</v>
      </c>
      <c r="C1562" s="1" t="str">
        <f>IFERROR(__xludf.DUMMYFUNCTION("""COMPUTED_VALUE"""),"Danilo")</f>
        <v>Danilo</v>
      </c>
      <c r="D1562" s="1" t="str">
        <f>IFERROR(__xludf.DUMMYFUNCTION("""COMPUTED_VALUE"""),"Punay")</f>
        <v>Punay</v>
      </c>
      <c r="E1562" s="1" t="str">
        <f>IFERROR(__xludf.DUMMYFUNCTION("""COMPUTED_VALUE"""),"Danilo Punay")</f>
        <v>Danilo Punay</v>
      </c>
      <c r="F1562" s="1"/>
      <c r="G1562" s="1" t="str">
        <f>IFERROR(__xludf.DUMMYFUNCTION("""COMPUTED_VALUE"""),"3 mos")</f>
        <v>3 mos</v>
      </c>
      <c r="H1562" s="1" t="str">
        <f>IFERROR(__xludf.DUMMYFUNCTION("""COMPUTED_VALUE"""),"comment")</f>
        <v>comment</v>
      </c>
      <c r="I1562" s="2" t="str">
        <f>IFERROR(__xludf.DUMMYFUNCTION("""COMPUTED_VALUE"""),"https://www.facebook.com/watch/live/?ref=watch_permalink&amp;v=360307549312104")</f>
        <v>https://www.facebook.com/watch/live/?ref=watch_permalink&amp;v=360307549312104</v>
      </c>
      <c r="J1562" s="1" t="str">
        <f>IFERROR(__xludf.DUMMYFUNCTION("""COMPUTED_VALUE"""),"2022-07-04T15:42:44.436Z")</f>
        <v>2022-07-04T15:42:44.436Z</v>
      </c>
      <c r="K1562" s="1"/>
    </row>
    <row r="1563">
      <c r="A1563" s="2" t="str">
        <f>IFERROR(__xludf.DUMMYFUNCTION("""COMPUTED_VALUE"""),"https://www.facebook.com/madonna.bagalayfulgar.3")</f>
        <v>https://www.facebook.com/madonna.bagalayfulgar.3</v>
      </c>
      <c r="B1563" s="1" t="str">
        <f>IFERROR(__xludf.DUMMYFUNCTION("""COMPUTED_VALUE"""),"Madonna Bagalay Fulgar")</f>
        <v>Madonna Bagalay Fulgar</v>
      </c>
      <c r="C1563" s="1" t="str">
        <f>IFERROR(__xludf.DUMMYFUNCTION("""COMPUTED_VALUE"""),"Madonna")</f>
        <v>Madonna</v>
      </c>
      <c r="D1563" s="1" t="str">
        <f>IFERROR(__xludf.DUMMYFUNCTION("""COMPUTED_VALUE"""),"Bagalay Fulgar")</f>
        <v>Bagalay Fulgar</v>
      </c>
      <c r="E1563" s="1" t="str">
        <f>IFERROR(__xludf.DUMMYFUNCTION("""COMPUTED_VALUE"""),"Madonna Bagalay Fulgar")</f>
        <v>Madonna Bagalay Fulgar</v>
      </c>
      <c r="F1563" s="1"/>
      <c r="G1563" s="1" t="str">
        <f>IFERROR(__xludf.DUMMYFUNCTION("""COMPUTED_VALUE"""),"3 mos")</f>
        <v>3 mos</v>
      </c>
      <c r="H1563" s="1" t="str">
        <f>IFERROR(__xludf.DUMMYFUNCTION("""COMPUTED_VALUE"""),"comment")</f>
        <v>comment</v>
      </c>
      <c r="I1563" s="2" t="str">
        <f>IFERROR(__xludf.DUMMYFUNCTION("""COMPUTED_VALUE"""),"https://www.facebook.com/watch/live/?ref=watch_permalink&amp;v=360307549312104")</f>
        <v>https://www.facebook.com/watch/live/?ref=watch_permalink&amp;v=360307549312104</v>
      </c>
      <c r="J1563" s="1" t="str">
        <f>IFERROR(__xludf.DUMMYFUNCTION("""COMPUTED_VALUE"""),"2022-07-04T15:42:44.436Z")</f>
        <v>2022-07-04T15:42:44.436Z</v>
      </c>
      <c r="K1563" s="1"/>
    </row>
    <row r="1564">
      <c r="A1564" s="2" t="str">
        <f>IFERROR(__xludf.DUMMYFUNCTION("""COMPUTED_VALUE"""),"https://www.facebook.com/madonna.bagalayfulgar.3")</f>
        <v>https://www.facebook.com/madonna.bagalayfulgar.3</v>
      </c>
      <c r="B1564" s="1" t="str">
        <f>IFERROR(__xludf.DUMMYFUNCTION("""COMPUTED_VALUE"""),"Madonna Bagalay Fulgar")</f>
        <v>Madonna Bagalay Fulgar</v>
      </c>
      <c r="C1564" s="1" t="str">
        <f>IFERROR(__xludf.DUMMYFUNCTION("""COMPUTED_VALUE"""),"Madonna")</f>
        <v>Madonna</v>
      </c>
      <c r="D1564" s="1" t="str">
        <f>IFERROR(__xludf.DUMMYFUNCTION("""COMPUTED_VALUE"""),"Bagalay Fulgar")</f>
        <v>Bagalay Fulgar</v>
      </c>
      <c r="E1564" s="1" t="str">
        <f>IFERROR(__xludf.DUMMYFUNCTION("""COMPUTED_VALUE"""),"Madonna Bagalay Fulgar")</f>
        <v>Madonna Bagalay Fulgar</v>
      </c>
      <c r="F1564" s="1"/>
      <c r="G1564" s="1" t="str">
        <f>IFERROR(__xludf.DUMMYFUNCTION("""COMPUTED_VALUE"""),"3 mos")</f>
        <v>3 mos</v>
      </c>
      <c r="H1564" s="1" t="str">
        <f>IFERROR(__xludf.DUMMYFUNCTION("""COMPUTED_VALUE"""),"comment")</f>
        <v>comment</v>
      </c>
      <c r="I1564" s="2" t="str">
        <f>IFERROR(__xludf.DUMMYFUNCTION("""COMPUTED_VALUE"""),"https://www.facebook.com/watch/live/?ref=watch_permalink&amp;v=360307549312104")</f>
        <v>https://www.facebook.com/watch/live/?ref=watch_permalink&amp;v=360307549312104</v>
      </c>
      <c r="J1564" s="1" t="str">
        <f>IFERROR(__xludf.DUMMYFUNCTION("""COMPUTED_VALUE"""),"2022-07-04T15:42:44.436Z")</f>
        <v>2022-07-04T15:42:44.436Z</v>
      </c>
      <c r="K1564" s="1"/>
    </row>
    <row r="1565">
      <c r="A1565" s="2" t="str">
        <f>IFERROR(__xludf.DUMMYFUNCTION("""COMPUTED_VALUE"""),"https://www.facebook.com/madonna.bagalayfulgar.3")</f>
        <v>https://www.facebook.com/madonna.bagalayfulgar.3</v>
      </c>
      <c r="B1565" s="1" t="str">
        <f>IFERROR(__xludf.DUMMYFUNCTION("""COMPUTED_VALUE"""),"Madonna Bagalay Fulgar")</f>
        <v>Madonna Bagalay Fulgar</v>
      </c>
      <c r="C1565" s="1" t="str">
        <f>IFERROR(__xludf.DUMMYFUNCTION("""COMPUTED_VALUE"""),"Madonna")</f>
        <v>Madonna</v>
      </c>
      <c r="D1565" s="1" t="str">
        <f>IFERROR(__xludf.DUMMYFUNCTION("""COMPUTED_VALUE"""),"Bagalay Fulgar")</f>
        <v>Bagalay Fulgar</v>
      </c>
      <c r="E1565" s="1" t="str">
        <f>IFERROR(__xludf.DUMMYFUNCTION("""COMPUTED_VALUE"""),"Madonna Bagalay Fulgar")</f>
        <v>Madonna Bagalay Fulgar</v>
      </c>
      <c r="F1565" s="1"/>
      <c r="G1565" s="1" t="str">
        <f>IFERROR(__xludf.DUMMYFUNCTION("""COMPUTED_VALUE"""),"3 mos")</f>
        <v>3 mos</v>
      </c>
      <c r="H1565" s="1" t="str">
        <f>IFERROR(__xludf.DUMMYFUNCTION("""COMPUTED_VALUE"""),"comment")</f>
        <v>comment</v>
      </c>
      <c r="I1565" s="2" t="str">
        <f>IFERROR(__xludf.DUMMYFUNCTION("""COMPUTED_VALUE"""),"https://www.facebook.com/watch/live/?ref=watch_permalink&amp;v=360307549312104")</f>
        <v>https://www.facebook.com/watch/live/?ref=watch_permalink&amp;v=360307549312104</v>
      </c>
      <c r="J1565" s="1" t="str">
        <f>IFERROR(__xludf.DUMMYFUNCTION("""COMPUTED_VALUE"""),"2022-07-04T15:42:44.436Z")</f>
        <v>2022-07-04T15:42:44.436Z</v>
      </c>
      <c r="K1565" s="1"/>
    </row>
    <row r="1566">
      <c r="A1566" s="2" t="str">
        <f>IFERROR(__xludf.DUMMYFUNCTION("""COMPUTED_VALUE"""),"https://www.facebook.com/madonna.bagalayfulgar.3")</f>
        <v>https://www.facebook.com/madonna.bagalayfulgar.3</v>
      </c>
      <c r="B1566" s="1" t="str">
        <f>IFERROR(__xludf.DUMMYFUNCTION("""COMPUTED_VALUE"""),"Madonna Bagalay Fulgar")</f>
        <v>Madonna Bagalay Fulgar</v>
      </c>
      <c r="C1566" s="1" t="str">
        <f>IFERROR(__xludf.DUMMYFUNCTION("""COMPUTED_VALUE"""),"Madonna")</f>
        <v>Madonna</v>
      </c>
      <c r="D1566" s="1" t="str">
        <f>IFERROR(__xludf.DUMMYFUNCTION("""COMPUTED_VALUE"""),"Bagalay Fulgar")</f>
        <v>Bagalay Fulgar</v>
      </c>
      <c r="E1566" s="1" t="str">
        <f>IFERROR(__xludf.DUMMYFUNCTION("""COMPUTED_VALUE"""),"Madonna Bagalay Fulgar")</f>
        <v>Madonna Bagalay Fulgar</v>
      </c>
      <c r="F1566" s="1"/>
      <c r="G1566" s="1" t="str">
        <f>IFERROR(__xludf.DUMMYFUNCTION("""COMPUTED_VALUE"""),"3 mos")</f>
        <v>3 mos</v>
      </c>
      <c r="H1566" s="1" t="str">
        <f>IFERROR(__xludf.DUMMYFUNCTION("""COMPUTED_VALUE"""),"comment")</f>
        <v>comment</v>
      </c>
      <c r="I1566" s="2" t="str">
        <f>IFERROR(__xludf.DUMMYFUNCTION("""COMPUTED_VALUE"""),"https://www.facebook.com/watch/live/?ref=watch_permalink&amp;v=360307549312104")</f>
        <v>https://www.facebook.com/watch/live/?ref=watch_permalink&amp;v=360307549312104</v>
      </c>
      <c r="J1566" s="1" t="str">
        <f>IFERROR(__xludf.DUMMYFUNCTION("""COMPUTED_VALUE"""),"2022-07-04T15:42:44.436Z")</f>
        <v>2022-07-04T15:42:44.436Z</v>
      </c>
      <c r="K1566" s="1"/>
    </row>
    <row r="1567">
      <c r="A1567" s="2" t="str">
        <f>IFERROR(__xludf.DUMMYFUNCTION("""COMPUTED_VALUE"""),"https://www.facebook.com/madonna.bagalayfulgar.3")</f>
        <v>https://www.facebook.com/madonna.bagalayfulgar.3</v>
      </c>
      <c r="B1567" s="1" t="str">
        <f>IFERROR(__xludf.DUMMYFUNCTION("""COMPUTED_VALUE"""),"Madonna Bagalay Fulgar")</f>
        <v>Madonna Bagalay Fulgar</v>
      </c>
      <c r="C1567" s="1" t="str">
        <f>IFERROR(__xludf.DUMMYFUNCTION("""COMPUTED_VALUE"""),"Madonna")</f>
        <v>Madonna</v>
      </c>
      <c r="D1567" s="1" t="str">
        <f>IFERROR(__xludf.DUMMYFUNCTION("""COMPUTED_VALUE"""),"Bagalay Fulgar")</f>
        <v>Bagalay Fulgar</v>
      </c>
      <c r="E1567" s="1" t="str">
        <f>IFERROR(__xludf.DUMMYFUNCTION("""COMPUTED_VALUE"""),"Madonna Bagalay Fulgar")</f>
        <v>Madonna Bagalay Fulgar</v>
      </c>
      <c r="F1567" s="1"/>
      <c r="G1567" s="1" t="str">
        <f>IFERROR(__xludf.DUMMYFUNCTION("""COMPUTED_VALUE"""),"3 mos")</f>
        <v>3 mos</v>
      </c>
      <c r="H1567" s="1" t="str">
        <f>IFERROR(__xludf.DUMMYFUNCTION("""COMPUTED_VALUE"""),"comment")</f>
        <v>comment</v>
      </c>
      <c r="I1567" s="2" t="str">
        <f>IFERROR(__xludf.DUMMYFUNCTION("""COMPUTED_VALUE"""),"https://www.facebook.com/watch/live/?ref=watch_permalink&amp;v=360307549312104")</f>
        <v>https://www.facebook.com/watch/live/?ref=watch_permalink&amp;v=360307549312104</v>
      </c>
      <c r="J1567" s="1" t="str">
        <f>IFERROR(__xludf.DUMMYFUNCTION("""COMPUTED_VALUE"""),"2022-07-04T15:42:44.436Z")</f>
        <v>2022-07-04T15:42:44.436Z</v>
      </c>
      <c r="K1567" s="1"/>
    </row>
    <row r="1568">
      <c r="A1568" s="2" t="str">
        <f>IFERROR(__xludf.DUMMYFUNCTION("""COMPUTED_VALUE"""),"https://www.facebook.com/madonna.bagalayfulgar.3")</f>
        <v>https://www.facebook.com/madonna.bagalayfulgar.3</v>
      </c>
      <c r="B1568" s="1" t="str">
        <f>IFERROR(__xludf.DUMMYFUNCTION("""COMPUTED_VALUE"""),"Madonna Bagalay Fulgar")</f>
        <v>Madonna Bagalay Fulgar</v>
      </c>
      <c r="C1568" s="1" t="str">
        <f>IFERROR(__xludf.DUMMYFUNCTION("""COMPUTED_VALUE"""),"Madonna")</f>
        <v>Madonna</v>
      </c>
      <c r="D1568" s="1" t="str">
        <f>IFERROR(__xludf.DUMMYFUNCTION("""COMPUTED_VALUE"""),"Bagalay Fulgar")</f>
        <v>Bagalay Fulgar</v>
      </c>
      <c r="E1568" s="1" t="str">
        <f>IFERROR(__xludf.DUMMYFUNCTION("""COMPUTED_VALUE"""),"Madonna Bagalay Fulgar")</f>
        <v>Madonna Bagalay Fulgar</v>
      </c>
      <c r="F1568" s="1"/>
      <c r="G1568" s="1" t="str">
        <f>IFERROR(__xludf.DUMMYFUNCTION("""COMPUTED_VALUE"""),"3 mos")</f>
        <v>3 mos</v>
      </c>
      <c r="H1568" s="1" t="str">
        <f>IFERROR(__xludf.DUMMYFUNCTION("""COMPUTED_VALUE"""),"comment")</f>
        <v>comment</v>
      </c>
      <c r="I1568" s="2" t="str">
        <f>IFERROR(__xludf.DUMMYFUNCTION("""COMPUTED_VALUE"""),"https://www.facebook.com/watch/live/?ref=watch_permalink&amp;v=360307549312104")</f>
        <v>https://www.facebook.com/watch/live/?ref=watch_permalink&amp;v=360307549312104</v>
      </c>
      <c r="J1568" s="1" t="str">
        <f>IFERROR(__xludf.DUMMYFUNCTION("""COMPUTED_VALUE"""),"2022-07-04T15:42:44.436Z")</f>
        <v>2022-07-04T15:42:44.436Z</v>
      </c>
      <c r="K1568" s="1"/>
    </row>
    <row r="1569">
      <c r="A1569" s="2" t="str">
        <f>IFERROR(__xludf.DUMMYFUNCTION("""COMPUTED_VALUE"""),"https://www.facebook.com/madonna.bagalayfulgar.3")</f>
        <v>https://www.facebook.com/madonna.bagalayfulgar.3</v>
      </c>
      <c r="B1569" s="1" t="str">
        <f>IFERROR(__xludf.DUMMYFUNCTION("""COMPUTED_VALUE"""),"Madonna Bagalay Fulgar")</f>
        <v>Madonna Bagalay Fulgar</v>
      </c>
      <c r="C1569" s="1" t="str">
        <f>IFERROR(__xludf.DUMMYFUNCTION("""COMPUTED_VALUE"""),"Madonna")</f>
        <v>Madonna</v>
      </c>
      <c r="D1569" s="1" t="str">
        <f>IFERROR(__xludf.DUMMYFUNCTION("""COMPUTED_VALUE"""),"Bagalay Fulgar")</f>
        <v>Bagalay Fulgar</v>
      </c>
      <c r="E1569" s="1" t="str">
        <f>IFERROR(__xludf.DUMMYFUNCTION("""COMPUTED_VALUE"""),"Madonna Bagalay Fulgar")</f>
        <v>Madonna Bagalay Fulgar</v>
      </c>
      <c r="F1569" s="1"/>
      <c r="G1569" s="1" t="str">
        <f>IFERROR(__xludf.DUMMYFUNCTION("""COMPUTED_VALUE"""),"3 mos")</f>
        <v>3 mos</v>
      </c>
      <c r="H1569" s="1" t="str">
        <f>IFERROR(__xludf.DUMMYFUNCTION("""COMPUTED_VALUE"""),"comment")</f>
        <v>comment</v>
      </c>
      <c r="I1569" s="2" t="str">
        <f>IFERROR(__xludf.DUMMYFUNCTION("""COMPUTED_VALUE"""),"https://www.facebook.com/watch/live/?ref=watch_permalink&amp;v=360307549312104")</f>
        <v>https://www.facebook.com/watch/live/?ref=watch_permalink&amp;v=360307549312104</v>
      </c>
      <c r="J1569" s="1" t="str">
        <f>IFERROR(__xludf.DUMMYFUNCTION("""COMPUTED_VALUE"""),"2022-07-04T15:42:44.436Z")</f>
        <v>2022-07-04T15:42:44.436Z</v>
      </c>
      <c r="K1569" s="1"/>
    </row>
    <row r="1570">
      <c r="A1570" s="2" t="str">
        <f>IFERROR(__xludf.DUMMYFUNCTION("""COMPUTED_VALUE"""),"https://www.facebook.com/madonna.bagalayfulgar.3")</f>
        <v>https://www.facebook.com/madonna.bagalayfulgar.3</v>
      </c>
      <c r="B1570" s="1" t="str">
        <f>IFERROR(__xludf.DUMMYFUNCTION("""COMPUTED_VALUE"""),"Madonna Bagalay Fulgar")</f>
        <v>Madonna Bagalay Fulgar</v>
      </c>
      <c r="C1570" s="1" t="str">
        <f>IFERROR(__xludf.DUMMYFUNCTION("""COMPUTED_VALUE"""),"Madonna")</f>
        <v>Madonna</v>
      </c>
      <c r="D1570" s="1" t="str">
        <f>IFERROR(__xludf.DUMMYFUNCTION("""COMPUTED_VALUE"""),"Bagalay Fulgar")</f>
        <v>Bagalay Fulgar</v>
      </c>
      <c r="E1570" s="1" t="str">
        <f>IFERROR(__xludf.DUMMYFUNCTION("""COMPUTED_VALUE"""),"Madonna Bagalay Fulgar")</f>
        <v>Madonna Bagalay Fulgar</v>
      </c>
      <c r="F1570" s="1"/>
      <c r="G1570" s="1" t="str">
        <f>IFERROR(__xludf.DUMMYFUNCTION("""COMPUTED_VALUE"""),"3 mos")</f>
        <v>3 mos</v>
      </c>
      <c r="H1570" s="1" t="str">
        <f>IFERROR(__xludf.DUMMYFUNCTION("""COMPUTED_VALUE"""),"comment")</f>
        <v>comment</v>
      </c>
      <c r="I1570" s="2" t="str">
        <f>IFERROR(__xludf.DUMMYFUNCTION("""COMPUTED_VALUE"""),"https://www.facebook.com/watch/live/?ref=watch_permalink&amp;v=360307549312104")</f>
        <v>https://www.facebook.com/watch/live/?ref=watch_permalink&amp;v=360307549312104</v>
      </c>
      <c r="J1570" s="1" t="str">
        <f>IFERROR(__xludf.DUMMYFUNCTION("""COMPUTED_VALUE"""),"2022-07-04T15:42:44.436Z")</f>
        <v>2022-07-04T15:42:44.436Z</v>
      </c>
      <c r="K1570" s="1"/>
    </row>
    <row r="1571">
      <c r="A1571" s="2" t="str">
        <f>IFERROR(__xludf.DUMMYFUNCTION("""COMPUTED_VALUE"""),"https://www.facebook.com/hannah.2793")</f>
        <v>https://www.facebook.com/hannah.2793</v>
      </c>
      <c r="B1571" s="1" t="str">
        <f>IFERROR(__xludf.DUMMYFUNCTION("""COMPUTED_VALUE"""),"Hannah Patricia Alcancia")</f>
        <v>Hannah Patricia Alcancia</v>
      </c>
      <c r="C1571" s="1" t="str">
        <f>IFERROR(__xludf.DUMMYFUNCTION("""COMPUTED_VALUE"""),"Hannah")</f>
        <v>Hannah</v>
      </c>
      <c r="D1571" s="1" t="str">
        <f>IFERROR(__xludf.DUMMYFUNCTION("""COMPUTED_VALUE"""),"Patricia Alcancia")</f>
        <v>Patricia Alcancia</v>
      </c>
      <c r="E1571" s="1" t="str">
        <f>IFERROR(__xludf.DUMMYFUNCTION("""COMPUTED_VALUE"""),"Hannah Patricia Alcancia")</f>
        <v>Hannah Patricia Alcancia</v>
      </c>
      <c r="F1571" s="1"/>
      <c r="G1571" s="1" t="str">
        <f>IFERROR(__xludf.DUMMYFUNCTION("""COMPUTED_VALUE"""),"3 mos")</f>
        <v>3 mos</v>
      </c>
      <c r="H1571" s="1" t="str">
        <f>IFERROR(__xludf.DUMMYFUNCTION("""COMPUTED_VALUE"""),"comment")</f>
        <v>comment</v>
      </c>
      <c r="I1571" s="2" t="str">
        <f>IFERROR(__xludf.DUMMYFUNCTION("""COMPUTED_VALUE"""),"https://www.facebook.com/watch/live/?ref=watch_permalink&amp;v=360307549312104")</f>
        <v>https://www.facebook.com/watch/live/?ref=watch_permalink&amp;v=360307549312104</v>
      </c>
      <c r="J1571" s="1" t="str">
        <f>IFERROR(__xludf.DUMMYFUNCTION("""COMPUTED_VALUE"""),"2022-07-04T15:42:44.436Z")</f>
        <v>2022-07-04T15:42:44.436Z</v>
      </c>
      <c r="K1571" s="1"/>
    </row>
    <row r="1572">
      <c r="A1572" s="2" t="str">
        <f>IFERROR(__xludf.DUMMYFUNCTION("""COMPUTED_VALUE"""),"https://www.facebook.com/clifordjay.infante")</f>
        <v>https://www.facebook.com/clifordjay.infante</v>
      </c>
      <c r="B1572" s="1" t="str">
        <f>IFERROR(__xludf.DUMMYFUNCTION("""COMPUTED_VALUE"""),"Clifford Jay Allam Infante")</f>
        <v>Clifford Jay Allam Infante</v>
      </c>
      <c r="C1572" s="1" t="str">
        <f>IFERROR(__xludf.DUMMYFUNCTION("""COMPUTED_VALUE"""),"Clifford")</f>
        <v>Clifford</v>
      </c>
      <c r="D1572" s="1" t="str">
        <f>IFERROR(__xludf.DUMMYFUNCTION("""COMPUTED_VALUE"""),"Jay Allam Infante")</f>
        <v>Jay Allam Infante</v>
      </c>
      <c r="E1572" s="1" t="str">
        <f>IFERROR(__xludf.DUMMYFUNCTION("""COMPUTED_VALUE"""),"#BBMSARAtandem2022")</f>
        <v>#BBMSARAtandem2022</v>
      </c>
      <c r="F1572" s="1"/>
      <c r="G1572" s="1" t="str">
        <f>IFERROR(__xludf.DUMMYFUNCTION("""COMPUTED_VALUE"""),"3 mos")</f>
        <v>3 mos</v>
      </c>
      <c r="H1572" s="1" t="str">
        <f>IFERROR(__xludf.DUMMYFUNCTION("""COMPUTED_VALUE"""),"comment")</f>
        <v>comment</v>
      </c>
      <c r="I1572" s="2" t="str">
        <f>IFERROR(__xludf.DUMMYFUNCTION("""COMPUTED_VALUE"""),"https://www.facebook.com/watch/live/?ref=watch_permalink&amp;v=360307549312104")</f>
        <v>https://www.facebook.com/watch/live/?ref=watch_permalink&amp;v=360307549312104</v>
      </c>
      <c r="J1572" s="1" t="str">
        <f>IFERROR(__xludf.DUMMYFUNCTION("""COMPUTED_VALUE"""),"2022-07-04T15:42:44.436Z")</f>
        <v>2022-07-04T15:42:44.436Z</v>
      </c>
      <c r="K1572" s="1"/>
    </row>
    <row r="1573">
      <c r="A1573" s="2" t="str">
        <f>IFERROR(__xludf.DUMMYFUNCTION("""COMPUTED_VALUE"""),"https://www.facebook.com/ae.aebcd.71")</f>
        <v>https://www.facebook.com/ae.aebcd.71</v>
      </c>
      <c r="B1573" s="1" t="str">
        <f>IFERROR(__xludf.DUMMYFUNCTION("""COMPUTED_VALUE"""),"Vanna")</f>
        <v>Vanna</v>
      </c>
      <c r="C1573" s="1" t="str">
        <f>IFERROR(__xludf.DUMMYFUNCTION("""COMPUTED_VALUE"""),"Vanna")</f>
        <v>Vanna</v>
      </c>
      <c r="D1573" s="1"/>
      <c r="E1573" s="1" t="str">
        <f>IFERROR(__xludf.DUMMYFUNCTION("""COMPUTED_VALUE"""),"#LeniKikoAllTheWay")</f>
        <v>#LeniKikoAllTheWay</v>
      </c>
      <c r="F1573" s="1"/>
      <c r="G1573" s="1" t="str">
        <f>IFERROR(__xludf.DUMMYFUNCTION("""COMPUTED_VALUE"""),"3 mos")</f>
        <v>3 mos</v>
      </c>
      <c r="H1573" s="1" t="str">
        <f>IFERROR(__xludf.DUMMYFUNCTION("""COMPUTED_VALUE"""),"comment")</f>
        <v>comment</v>
      </c>
      <c r="I1573" s="2" t="str">
        <f>IFERROR(__xludf.DUMMYFUNCTION("""COMPUTED_VALUE"""),"https://www.facebook.com/watch/live/?ref=watch_permalink&amp;v=360307549312104")</f>
        <v>https://www.facebook.com/watch/live/?ref=watch_permalink&amp;v=360307549312104</v>
      </c>
      <c r="J1573" s="1" t="str">
        <f>IFERROR(__xludf.DUMMYFUNCTION("""COMPUTED_VALUE"""),"2022-07-04T15:42:44.436Z")</f>
        <v>2022-07-04T15:42:44.436Z</v>
      </c>
      <c r="K1573" s="1"/>
    </row>
    <row r="1574">
      <c r="A1574" s="2" t="str">
        <f>IFERROR(__xludf.DUMMYFUNCTION("""COMPUTED_VALUE"""),"https://www.facebook.com/gin.elle.100")</f>
        <v>https://www.facebook.com/gin.elle.100</v>
      </c>
      <c r="B1574" s="1" t="str">
        <f>IFERROR(__xludf.DUMMYFUNCTION("""COMPUTED_VALUE"""),"Gin Elle")</f>
        <v>Gin Elle</v>
      </c>
      <c r="C1574" s="1" t="str">
        <f>IFERROR(__xludf.DUMMYFUNCTION("""COMPUTED_VALUE"""),"Gin")</f>
        <v>Gin</v>
      </c>
      <c r="D1574" s="1" t="str">
        <f>IFERROR(__xludf.DUMMYFUNCTION("""COMPUTED_VALUE"""),"Elle")</f>
        <v>Elle</v>
      </c>
      <c r="E1574" s="1" t="str">
        <f>IFERROR(__xludf.DUMMYFUNCTION("""COMPUTED_VALUE"""),"Gin Elle")</f>
        <v>Gin Elle</v>
      </c>
      <c r="F1574" s="1"/>
      <c r="G1574" s="1" t="str">
        <f>IFERROR(__xludf.DUMMYFUNCTION("""COMPUTED_VALUE"""),"3 mos")</f>
        <v>3 mos</v>
      </c>
      <c r="H1574" s="1" t="str">
        <f>IFERROR(__xludf.DUMMYFUNCTION("""COMPUTED_VALUE"""),"comment")</f>
        <v>comment</v>
      </c>
      <c r="I1574" s="2" t="str">
        <f>IFERROR(__xludf.DUMMYFUNCTION("""COMPUTED_VALUE"""),"https://www.facebook.com/watch/live/?ref=watch_permalink&amp;v=360307549312104")</f>
        <v>https://www.facebook.com/watch/live/?ref=watch_permalink&amp;v=360307549312104</v>
      </c>
      <c r="J1574" s="1" t="str">
        <f>IFERROR(__xludf.DUMMYFUNCTION("""COMPUTED_VALUE"""),"2022-07-04T15:42:44.436Z")</f>
        <v>2022-07-04T15:42:44.436Z</v>
      </c>
      <c r="K1574" s="1"/>
    </row>
    <row r="1575">
      <c r="A1575" s="2" t="str">
        <f>IFERROR(__xludf.DUMMYFUNCTION("""COMPUTED_VALUE"""),"https://www.facebook.com/elanie.berou.3")</f>
        <v>https://www.facebook.com/elanie.berou.3</v>
      </c>
      <c r="B1575" s="1" t="str">
        <f>IFERROR(__xludf.DUMMYFUNCTION("""COMPUTED_VALUE"""),"Elanie Abonales Berou")</f>
        <v>Elanie Abonales Berou</v>
      </c>
      <c r="C1575" s="1" t="str">
        <f>IFERROR(__xludf.DUMMYFUNCTION("""COMPUTED_VALUE"""),"Elanie")</f>
        <v>Elanie</v>
      </c>
      <c r="D1575" s="1" t="str">
        <f>IFERROR(__xludf.DUMMYFUNCTION("""COMPUTED_VALUE"""),"Abonales Berou")</f>
        <v>Abonales Berou</v>
      </c>
      <c r="E1575" s="1" t="str">
        <f>IFERROR(__xludf.DUMMYFUNCTION("""COMPUTED_VALUE"""),"Elanie Abonales Berou")</f>
        <v>Elanie Abonales Berou</v>
      </c>
      <c r="F1575" s="1"/>
      <c r="G1575" s="1" t="str">
        <f>IFERROR(__xludf.DUMMYFUNCTION("""COMPUTED_VALUE"""),"3 mos")</f>
        <v>3 mos</v>
      </c>
      <c r="H1575" s="1" t="str">
        <f>IFERROR(__xludf.DUMMYFUNCTION("""COMPUTED_VALUE"""),"comment")</f>
        <v>comment</v>
      </c>
      <c r="I1575" s="2" t="str">
        <f>IFERROR(__xludf.DUMMYFUNCTION("""COMPUTED_VALUE"""),"https://www.facebook.com/watch/live/?ref=watch_permalink&amp;v=360307549312104")</f>
        <v>https://www.facebook.com/watch/live/?ref=watch_permalink&amp;v=360307549312104</v>
      </c>
      <c r="J1575" s="1" t="str">
        <f>IFERROR(__xludf.DUMMYFUNCTION("""COMPUTED_VALUE"""),"2022-07-04T15:42:44.436Z")</f>
        <v>2022-07-04T15:42:44.436Z</v>
      </c>
      <c r="K1575" s="1"/>
    </row>
    <row r="1576">
      <c r="A1576" s="2" t="str">
        <f>IFERROR(__xludf.DUMMYFUNCTION("""COMPUTED_VALUE"""),"https://www.facebook.com/jingjing.abellana")</f>
        <v>https://www.facebook.com/jingjing.abellana</v>
      </c>
      <c r="B1576" s="1" t="str">
        <f>IFERROR(__xludf.DUMMYFUNCTION("""COMPUTED_VALUE"""),"JingJing Abellana")</f>
        <v>JingJing Abellana</v>
      </c>
      <c r="C1576" s="1" t="str">
        <f>IFERROR(__xludf.DUMMYFUNCTION("""COMPUTED_VALUE"""),"JingJing")</f>
        <v>JingJing</v>
      </c>
      <c r="D1576" s="1" t="str">
        <f>IFERROR(__xludf.DUMMYFUNCTION("""COMPUTED_VALUE"""),"Abellana")</f>
        <v>Abellana</v>
      </c>
      <c r="E1576" s="1" t="str">
        <f>IFERROR(__xludf.DUMMYFUNCTION("""COMPUTED_VALUE"""),"#LeniKikoAllTheWay")</f>
        <v>#LeniKikoAllTheWay</v>
      </c>
      <c r="F1576" s="1"/>
      <c r="G1576" s="1" t="str">
        <f>IFERROR(__xludf.DUMMYFUNCTION("""COMPUTED_VALUE"""),"3 mos")</f>
        <v>3 mos</v>
      </c>
      <c r="H1576" s="1" t="str">
        <f>IFERROR(__xludf.DUMMYFUNCTION("""COMPUTED_VALUE"""),"comment")</f>
        <v>comment</v>
      </c>
      <c r="I1576" s="2" t="str">
        <f>IFERROR(__xludf.DUMMYFUNCTION("""COMPUTED_VALUE"""),"https://www.facebook.com/watch/live/?ref=watch_permalink&amp;v=360307549312104")</f>
        <v>https://www.facebook.com/watch/live/?ref=watch_permalink&amp;v=360307549312104</v>
      </c>
      <c r="J1576" s="1" t="str">
        <f>IFERROR(__xludf.DUMMYFUNCTION("""COMPUTED_VALUE"""),"2022-07-04T15:42:44.436Z")</f>
        <v>2022-07-04T15:42:44.436Z</v>
      </c>
      <c r="K1576" s="1"/>
    </row>
    <row r="1577">
      <c r="A1577" s="2" t="str">
        <f>IFERROR(__xludf.DUMMYFUNCTION("""COMPUTED_VALUE"""),"https://www.facebook.com/gin.elle.100")</f>
        <v>https://www.facebook.com/gin.elle.100</v>
      </c>
      <c r="B1577" s="1" t="str">
        <f>IFERROR(__xludf.DUMMYFUNCTION("""COMPUTED_VALUE"""),"Gin Elle")</f>
        <v>Gin Elle</v>
      </c>
      <c r="C1577" s="1" t="str">
        <f>IFERROR(__xludf.DUMMYFUNCTION("""COMPUTED_VALUE"""),"Gin")</f>
        <v>Gin</v>
      </c>
      <c r="D1577" s="1" t="str">
        <f>IFERROR(__xludf.DUMMYFUNCTION("""COMPUTED_VALUE"""),"Elle")</f>
        <v>Elle</v>
      </c>
      <c r="E1577" s="1" t="str">
        <f>IFERROR(__xludf.DUMMYFUNCTION("""COMPUTED_VALUE"""),"Gin Elle")</f>
        <v>Gin Elle</v>
      </c>
      <c r="F1577" s="1"/>
      <c r="G1577" s="1" t="str">
        <f>IFERROR(__xludf.DUMMYFUNCTION("""COMPUTED_VALUE"""),"3 mos")</f>
        <v>3 mos</v>
      </c>
      <c r="H1577" s="1" t="str">
        <f>IFERROR(__xludf.DUMMYFUNCTION("""COMPUTED_VALUE"""),"comment")</f>
        <v>comment</v>
      </c>
      <c r="I1577" s="2" t="str">
        <f>IFERROR(__xludf.DUMMYFUNCTION("""COMPUTED_VALUE"""),"https://www.facebook.com/watch/live/?ref=watch_permalink&amp;v=360307549312104")</f>
        <v>https://www.facebook.com/watch/live/?ref=watch_permalink&amp;v=360307549312104</v>
      </c>
      <c r="J1577" s="1" t="str">
        <f>IFERROR(__xludf.DUMMYFUNCTION("""COMPUTED_VALUE"""),"2022-07-04T15:42:44.436Z")</f>
        <v>2022-07-04T15:42:44.436Z</v>
      </c>
      <c r="K1577" s="1"/>
    </row>
    <row r="1578">
      <c r="A1578" s="2" t="str">
        <f>IFERROR(__xludf.DUMMYFUNCTION("""COMPUTED_VALUE"""),"https://www.facebook.com/lito.ramos.14")</f>
        <v>https://www.facebook.com/lito.ramos.14</v>
      </c>
      <c r="B1578" s="1" t="str">
        <f>IFERROR(__xludf.DUMMYFUNCTION("""COMPUTED_VALUE"""),"Lito G Ramos")</f>
        <v>Lito G Ramos</v>
      </c>
      <c r="C1578" s="1" t="str">
        <f>IFERROR(__xludf.DUMMYFUNCTION("""COMPUTED_VALUE"""),"Lito")</f>
        <v>Lito</v>
      </c>
      <c r="D1578" s="1" t="str">
        <f>IFERROR(__xludf.DUMMYFUNCTION("""COMPUTED_VALUE"""),"G Ramos")</f>
        <v>G Ramos</v>
      </c>
      <c r="E1578" s="1" t="str">
        <f>IFERROR(__xludf.DUMMYFUNCTION("""COMPUTED_VALUE"""),"She is on her way up to presidency. God will make our country great again.")</f>
        <v>She is on her way up to presidency. God will make our country great again.</v>
      </c>
      <c r="F1578" s="1">
        <f>IFERROR(__xludf.DUMMYFUNCTION("""COMPUTED_VALUE"""),136.0)</f>
        <v>136</v>
      </c>
      <c r="G1578" s="1" t="str">
        <f>IFERROR(__xludf.DUMMYFUNCTION("""COMPUTED_VALUE"""),"3 mos")</f>
        <v>3 mos</v>
      </c>
      <c r="H1578" s="1" t="str">
        <f>IFERROR(__xludf.DUMMYFUNCTION("""COMPUTED_VALUE"""),"comment")</f>
        <v>comment</v>
      </c>
      <c r="I1578" s="2" t="str">
        <f>IFERROR(__xludf.DUMMYFUNCTION("""COMPUTED_VALUE"""),"https://www.facebook.com/watch/live/?ref=watch_permalink&amp;v=332681445500650")</f>
        <v>https://www.facebook.com/watch/live/?ref=watch_permalink&amp;v=332681445500650</v>
      </c>
      <c r="J1578" s="1" t="str">
        <f>IFERROR(__xludf.DUMMYFUNCTION("""COMPUTED_VALUE"""),"2022-07-04T15:43:23.768Z")</f>
        <v>2022-07-04T15:43:23.768Z</v>
      </c>
      <c r="K1578" s="1"/>
    </row>
    <row r="1579">
      <c r="A1579" s="2" t="str">
        <f>IFERROR(__xludf.DUMMYFUNCTION("""COMPUTED_VALUE"""),"https://www.facebook.com/janicetsotto")</f>
        <v>https://www.facebook.com/janicetsotto</v>
      </c>
      <c r="B1579" s="1" t="str">
        <f>IFERROR(__xludf.DUMMYFUNCTION("""COMPUTED_VALUE"""),"Janice Sotto")</f>
        <v>Janice Sotto</v>
      </c>
      <c r="C1579" s="1" t="str">
        <f>IFERROR(__xludf.DUMMYFUNCTION("""COMPUTED_VALUE"""),"Janice")</f>
        <v>Janice</v>
      </c>
      <c r="D1579" s="1" t="str">
        <f>IFERROR(__xludf.DUMMYFUNCTION("""COMPUTED_VALUE"""),"Sotto")</f>
        <v>Sotto</v>
      </c>
      <c r="E1579" s="1" t="str">
        <f>IFERROR(__xludf.DUMMYFUNCTION("""COMPUTED_VALUE"""),"Lito G Ramos yes!!!")</f>
        <v>Lito G Ramos yes!!!</v>
      </c>
      <c r="F1579" s="1">
        <f>IFERROR(__xludf.DUMMYFUNCTION("""COMPUTED_VALUE"""),2.0)</f>
        <v>2</v>
      </c>
      <c r="G1579" s="1" t="str">
        <f>IFERROR(__xludf.DUMMYFUNCTION("""COMPUTED_VALUE"""),"3 mos")</f>
        <v>3 mos</v>
      </c>
      <c r="H1579" s="1" t="str">
        <f>IFERROR(__xludf.DUMMYFUNCTION("""COMPUTED_VALUE"""),"reply")</f>
        <v>reply</v>
      </c>
      <c r="I1579" s="2" t="str">
        <f>IFERROR(__xludf.DUMMYFUNCTION("""COMPUTED_VALUE"""),"https://www.facebook.com/watch/live/?ref=watch_permalink&amp;v=332681445500650")</f>
        <v>https://www.facebook.com/watch/live/?ref=watch_permalink&amp;v=332681445500650</v>
      </c>
      <c r="J1579" s="1" t="str">
        <f>IFERROR(__xludf.DUMMYFUNCTION("""COMPUTED_VALUE"""),"2022-07-04T15:43:23.768Z")</f>
        <v>2022-07-04T15:43:23.768Z</v>
      </c>
      <c r="K1579" s="1"/>
    </row>
    <row r="1580">
      <c r="A1580" s="2" t="str">
        <f>IFERROR(__xludf.DUMMYFUNCTION("""COMPUTED_VALUE"""),"https://www.facebook.com/profile.php?id=100008524260472")</f>
        <v>https://www.facebook.com/profile.php?id=100008524260472</v>
      </c>
      <c r="B1580" s="1" t="str">
        <f>IFERROR(__xludf.DUMMYFUNCTION("""COMPUTED_VALUE"""),"Jesus Vicente")</f>
        <v>Jesus Vicente</v>
      </c>
      <c r="C1580" s="1" t="str">
        <f>IFERROR(__xludf.DUMMYFUNCTION("""COMPUTED_VALUE"""),"Jesus")</f>
        <v>Jesus</v>
      </c>
      <c r="D1580" s="1" t="str">
        <f>IFERROR(__xludf.DUMMYFUNCTION("""COMPUTED_VALUE"""),"Vicente")</f>
        <v>Vicente</v>
      </c>
      <c r="E1580" s="1" t="str">
        <f>IFERROR(__xludf.DUMMYFUNCTION("""COMPUTED_VALUE"""),"🙏🙏🙏")</f>
        <v>🙏🙏🙏</v>
      </c>
      <c r="F1580" s="1">
        <f>IFERROR(__xludf.DUMMYFUNCTION("""COMPUTED_VALUE"""),1.0)</f>
        <v>1</v>
      </c>
      <c r="G1580" s="1" t="str">
        <f>IFERROR(__xludf.DUMMYFUNCTION("""COMPUTED_VALUE"""),"3 mos")</f>
        <v>3 mos</v>
      </c>
      <c r="H1580" s="1" t="str">
        <f>IFERROR(__xludf.DUMMYFUNCTION("""COMPUTED_VALUE"""),"reply")</f>
        <v>reply</v>
      </c>
      <c r="I1580" s="2" t="str">
        <f>IFERROR(__xludf.DUMMYFUNCTION("""COMPUTED_VALUE"""),"https://www.facebook.com/watch/live/?ref=watch_permalink&amp;v=332681445500650")</f>
        <v>https://www.facebook.com/watch/live/?ref=watch_permalink&amp;v=332681445500650</v>
      </c>
      <c r="J1580" s="1" t="str">
        <f>IFERROR(__xludf.DUMMYFUNCTION("""COMPUTED_VALUE"""),"2022-07-04T15:43:23.768Z")</f>
        <v>2022-07-04T15:43:23.768Z</v>
      </c>
      <c r="K1580" s="1"/>
    </row>
    <row r="1581">
      <c r="A1581" s="2" t="str">
        <f>IFERROR(__xludf.DUMMYFUNCTION("""COMPUTED_VALUE"""),"https://www.facebook.com/anabell.macalisang")</f>
        <v>https://www.facebook.com/anabell.macalisang</v>
      </c>
      <c r="B1581" s="1" t="str">
        <f>IFERROR(__xludf.DUMMYFUNCTION("""COMPUTED_VALUE"""),"Anabell Macalisang")</f>
        <v>Anabell Macalisang</v>
      </c>
      <c r="C1581" s="1" t="str">
        <f>IFERROR(__xludf.DUMMYFUNCTION("""COMPUTED_VALUE"""),"Anabell")</f>
        <v>Anabell</v>
      </c>
      <c r="D1581" s="1" t="str">
        <f>IFERROR(__xludf.DUMMYFUNCTION("""COMPUTED_VALUE"""),"Macalisang")</f>
        <v>Macalisang</v>
      </c>
      <c r="E1581" s="1" t="str">
        <f>IFERROR(__xludf.DUMMYFUNCTION("""COMPUTED_VALUE"""),"GLORY TO GOD!!!!")</f>
        <v>GLORY TO GOD!!!!</v>
      </c>
      <c r="F1581" s="1">
        <f>IFERROR(__xludf.DUMMYFUNCTION("""COMPUTED_VALUE"""),1.0)</f>
        <v>1</v>
      </c>
      <c r="G1581" s="1" t="str">
        <f>IFERROR(__xludf.DUMMYFUNCTION("""COMPUTED_VALUE"""),"3 mos")</f>
        <v>3 mos</v>
      </c>
      <c r="H1581" s="1" t="str">
        <f>IFERROR(__xludf.DUMMYFUNCTION("""COMPUTED_VALUE"""),"reply")</f>
        <v>reply</v>
      </c>
      <c r="I1581" s="2" t="str">
        <f>IFERROR(__xludf.DUMMYFUNCTION("""COMPUTED_VALUE"""),"https://www.facebook.com/watch/live/?ref=watch_permalink&amp;v=332681445500650")</f>
        <v>https://www.facebook.com/watch/live/?ref=watch_permalink&amp;v=332681445500650</v>
      </c>
      <c r="J1581" s="1" t="str">
        <f>IFERROR(__xludf.DUMMYFUNCTION("""COMPUTED_VALUE"""),"2022-07-04T15:43:23.768Z")</f>
        <v>2022-07-04T15:43:23.768Z</v>
      </c>
      <c r="K1581" s="1"/>
    </row>
    <row r="1582">
      <c r="A1582" s="2" t="str">
        <f>IFERROR(__xludf.DUMMYFUNCTION("""COMPUTED_VALUE"""),"https://www.facebook.com/profile.php?id=100011366202531")</f>
        <v>https://www.facebook.com/profile.php?id=100011366202531</v>
      </c>
      <c r="B1582" s="1" t="str">
        <f>IFERROR(__xludf.DUMMYFUNCTION("""COMPUTED_VALUE"""),"Francis Abel")</f>
        <v>Francis Abel</v>
      </c>
      <c r="C1582" s="1" t="str">
        <f>IFERROR(__xludf.DUMMYFUNCTION("""COMPUTED_VALUE"""),"Francis")</f>
        <v>Francis</v>
      </c>
      <c r="D1582" s="1" t="str">
        <f>IFERROR(__xludf.DUMMYFUNCTION("""COMPUTED_VALUE"""),"Abel")</f>
        <v>Abel</v>
      </c>
      <c r="E1582" s="1" t="str">
        <f>IFERROR(__xludf.DUMMYFUNCTION("""COMPUTED_VALUE"""),"She doesn't believe in Cancel Culture because everyone is important to her regardless of ones belief. She's a real public servant.")</f>
        <v>She doesn't believe in Cancel Culture because everyone is important to her regardless of ones belief. She's a real public servant.</v>
      </c>
      <c r="F1582" s="1">
        <f>IFERROR(__xludf.DUMMYFUNCTION("""COMPUTED_VALUE"""),111.0)</f>
        <v>111</v>
      </c>
      <c r="G1582" s="1" t="str">
        <f>IFERROR(__xludf.DUMMYFUNCTION("""COMPUTED_VALUE"""),"3 mos")</f>
        <v>3 mos</v>
      </c>
      <c r="H1582" s="1" t="str">
        <f>IFERROR(__xludf.DUMMYFUNCTION("""COMPUTED_VALUE"""),"comment")</f>
        <v>comment</v>
      </c>
      <c r="I1582" s="2" t="str">
        <f>IFERROR(__xludf.DUMMYFUNCTION("""COMPUTED_VALUE"""),"https://www.facebook.com/watch/live/?ref=watch_permalink&amp;v=332681445500650")</f>
        <v>https://www.facebook.com/watch/live/?ref=watch_permalink&amp;v=332681445500650</v>
      </c>
      <c r="J1582" s="1" t="str">
        <f>IFERROR(__xludf.DUMMYFUNCTION("""COMPUTED_VALUE"""),"2022-07-04T15:43:23.768Z")</f>
        <v>2022-07-04T15:43:23.768Z</v>
      </c>
      <c r="K1582" s="1"/>
    </row>
    <row r="1583">
      <c r="A1583" s="2" t="str">
        <f>IFERROR(__xludf.DUMMYFUNCTION("""COMPUTED_VALUE"""),"https://www.facebook.com/khlaire.pioquinto")</f>
        <v>https://www.facebook.com/khlaire.pioquinto</v>
      </c>
      <c r="B1583" s="1" t="str">
        <f>IFERROR(__xludf.DUMMYFUNCTION("""COMPUTED_VALUE"""),"Khlaire Pioquinto-Doble")</f>
        <v>Khlaire Pioquinto-Doble</v>
      </c>
      <c r="C1583" s="1" t="str">
        <f>IFERROR(__xludf.DUMMYFUNCTION("""COMPUTED_VALUE"""),"Khlaire")</f>
        <v>Khlaire</v>
      </c>
      <c r="D1583" s="1" t="str">
        <f>IFERROR(__xludf.DUMMYFUNCTION("""COMPUTED_VALUE"""),"Pioquinto-Doble")</f>
        <v>Pioquinto-Doble</v>
      </c>
      <c r="E1583" s="1" t="str">
        <f>IFERROR(__xludf.DUMMYFUNCTION("""COMPUTED_VALUE"""),"Francis Abel that’s right!")</f>
        <v>Francis Abel that’s right!</v>
      </c>
      <c r="F1583" s="1">
        <f>IFERROR(__xludf.DUMMYFUNCTION("""COMPUTED_VALUE"""),6.0)</f>
        <v>6</v>
      </c>
      <c r="G1583" s="1" t="str">
        <f>IFERROR(__xludf.DUMMYFUNCTION("""COMPUTED_VALUE"""),"3 mos")</f>
        <v>3 mos</v>
      </c>
      <c r="H1583" s="1" t="str">
        <f>IFERROR(__xludf.DUMMYFUNCTION("""COMPUTED_VALUE"""),"reply")</f>
        <v>reply</v>
      </c>
      <c r="I1583" s="2" t="str">
        <f>IFERROR(__xludf.DUMMYFUNCTION("""COMPUTED_VALUE"""),"https://www.facebook.com/watch/live/?ref=watch_permalink&amp;v=332681445500650")</f>
        <v>https://www.facebook.com/watch/live/?ref=watch_permalink&amp;v=332681445500650</v>
      </c>
      <c r="J1583" s="1" t="str">
        <f>IFERROR(__xludf.DUMMYFUNCTION("""COMPUTED_VALUE"""),"2022-07-04T15:43:23.768Z")</f>
        <v>2022-07-04T15:43:23.768Z</v>
      </c>
      <c r="K1583" s="1"/>
    </row>
    <row r="1584">
      <c r="A1584" s="2" t="str">
        <f>IFERROR(__xludf.DUMMYFUNCTION("""COMPUTED_VALUE"""),"https://www.facebook.com/marjorie.santillan.31")</f>
        <v>https://www.facebook.com/marjorie.santillan.31</v>
      </c>
      <c r="B1584" s="1" t="str">
        <f>IFERROR(__xludf.DUMMYFUNCTION("""COMPUTED_VALUE"""),"Marjorie Santillan")</f>
        <v>Marjorie Santillan</v>
      </c>
      <c r="C1584" s="1" t="str">
        <f>IFERROR(__xludf.DUMMYFUNCTION("""COMPUTED_VALUE"""),"Marjorie")</f>
        <v>Marjorie</v>
      </c>
      <c r="D1584" s="1" t="str">
        <f>IFERROR(__xludf.DUMMYFUNCTION("""COMPUTED_VALUE"""),"Santillan")</f>
        <v>Santillan</v>
      </c>
      <c r="E1584" s="1" t="str">
        <f>IFERROR(__xludf.DUMMYFUNCTION("""COMPUTED_VALUE"""),"YESSS...sana mapanood to ni Tony ROAR..🥰")</f>
        <v>YESSS...sana mapanood to ni Tony ROAR..🥰</v>
      </c>
      <c r="F1584" s="1">
        <f>IFERROR(__xludf.DUMMYFUNCTION("""COMPUTED_VALUE"""),4.0)</f>
        <v>4</v>
      </c>
      <c r="G1584" s="1" t="str">
        <f>IFERROR(__xludf.DUMMYFUNCTION("""COMPUTED_VALUE"""),"3 mos")</f>
        <v>3 mos</v>
      </c>
      <c r="H1584" s="1" t="str">
        <f>IFERROR(__xludf.DUMMYFUNCTION("""COMPUTED_VALUE"""),"reply")</f>
        <v>reply</v>
      </c>
      <c r="I1584" s="2" t="str">
        <f>IFERROR(__xludf.DUMMYFUNCTION("""COMPUTED_VALUE"""),"https://www.facebook.com/watch/live/?ref=watch_permalink&amp;v=332681445500650")</f>
        <v>https://www.facebook.com/watch/live/?ref=watch_permalink&amp;v=332681445500650</v>
      </c>
      <c r="J1584" s="1" t="str">
        <f>IFERROR(__xludf.DUMMYFUNCTION("""COMPUTED_VALUE"""),"2022-07-04T15:43:23.769Z")</f>
        <v>2022-07-04T15:43:23.769Z</v>
      </c>
      <c r="K1584" s="1"/>
    </row>
    <row r="1585">
      <c r="A1585" s="2" t="str">
        <f>IFERROR(__xludf.DUMMYFUNCTION("""COMPUTED_VALUE"""),"https://www.facebook.com/williambilly.kwong")</f>
        <v>https://www.facebook.com/williambilly.kwong</v>
      </c>
      <c r="B1585" s="1" t="str">
        <f>IFERROR(__xludf.DUMMYFUNCTION("""COMPUTED_VALUE"""),"William Billy Kwong")</f>
        <v>William Billy Kwong</v>
      </c>
      <c r="C1585" s="1" t="str">
        <f>IFERROR(__xludf.DUMMYFUNCTION("""COMPUTED_VALUE"""),"William")</f>
        <v>William</v>
      </c>
      <c r="D1585" s="1" t="str">
        <f>IFERROR(__xludf.DUMMYFUNCTION("""COMPUTED_VALUE"""),"Billy Kwong")</f>
        <v>Billy Kwong</v>
      </c>
      <c r="E1585" s="1" t="str">
        <f>IFERROR(__xludf.DUMMYFUNCTION("""COMPUTED_VALUE"""),"My and my family President Lenei Robredo.")</f>
        <v>My and my family President Lenei Robredo.</v>
      </c>
      <c r="F1585" s="1">
        <f>IFERROR(__xludf.DUMMYFUNCTION("""COMPUTED_VALUE"""),24.0)</f>
        <v>24</v>
      </c>
      <c r="G1585" s="1" t="str">
        <f>IFERROR(__xludf.DUMMYFUNCTION("""COMPUTED_VALUE"""),"3 mos")</f>
        <v>3 mos</v>
      </c>
      <c r="H1585" s="1" t="str">
        <f>IFERROR(__xludf.DUMMYFUNCTION("""COMPUTED_VALUE"""),"comment")</f>
        <v>comment</v>
      </c>
      <c r="I1585" s="2" t="str">
        <f>IFERROR(__xludf.DUMMYFUNCTION("""COMPUTED_VALUE"""),"https://www.facebook.com/watch/live/?ref=watch_permalink&amp;v=332681445500650")</f>
        <v>https://www.facebook.com/watch/live/?ref=watch_permalink&amp;v=332681445500650</v>
      </c>
      <c r="J1585" s="1" t="str">
        <f>IFERROR(__xludf.DUMMYFUNCTION("""COMPUTED_VALUE"""),"2022-07-04T15:43:23.769Z")</f>
        <v>2022-07-04T15:43:23.769Z</v>
      </c>
      <c r="K1585" s="1"/>
    </row>
    <row r="1586">
      <c r="A1586" s="2" t="str">
        <f>IFERROR(__xludf.DUMMYFUNCTION("""COMPUTED_VALUE"""),"https://www.facebook.com/madz.flores.18")</f>
        <v>https://www.facebook.com/madz.flores.18</v>
      </c>
      <c r="B1586" s="1" t="str">
        <f>IFERROR(__xludf.DUMMYFUNCTION("""COMPUTED_VALUE"""),"Madz Flores")</f>
        <v>Madz Flores</v>
      </c>
      <c r="C1586" s="1" t="str">
        <f>IFERROR(__xludf.DUMMYFUNCTION("""COMPUTED_VALUE"""),"Madz")</f>
        <v>Madz</v>
      </c>
      <c r="D1586" s="1" t="str">
        <f>IFERROR(__xludf.DUMMYFUNCTION("""COMPUTED_VALUE"""),"Flores")</f>
        <v>Flores</v>
      </c>
      <c r="E1586" s="1" t="str">
        <f>IFERROR(__xludf.DUMMYFUNCTION("""COMPUTED_VALUE"""),"I quote “ the most important ingredient of a leader is character.”")</f>
        <v>I quote “ the most important ingredient of a leader is character.”</v>
      </c>
      <c r="F1586" s="1">
        <f>IFERROR(__xludf.DUMMYFUNCTION("""COMPUTED_VALUE"""),143.0)</f>
        <v>143</v>
      </c>
      <c r="G1586" s="1" t="str">
        <f>IFERROR(__xludf.DUMMYFUNCTION("""COMPUTED_VALUE"""),"3 mos")</f>
        <v>3 mos</v>
      </c>
      <c r="H1586" s="1" t="str">
        <f>IFERROR(__xludf.DUMMYFUNCTION("""COMPUTED_VALUE"""),"comment")</f>
        <v>comment</v>
      </c>
      <c r="I1586" s="2" t="str">
        <f>IFERROR(__xludf.DUMMYFUNCTION("""COMPUTED_VALUE"""),"https://www.facebook.com/watch/live/?ref=watch_permalink&amp;v=332681445500650")</f>
        <v>https://www.facebook.com/watch/live/?ref=watch_permalink&amp;v=332681445500650</v>
      </c>
      <c r="J1586" s="1" t="str">
        <f>IFERROR(__xludf.DUMMYFUNCTION("""COMPUTED_VALUE"""),"2022-07-04T15:43:23.769Z")</f>
        <v>2022-07-04T15:43:23.769Z</v>
      </c>
      <c r="K1586" s="1"/>
    </row>
    <row r="1587">
      <c r="A1587" s="2" t="str">
        <f>IFERROR(__xludf.DUMMYFUNCTION("""COMPUTED_VALUE"""),"https://www.facebook.com/germie.arandia")</f>
        <v>https://www.facebook.com/germie.arandia</v>
      </c>
      <c r="B1587" s="1" t="str">
        <f>IFERROR(__xludf.DUMMYFUNCTION("""COMPUTED_VALUE"""),"Germie Arandia")</f>
        <v>Germie Arandia</v>
      </c>
      <c r="C1587" s="1" t="str">
        <f>IFERROR(__xludf.DUMMYFUNCTION("""COMPUTED_VALUE"""),"Germie")</f>
        <v>Germie</v>
      </c>
      <c r="D1587" s="1" t="str">
        <f>IFERROR(__xludf.DUMMYFUNCTION("""COMPUTED_VALUE"""),"Arandia")</f>
        <v>Arandia</v>
      </c>
      <c r="E1587" s="1" t="str">
        <f>IFERROR(__xludf.DUMMYFUNCTION("""COMPUTED_VALUE"""),"Madz Flores  and moral principles")</f>
        <v>Madz Flores  and moral principles</v>
      </c>
      <c r="F1587" s="1">
        <f>IFERROR(__xludf.DUMMYFUNCTION("""COMPUTED_VALUE"""),12.0)</f>
        <v>12</v>
      </c>
      <c r="G1587" s="1" t="str">
        <f>IFERROR(__xludf.DUMMYFUNCTION("""COMPUTED_VALUE"""),"3 mos")</f>
        <v>3 mos</v>
      </c>
      <c r="H1587" s="1" t="str">
        <f>IFERROR(__xludf.DUMMYFUNCTION("""COMPUTED_VALUE"""),"reply")</f>
        <v>reply</v>
      </c>
      <c r="I1587" s="2" t="str">
        <f>IFERROR(__xludf.DUMMYFUNCTION("""COMPUTED_VALUE"""),"https://www.facebook.com/watch/live/?ref=watch_permalink&amp;v=332681445500650")</f>
        <v>https://www.facebook.com/watch/live/?ref=watch_permalink&amp;v=332681445500650</v>
      </c>
      <c r="J1587" s="1" t="str">
        <f>IFERROR(__xludf.DUMMYFUNCTION("""COMPUTED_VALUE"""),"2022-07-04T15:43:23.769Z")</f>
        <v>2022-07-04T15:43:23.769Z</v>
      </c>
      <c r="K1587" s="1"/>
    </row>
    <row r="1588">
      <c r="A1588" s="2" t="str">
        <f>IFERROR(__xludf.DUMMYFUNCTION("""COMPUTED_VALUE"""),"https://www.facebook.com/profile.php?id=100078433647836")</f>
        <v>https://www.facebook.com/profile.php?id=100078433647836</v>
      </c>
      <c r="B1588" s="1" t="str">
        <f>IFERROR(__xludf.DUMMYFUNCTION("""COMPUTED_VALUE"""),"Melinda Rosario")</f>
        <v>Melinda Rosario</v>
      </c>
      <c r="C1588" s="1" t="str">
        <f>IFERROR(__xludf.DUMMYFUNCTION("""COMPUTED_VALUE"""),"Melinda")</f>
        <v>Melinda</v>
      </c>
      <c r="D1588" s="1" t="str">
        <f>IFERROR(__xludf.DUMMYFUNCTION("""COMPUTED_VALUE"""),"Rosario")</f>
        <v>Rosario</v>
      </c>
      <c r="E1588" s="1" t="str">
        <f>IFERROR(__xludf.DUMMYFUNCTION("""COMPUTED_VALUE"""),"Madz Flores agree!!! #LetLeniLead")</f>
        <v>Madz Flores agree!!! #LetLeniLead</v>
      </c>
      <c r="F1588" s="1">
        <f>IFERROR(__xludf.DUMMYFUNCTION("""COMPUTED_VALUE"""),1.0)</f>
        <v>1</v>
      </c>
      <c r="G1588" s="1" t="str">
        <f>IFERROR(__xludf.DUMMYFUNCTION("""COMPUTED_VALUE"""),"3 mos")</f>
        <v>3 mos</v>
      </c>
      <c r="H1588" s="1" t="str">
        <f>IFERROR(__xludf.DUMMYFUNCTION("""COMPUTED_VALUE"""),"reply")</f>
        <v>reply</v>
      </c>
      <c r="I1588" s="2" t="str">
        <f>IFERROR(__xludf.DUMMYFUNCTION("""COMPUTED_VALUE"""),"https://www.facebook.com/watch/live/?ref=watch_permalink&amp;v=332681445500650")</f>
        <v>https://www.facebook.com/watch/live/?ref=watch_permalink&amp;v=332681445500650</v>
      </c>
      <c r="J1588" s="1" t="str">
        <f>IFERROR(__xludf.DUMMYFUNCTION("""COMPUTED_VALUE"""),"2022-07-04T15:43:23.769Z")</f>
        <v>2022-07-04T15:43:23.769Z</v>
      </c>
      <c r="K1588" s="1"/>
    </row>
    <row r="1589">
      <c r="A1589" s="2" t="str">
        <f>IFERROR(__xludf.DUMMYFUNCTION("""COMPUTED_VALUE"""),"https://www.facebook.com/profile.php?id=100077975515176")</f>
        <v>https://www.facebook.com/profile.php?id=100077975515176</v>
      </c>
      <c r="B1589" s="1" t="str">
        <f>IFERROR(__xludf.DUMMYFUNCTION("""COMPUTED_VALUE"""),"David Yulinco")</f>
        <v>David Yulinco</v>
      </c>
      <c r="C1589" s="1" t="str">
        <f>IFERROR(__xludf.DUMMYFUNCTION("""COMPUTED_VALUE"""),"David")</f>
        <v>David</v>
      </c>
      <c r="D1589" s="1" t="str">
        <f>IFERROR(__xludf.DUMMYFUNCTION("""COMPUTED_VALUE"""),"Yulinco")</f>
        <v>Yulinco</v>
      </c>
      <c r="E1589" s="1" t="str">
        <f>IFERROR(__xludf.DUMMYFUNCTION("""COMPUTED_VALUE"""),"Madz Flores tamaaa!! #10RobredoPresident")</f>
        <v>Madz Flores tamaaa!! #10RobredoPresident</v>
      </c>
      <c r="F1589" s="1">
        <f>IFERROR(__xludf.DUMMYFUNCTION("""COMPUTED_VALUE"""),2.0)</f>
        <v>2</v>
      </c>
      <c r="G1589" s="1" t="str">
        <f>IFERROR(__xludf.DUMMYFUNCTION("""COMPUTED_VALUE"""),"3 mos")</f>
        <v>3 mos</v>
      </c>
      <c r="H1589" s="1" t="str">
        <f>IFERROR(__xludf.DUMMYFUNCTION("""COMPUTED_VALUE"""),"reply")</f>
        <v>reply</v>
      </c>
      <c r="I1589" s="2" t="str">
        <f>IFERROR(__xludf.DUMMYFUNCTION("""COMPUTED_VALUE"""),"https://www.facebook.com/watch/live/?ref=watch_permalink&amp;v=332681445500650")</f>
        <v>https://www.facebook.com/watch/live/?ref=watch_permalink&amp;v=332681445500650</v>
      </c>
      <c r="J1589" s="1" t="str">
        <f>IFERROR(__xludf.DUMMYFUNCTION("""COMPUTED_VALUE"""),"2022-07-04T15:43:23.769Z")</f>
        <v>2022-07-04T15:43:23.769Z</v>
      </c>
      <c r="K1589" s="1"/>
    </row>
    <row r="1590">
      <c r="A1590" s="2" t="str">
        <f>IFERROR(__xludf.DUMMYFUNCTION("""COMPUTED_VALUE"""),"https://www.facebook.com/marela.alinea")</f>
        <v>https://www.facebook.com/marela.alinea</v>
      </c>
      <c r="B1590" s="1" t="str">
        <f>IFERROR(__xludf.DUMMYFUNCTION("""COMPUTED_VALUE"""),"Marela Reyes Alinea")</f>
        <v>Marela Reyes Alinea</v>
      </c>
      <c r="C1590" s="1" t="str">
        <f>IFERROR(__xludf.DUMMYFUNCTION("""COMPUTED_VALUE"""),"Marela")</f>
        <v>Marela</v>
      </c>
      <c r="D1590" s="1" t="str">
        <f>IFERROR(__xludf.DUMMYFUNCTION("""COMPUTED_VALUE"""),"Reyes Alinea")</f>
        <v>Reyes Alinea</v>
      </c>
      <c r="E1590" s="1" t="str">
        <f>IFERROR(__xludf.DUMMYFUNCTION("""COMPUTED_VALUE"""),"Thank you Mara for the interesting questions ;)#LetLeniLead #IpanaloNa10To  #LeniKiko2022")</f>
        <v>Thank you Mara for the interesting questions ;)#LetLeniLead #IpanaloNa10To  #LeniKiko2022</v>
      </c>
      <c r="F1590" s="1">
        <f>IFERROR(__xludf.DUMMYFUNCTION("""COMPUTED_VALUE"""),12.0)</f>
        <v>12</v>
      </c>
      <c r="G1590" s="1" t="str">
        <f>IFERROR(__xludf.DUMMYFUNCTION("""COMPUTED_VALUE"""),"3 mos")</f>
        <v>3 mos</v>
      </c>
      <c r="H1590" s="1" t="str">
        <f>IFERROR(__xludf.DUMMYFUNCTION("""COMPUTED_VALUE"""),"comment")</f>
        <v>comment</v>
      </c>
      <c r="I1590" s="2" t="str">
        <f>IFERROR(__xludf.DUMMYFUNCTION("""COMPUTED_VALUE"""),"https://www.facebook.com/watch/live/?ref=watch_permalink&amp;v=332681445500650")</f>
        <v>https://www.facebook.com/watch/live/?ref=watch_permalink&amp;v=332681445500650</v>
      </c>
      <c r="J1590" s="1" t="str">
        <f>IFERROR(__xludf.DUMMYFUNCTION("""COMPUTED_VALUE"""),"2022-07-04T15:43:23.769Z")</f>
        <v>2022-07-04T15:43:23.769Z</v>
      </c>
      <c r="K1590" s="1"/>
    </row>
    <row r="1591">
      <c r="A1591" s="2" t="str">
        <f>IFERROR(__xludf.DUMMYFUNCTION("""COMPUTED_VALUE"""),"https://www.facebook.com/mutia.joyce.1")</f>
        <v>https://www.facebook.com/mutia.joyce.1</v>
      </c>
      <c r="B1591" s="1" t="str">
        <f>IFERROR(__xludf.DUMMYFUNCTION("""COMPUTED_VALUE"""),"Mutia Joyce")</f>
        <v>Mutia Joyce</v>
      </c>
      <c r="C1591" s="1" t="str">
        <f>IFERROR(__xludf.DUMMYFUNCTION("""COMPUTED_VALUE"""),"Mutia")</f>
        <v>Mutia</v>
      </c>
      <c r="D1591" s="1" t="str">
        <f>IFERROR(__xludf.DUMMYFUNCTION("""COMPUTED_VALUE"""),"Joyce")</f>
        <v>Joyce</v>
      </c>
      <c r="E1591" s="1" t="str">
        <f>IFERROR(__xludf.DUMMYFUNCTION("""COMPUTED_VALUE"""),"God bless and protect you always VPLeni,our next President! 💗💗💗💗💗💗💗💗")</f>
        <v>God bless and protect you always VPLeni,our next President! 💗💗💗💗💗💗💗💗</v>
      </c>
      <c r="F1591" s="1">
        <f>IFERROR(__xludf.DUMMYFUNCTION("""COMPUTED_VALUE"""),2.0)</f>
        <v>2</v>
      </c>
      <c r="G1591" s="1" t="str">
        <f>IFERROR(__xludf.DUMMYFUNCTION("""COMPUTED_VALUE"""),"3 mos")</f>
        <v>3 mos</v>
      </c>
      <c r="H1591" s="1" t="str">
        <f>IFERROR(__xludf.DUMMYFUNCTION("""COMPUTED_VALUE"""),"comment")</f>
        <v>comment</v>
      </c>
      <c r="I1591" s="2" t="str">
        <f>IFERROR(__xludf.DUMMYFUNCTION("""COMPUTED_VALUE"""),"https://www.facebook.com/watch/live/?ref=watch_permalink&amp;v=332681445500650")</f>
        <v>https://www.facebook.com/watch/live/?ref=watch_permalink&amp;v=332681445500650</v>
      </c>
      <c r="J1591" s="1" t="str">
        <f>IFERROR(__xludf.DUMMYFUNCTION("""COMPUTED_VALUE"""),"2022-07-04T15:43:23.769Z")</f>
        <v>2022-07-04T15:43:23.769Z</v>
      </c>
      <c r="K1591" s="1"/>
    </row>
    <row r="1592">
      <c r="A1592" s="2" t="str">
        <f>IFERROR(__xludf.DUMMYFUNCTION("""COMPUTED_VALUE"""),"https://www.facebook.com/tammy.aldezaafrica")</f>
        <v>https://www.facebook.com/tammy.aldezaafrica</v>
      </c>
      <c r="B1592" s="1" t="str">
        <f>IFERROR(__xludf.DUMMYFUNCTION("""COMPUTED_VALUE"""),"Tammy AAfrica")</f>
        <v>Tammy AAfrica</v>
      </c>
      <c r="C1592" s="1" t="str">
        <f>IFERROR(__xludf.DUMMYFUNCTION("""COMPUTED_VALUE"""),"Tammy")</f>
        <v>Tammy</v>
      </c>
      <c r="D1592" s="1" t="str">
        <f>IFERROR(__xludf.DUMMYFUNCTION("""COMPUTED_VALUE"""),"AAfrica")</f>
        <v>AAfrica</v>
      </c>
      <c r="E1592" s="1" t="str">
        <f>IFERROR(__xludf.DUMMYFUNCTION("""COMPUTED_VALUE"""),"Praying for your health and safety always po my President 💗💗💗")</f>
        <v>Praying for your health and safety always po my President 💗💗💗</v>
      </c>
      <c r="F1592" s="1">
        <f>IFERROR(__xludf.DUMMYFUNCTION("""COMPUTED_VALUE"""),65.0)</f>
        <v>65</v>
      </c>
      <c r="G1592" s="1" t="str">
        <f>IFERROR(__xludf.DUMMYFUNCTION("""COMPUTED_VALUE"""),"3 mos")</f>
        <v>3 mos</v>
      </c>
      <c r="H1592" s="1" t="str">
        <f>IFERROR(__xludf.DUMMYFUNCTION("""COMPUTED_VALUE"""),"comment")</f>
        <v>comment</v>
      </c>
      <c r="I1592" s="2" t="str">
        <f>IFERROR(__xludf.DUMMYFUNCTION("""COMPUTED_VALUE"""),"https://www.facebook.com/watch/live/?ref=watch_permalink&amp;v=332681445500650")</f>
        <v>https://www.facebook.com/watch/live/?ref=watch_permalink&amp;v=332681445500650</v>
      </c>
      <c r="J1592" s="1" t="str">
        <f>IFERROR(__xludf.DUMMYFUNCTION("""COMPUTED_VALUE"""),"2022-07-04T15:43:23.769Z")</f>
        <v>2022-07-04T15:43:23.769Z</v>
      </c>
      <c r="K1592" s="1"/>
    </row>
    <row r="1593">
      <c r="A1593" s="2" t="str">
        <f>IFERROR(__xludf.DUMMYFUNCTION("""COMPUTED_VALUE"""),"https://www.facebook.com/steph.dannugcadelina")</f>
        <v>https://www.facebook.com/steph.dannugcadelina</v>
      </c>
      <c r="B1593" s="1" t="str">
        <f>IFERROR(__xludf.DUMMYFUNCTION("""COMPUTED_VALUE"""),"Ñalideca Dannug Stephanie")</f>
        <v>Ñalideca Dannug Stephanie</v>
      </c>
      <c r="C1593" s="1" t="str">
        <f>IFERROR(__xludf.DUMMYFUNCTION("""COMPUTED_VALUE"""),"Ñalideca")</f>
        <v>Ñalideca</v>
      </c>
      <c r="D1593" s="1" t="str">
        <f>IFERROR(__xludf.DUMMYFUNCTION("""COMPUTED_VALUE"""),"Dannug Stephanie")</f>
        <v>Dannug Stephanie</v>
      </c>
      <c r="E1593" s="1" t="str">
        <f>IFERROR(__xludf.DUMMYFUNCTION("""COMPUTED_VALUE"""),"Tammy AAfrica Amen🙏💕")</f>
        <v>Tammy AAfrica Amen🙏💕</v>
      </c>
      <c r="F1593" s="1">
        <f>IFERROR(__xludf.DUMMYFUNCTION("""COMPUTED_VALUE"""),5.0)</f>
        <v>5</v>
      </c>
      <c r="G1593" s="1" t="str">
        <f>IFERROR(__xludf.DUMMYFUNCTION("""COMPUTED_VALUE"""),"3 mos")</f>
        <v>3 mos</v>
      </c>
      <c r="H1593" s="1" t="str">
        <f>IFERROR(__xludf.DUMMYFUNCTION("""COMPUTED_VALUE"""),"reply")</f>
        <v>reply</v>
      </c>
      <c r="I1593" s="2" t="str">
        <f>IFERROR(__xludf.DUMMYFUNCTION("""COMPUTED_VALUE"""),"https://www.facebook.com/watch/live/?ref=watch_permalink&amp;v=332681445500650")</f>
        <v>https://www.facebook.com/watch/live/?ref=watch_permalink&amp;v=332681445500650</v>
      </c>
      <c r="J1593" s="1" t="str">
        <f>IFERROR(__xludf.DUMMYFUNCTION("""COMPUTED_VALUE"""),"2022-07-04T15:43:23.769Z")</f>
        <v>2022-07-04T15:43:23.769Z</v>
      </c>
      <c r="K1593" s="1"/>
    </row>
    <row r="1594">
      <c r="A1594" s="2" t="str">
        <f>IFERROR(__xludf.DUMMYFUNCTION("""COMPUTED_VALUE"""),"https://www.facebook.com/mar.freedom.35")</f>
        <v>https://www.facebook.com/mar.freedom.35</v>
      </c>
      <c r="B1594" s="1" t="str">
        <f>IFERROR(__xludf.DUMMYFUNCTION("""COMPUTED_VALUE"""),"Mar Freebie")</f>
        <v>Mar Freebie</v>
      </c>
      <c r="C1594" s="1" t="str">
        <f>IFERROR(__xludf.DUMMYFUNCTION("""COMPUTED_VALUE"""),"Mar")</f>
        <v>Mar</v>
      </c>
      <c r="D1594" s="1" t="str">
        <f>IFERROR(__xludf.DUMMYFUNCTION("""COMPUTED_VALUE"""),"Freebie")</f>
        <v>Freebie</v>
      </c>
      <c r="E1594" s="1" t="str">
        <f>IFERROR(__xludf.DUMMYFUNCTION("""COMPUTED_VALUE"""),"We are very proud you, Madam President.")</f>
        <v>We are very proud you, Madam President.</v>
      </c>
      <c r="F1594" s="1">
        <f>IFERROR(__xludf.DUMMYFUNCTION("""COMPUTED_VALUE"""),45.0)</f>
        <v>45</v>
      </c>
      <c r="G1594" s="1" t="str">
        <f>IFERROR(__xludf.DUMMYFUNCTION("""COMPUTED_VALUE"""),"3 mos")</f>
        <v>3 mos</v>
      </c>
      <c r="H1594" s="1" t="str">
        <f>IFERROR(__xludf.DUMMYFUNCTION("""COMPUTED_VALUE"""),"comment")</f>
        <v>comment</v>
      </c>
      <c r="I1594" s="2" t="str">
        <f>IFERROR(__xludf.DUMMYFUNCTION("""COMPUTED_VALUE"""),"https://www.facebook.com/watch/live/?ref=watch_permalink&amp;v=332681445500650")</f>
        <v>https://www.facebook.com/watch/live/?ref=watch_permalink&amp;v=332681445500650</v>
      </c>
      <c r="J1594" s="1" t="str">
        <f>IFERROR(__xludf.DUMMYFUNCTION("""COMPUTED_VALUE"""),"2022-07-04T15:43:23.769Z")</f>
        <v>2022-07-04T15:43:23.769Z</v>
      </c>
      <c r="K1594" s="1"/>
    </row>
    <row r="1595">
      <c r="A1595" s="2" t="str">
        <f>IFERROR(__xludf.DUMMYFUNCTION("""COMPUTED_VALUE"""),"https://www.facebook.com/profile.php?id=100011416980940")</f>
        <v>https://www.facebook.com/profile.php?id=100011416980940</v>
      </c>
      <c r="B1595" s="1" t="str">
        <f>IFERROR(__xludf.DUMMYFUNCTION("""COMPUTED_VALUE"""),"Daday DL")</f>
        <v>Daday DL</v>
      </c>
      <c r="C1595" s="1" t="str">
        <f>IFERROR(__xludf.DUMMYFUNCTION("""COMPUTED_VALUE"""),"Daday")</f>
        <v>Daday</v>
      </c>
      <c r="D1595" s="1" t="str">
        <f>IFERROR(__xludf.DUMMYFUNCTION("""COMPUTED_VALUE"""),"DL")</f>
        <v>DL</v>
      </c>
      <c r="E1595" s="1" t="str">
        <f>IFERROR(__xludf.DUMMYFUNCTION("""COMPUTED_VALUE"""),"Namamalantsa! Hindi sya senyorita! She is as ordinary as any of us yet she can give the right leadership that inspires people to follow . Because she leads by example")</f>
        <v>Namamalantsa! Hindi sya senyorita! She is as ordinary as any of us yet she can give the right leadership that inspires people to follow . Because she leads by example</v>
      </c>
      <c r="F1595" s="1">
        <f>IFERROR(__xludf.DUMMYFUNCTION("""COMPUTED_VALUE"""),35.0)</f>
        <v>35</v>
      </c>
      <c r="G1595" s="1" t="str">
        <f>IFERROR(__xludf.DUMMYFUNCTION("""COMPUTED_VALUE"""),"3 mos")</f>
        <v>3 mos</v>
      </c>
      <c r="H1595" s="1" t="str">
        <f>IFERROR(__xludf.DUMMYFUNCTION("""COMPUTED_VALUE"""),"comment")</f>
        <v>comment</v>
      </c>
      <c r="I1595" s="2" t="str">
        <f>IFERROR(__xludf.DUMMYFUNCTION("""COMPUTED_VALUE"""),"https://www.facebook.com/watch/live/?ref=watch_permalink&amp;v=332681445500650")</f>
        <v>https://www.facebook.com/watch/live/?ref=watch_permalink&amp;v=332681445500650</v>
      </c>
      <c r="J1595" s="1" t="str">
        <f>IFERROR(__xludf.DUMMYFUNCTION("""COMPUTED_VALUE"""),"2022-07-04T15:43:23.769Z")</f>
        <v>2022-07-04T15:43:23.769Z</v>
      </c>
      <c r="K1595" s="1"/>
    </row>
    <row r="1596">
      <c r="A1596" s="2" t="str">
        <f>IFERROR(__xludf.DUMMYFUNCTION("""COMPUTED_VALUE"""),"https://www.facebook.com/profile.php?id=100018941223924")</f>
        <v>https://www.facebook.com/profile.php?id=100018941223924</v>
      </c>
      <c r="B1596" s="1" t="str">
        <f>IFERROR(__xludf.DUMMYFUNCTION("""COMPUTED_VALUE"""),"Ad Majorem Dei Gloriam")</f>
        <v>Ad Majorem Dei Gloriam</v>
      </c>
      <c r="C1596" s="1" t="str">
        <f>IFERROR(__xludf.DUMMYFUNCTION("""COMPUTED_VALUE"""),"Ad")</f>
        <v>Ad</v>
      </c>
      <c r="D1596" s="1" t="str">
        <f>IFERROR(__xludf.DUMMYFUNCTION("""COMPUTED_VALUE"""),"Majorem Dei Gloriam")</f>
        <v>Majorem Dei Gloriam</v>
      </c>
      <c r="E1596" s="1" t="str">
        <f>IFERROR(__xludf.DUMMYFUNCTION("""COMPUTED_VALUE"""),"I’m thirsting to bring back DECENCY, TRANSPARENCY, GOOD GOVERNANCE , ACCOUNTABILITY and DEMOCRACY , let LENIKIKO 2022 lead watching from Anchorage, Alaska USA")</f>
        <v>I’m thirsting to bring back DECENCY, TRANSPARENCY, GOOD GOVERNANCE , ACCOUNTABILITY and DEMOCRACY , let LENIKIKO 2022 lead watching from Anchorage, Alaska USA</v>
      </c>
      <c r="F1596" s="1">
        <f>IFERROR(__xludf.DUMMYFUNCTION("""COMPUTED_VALUE"""),7.0)</f>
        <v>7</v>
      </c>
      <c r="G1596" s="1" t="str">
        <f>IFERROR(__xludf.DUMMYFUNCTION("""COMPUTED_VALUE"""),"3 mos")</f>
        <v>3 mos</v>
      </c>
      <c r="H1596" s="1" t="str">
        <f>IFERROR(__xludf.DUMMYFUNCTION("""COMPUTED_VALUE"""),"comment")</f>
        <v>comment</v>
      </c>
      <c r="I1596" s="2" t="str">
        <f>IFERROR(__xludf.DUMMYFUNCTION("""COMPUTED_VALUE"""),"https://www.facebook.com/watch/live/?ref=watch_permalink&amp;v=332681445500650")</f>
        <v>https://www.facebook.com/watch/live/?ref=watch_permalink&amp;v=332681445500650</v>
      </c>
      <c r="J1596" s="1" t="str">
        <f>IFERROR(__xludf.DUMMYFUNCTION("""COMPUTED_VALUE"""),"2022-07-04T15:43:23.769Z")</f>
        <v>2022-07-04T15:43:23.769Z</v>
      </c>
      <c r="K1596" s="1"/>
    </row>
    <row r="1597">
      <c r="A1597" s="2" t="str">
        <f>IFERROR(__xludf.DUMMYFUNCTION("""COMPUTED_VALUE"""),"https://www.facebook.com/nikka.santos")</f>
        <v>https://www.facebook.com/nikka.santos</v>
      </c>
      <c r="B1597" s="1" t="str">
        <f>IFERROR(__xludf.DUMMYFUNCTION("""COMPUTED_VALUE"""),"Nikka Santos")</f>
        <v>Nikka Santos</v>
      </c>
      <c r="C1597" s="1" t="str">
        <f>IFERROR(__xludf.DUMMYFUNCTION("""COMPUTED_VALUE"""),"Nikka")</f>
        <v>Nikka</v>
      </c>
      <c r="D1597" s="1" t="str">
        <f>IFERROR(__xludf.DUMMYFUNCTION("""COMPUTED_VALUE"""),"Santos")</f>
        <v>Santos</v>
      </c>
      <c r="E1597" s="1" t="str">
        <f>IFERROR(__xludf.DUMMYFUNCTION("""COMPUTED_VALUE"""),"Leadership personified 💖 #LeniKiko2022 #AngatBuhayLahat #LeniRobredo")</f>
        <v>Leadership personified 💖 #LeniKiko2022 #AngatBuhayLahat #LeniRobredo</v>
      </c>
      <c r="F1597" s="1">
        <f>IFERROR(__xludf.DUMMYFUNCTION("""COMPUTED_VALUE"""),7.0)</f>
        <v>7</v>
      </c>
      <c r="G1597" s="1" t="str">
        <f>IFERROR(__xludf.DUMMYFUNCTION("""COMPUTED_VALUE"""),"3 mos")</f>
        <v>3 mos</v>
      </c>
      <c r="H1597" s="1" t="str">
        <f>IFERROR(__xludf.DUMMYFUNCTION("""COMPUTED_VALUE"""),"comment")</f>
        <v>comment</v>
      </c>
      <c r="I1597" s="2" t="str">
        <f>IFERROR(__xludf.DUMMYFUNCTION("""COMPUTED_VALUE"""),"https://www.facebook.com/watch/live/?ref=watch_permalink&amp;v=332681445500650")</f>
        <v>https://www.facebook.com/watch/live/?ref=watch_permalink&amp;v=332681445500650</v>
      </c>
      <c r="J1597" s="1" t="str">
        <f>IFERROR(__xludf.DUMMYFUNCTION("""COMPUTED_VALUE"""),"2022-07-04T15:43:23.769Z")</f>
        <v>2022-07-04T15:43:23.769Z</v>
      </c>
      <c r="K1597" s="1"/>
    </row>
    <row r="1598">
      <c r="A1598" s="2" t="str">
        <f>IFERROR(__xludf.DUMMYFUNCTION("""COMPUTED_VALUE"""),"https://www.facebook.com/vito.bose.5")</f>
        <v>https://www.facebook.com/vito.bose.5</v>
      </c>
      <c r="B1598" s="1" t="str">
        <f>IFERROR(__xludf.DUMMYFUNCTION("""COMPUTED_VALUE"""),"Vito Bose")</f>
        <v>Vito Bose</v>
      </c>
      <c r="C1598" s="1" t="str">
        <f>IFERROR(__xludf.DUMMYFUNCTION("""COMPUTED_VALUE"""),"Vito")</f>
        <v>Vito</v>
      </c>
      <c r="D1598" s="1" t="str">
        <f>IFERROR(__xludf.DUMMYFUNCTION("""COMPUTED_VALUE"""),"Bose")</f>
        <v>Bose</v>
      </c>
      <c r="E1598" s="1" t="str">
        <f>IFERROR(__xludf.DUMMYFUNCTION("""COMPUTED_VALUE"""),"I feel great helping VPLeni &amp; Kiko financially or otherwise  in their campaign to be our next President and Vice President comes May 2022! 💗💗💗🇵🇭")</f>
        <v>I feel great helping VPLeni &amp; Kiko financially or otherwise  in their campaign to be our next President and Vice President comes May 2022! 💗💗💗🇵🇭</v>
      </c>
      <c r="F1598" s="1">
        <f>IFERROR(__xludf.DUMMYFUNCTION("""COMPUTED_VALUE"""),10.0)</f>
        <v>10</v>
      </c>
      <c r="G1598" s="1" t="str">
        <f>IFERROR(__xludf.DUMMYFUNCTION("""COMPUTED_VALUE"""),"3 mos")</f>
        <v>3 mos</v>
      </c>
      <c r="H1598" s="1" t="str">
        <f>IFERROR(__xludf.DUMMYFUNCTION("""COMPUTED_VALUE"""),"comment")</f>
        <v>comment</v>
      </c>
      <c r="I1598" s="2" t="str">
        <f>IFERROR(__xludf.DUMMYFUNCTION("""COMPUTED_VALUE"""),"https://www.facebook.com/watch/live/?ref=watch_permalink&amp;v=332681445500650")</f>
        <v>https://www.facebook.com/watch/live/?ref=watch_permalink&amp;v=332681445500650</v>
      </c>
      <c r="J1598" s="1" t="str">
        <f>IFERROR(__xludf.DUMMYFUNCTION("""COMPUTED_VALUE"""),"2022-07-04T15:43:23.769Z")</f>
        <v>2022-07-04T15:43:23.769Z</v>
      </c>
      <c r="K1598" s="1"/>
    </row>
    <row r="1599">
      <c r="A1599" s="2" t="str">
        <f>IFERROR(__xludf.DUMMYFUNCTION("""COMPUTED_VALUE"""),"https://www.facebook.com/del.ching")</f>
        <v>https://www.facebook.com/del.ching</v>
      </c>
      <c r="B1599" s="1" t="str">
        <f>IFERROR(__xludf.DUMMYFUNCTION("""COMPUTED_VALUE"""),"MaDelia Cching")</f>
        <v>MaDelia Cching</v>
      </c>
      <c r="C1599" s="1" t="str">
        <f>IFERROR(__xludf.DUMMYFUNCTION("""COMPUTED_VALUE"""),"MaDelia")</f>
        <v>MaDelia</v>
      </c>
      <c r="D1599" s="1" t="str">
        <f>IFERROR(__xludf.DUMMYFUNCTION("""COMPUTED_VALUE"""),"Cching")</f>
        <v>Cching</v>
      </c>
      <c r="E1599" s="1" t="str">
        <f>IFERROR(__xludf.DUMMYFUNCTION("""COMPUTED_VALUE"""),"I 💗 LENI2022 GOD cover you always from all evils of this earth🙏🙏🙏")</f>
        <v>I 💗 LENI2022 GOD cover you always from all evils of this earth🙏🙏🙏</v>
      </c>
      <c r="F1599" s="1">
        <f>IFERROR(__xludf.DUMMYFUNCTION("""COMPUTED_VALUE"""),5.0)</f>
        <v>5</v>
      </c>
      <c r="G1599" s="1" t="str">
        <f>IFERROR(__xludf.DUMMYFUNCTION("""COMPUTED_VALUE"""),"3 mos")</f>
        <v>3 mos</v>
      </c>
      <c r="H1599" s="1" t="str">
        <f>IFERROR(__xludf.DUMMYFUNCTION("""COMPUTED_VALUE"""),"comment")</f>
        <v>comment</v>
      </c>
      <c r="I1599" s="2" t="str">
        <f>IFERROR(__xludf.DUMMYFUNCTION("""COMPUTED_VALUE"""),"https://www.facebook.com/watch/live/?ref=watch_permalink&amp;v=332681445500650")</f>
        <v>https://www.facebook.com/watch/live/?ref=watch_permalink&amp;v=332681445500650</v>
      </c>
      <c r="J1599" s="1" t="str">
        <f>IFERROR(__xludf.DUMMYFUNCTION("""COMPUTED_VALUE"""),"2022-07-04T15:43:23.769Z")</f>
        <v>2022-07-04T15:43:23.769Z</v>
      </c>
      <c r="K1599" s="1"/>
    </row>
    <row r="1600">
      <c r="A1600" s="2" t="str">
        <f>IFERROR(__xludf.DUMMYFUNCTION("""COMPUTED_VALUE"""),"https://www.facebook.com/profile.php?id=100007491668111")</f>
        <v>https://www.facebook.com/profile.php?id=100007491668111</v>
      </c>
      <c r="B1600" s="1" t="str">
        <f>IFERROR(__xludf.DUMMYFUNCTION("""COMPUTED_VALUE"""),"Ross Lind")</f>
        <v>Ross Lind</v>
      </c>
      <c r="C1600" s="1" t="str">
        <f>IFERROR(__xludf.DUMMYFUNCTION("""COMPUTED_VALUE"""),"Ross")</f>
        <v>Ross</v>
      </c>
      <c r="D1600" s="1" t="str">
        <f>IFERROR(__xludf.DUMMYFUNCTION("""COMPUTED_VALUE"""),"Lind")</f>
        <v>Lind</v>
      </c>
      <c r="E1600" s="1" t="str">
        <f>IFERROR(__xludf.DUMMYFUNCTION("""COMPUTED_VALUE"""),"God bless you Madam VP #LeniAngatBuhayLahat")</f>
        <v>God bless you Madam VP #LeniAngatBuhayLahat</v>
      </c>
      <c r="F1600" s="1">
        <f>IFERROR(__xludf.DUMMYFUNCTION("""COMPUTED_VALUE"""),16.0)</f>
        <v>16</v>
      </c>
      <c r="G1600" s="1" t="str">
        <f>IFERROR(__xludf.DUMMYFUNCTION("""COMPUTED_VALUE"""),"3 mos")</f>
        <v>3 mos</v>
      </c>
      <c r="H1600" s="1" t="str">
        <f>IFERROR(__xludf.DUMMYFUNCTION("""COMPUTED_VALUE"""),"comment")</f>
        <v>comment</v>
      </c>
      <c r="I1600" s="2" t="str">
        <f>IFERROR(__xludf.DUMMYFUNCTION("""COMPUTED_VALUE"""),"https://www.facebook.com/watch/live/?ref=watch_permalink&amp;v=332681445500650")</f>
        <v>https://www.facebook.com/watch/live/?ref=watch_permalink&amp;v=332681445500650</v>
      </c>
      <c r="J1600" s="1" t="str">
        <f>IFERROR(__xludf.DUMMYFUNCTION("""COMPUTED_VALUE"""),"2022-07-04T15:43:23.769Z")</f>
        <v>2022-07-04T15:43:23.769Z</v>
      </c>
      <c r="K1600" s="1"/>
    </row>
    <row r="1601">
      <c r="A1601" s="2" t="str">
        <f>IFERROR(__xludf.DUMMYFUNCTION("""COMPUTED_VALUE"""),"https://www.facebook.com/melpcatre")</f>
        <v>https://www.facebook.com/melpcatre</v>
      </c>
      <c r="B1601" s="1" t="str">
        <f>IFERROR(__xludf.DUMMYFUNCTION("""COMPUTED_VALUE"""),"Lanlan Ertac")</f>
        <v>Lanlan Ertac</v>
      </c>
      <c r="C1601" s="1" t="str">
        <f>IFERROR(__xludf.DUMMYFUNCTION("""COMPUTED_VALUE"""),"Lanlan")</f>
        <v>Lanlan</v>
      </c>
      <c r="D1601" s="1" t="str">
        <f>IFERROR(__xludf.DUMMYFUNCTION("""COMPUTED_VALUE"""),"Ertac")</f>
        <v>Ertac</v>
      </c>
      <c r="E1601" s="1" t="str">
        <f>IFERROR(__xludf.DUMMYFUNCTION("""COMPUTED_VALUE"""),"The true good influencer to every Pilipino. An inspiration to everyone to strive harder to remain good despite of negativity around us. A true Leader! Ipanalo na natin ito! #LeniRobredoForPresident2022")</f>
        <v>The true good influencer to every Pilipino. An inspiration to everyone to strive harder to remain good despite of negativity around us. A true Leader! Ipanalo na natin ito! #LeniRobredoForPresident2022</v>
      </c>
      <c r="F1601" s="1">
        <f>IFERROR(__xludf.DUMMYFUNCTION("""COMPUTED_VALUE"""),20.0)</f>
        <v>20</v>
      </c>
      <c r="G1601" s="1" t="str">
        <f>IFERROR(__xludf.DUMMYFUNCTION("""COMPUTED_VALUE"""),"3 mos")</f>
        <v>3 mos</v>
      </c>
      <c r="H1601" s="1" t="str">
        <f>IFERROR(__xludf.DUMMYFUNCTION("""COMPUTED_VALUE"""),"comment")</f>
        <v>comment</v>
      </c>
      <c r="I1601" s="2" t="str">
        <f>IFERROR(__xludf.DUMMYFUNCTION("""COMPUTED_VALUE"""),"https://www.facebook.com/watch/live/?ref=watch_permalink&amp;v=332681445500650")</f>
        <v>https://www.facebook.com/watch/live/?ref=watch_permalink&amp;v=332681445500650</v>
      </c>
      <c r="J1601" s="1" t="str">
        <f>IFERROR(__xludf.DUMMYFUNCTION("""COMPUTED_VALUE"""),"2022-07-04T15:43:23.769Z")</f>
        <v>2022-07-04T15:43:23.769Z</v>
      </c>
      <c r="K1601" s="1"/>
    </row>
    <row r="1602">
      <c r="A1602" s="2" t="str">
        <f>IFERROR(__xludf.DUMMYFUNCTION("""COMPUTED_VALUE"""),"https://www.facebook.com/miki.iida1")</f>
        <v>https://www.facebook.com/miki.iida1</v>
      </c>
      <c r="B1602" s="1" t="str">
        <f>IFERROR(__xludf.DUMMYFUNCTION("""COMPUTED_VALUE"""),"Miki Iida")</f>
        <v>Miki Iida</v>
      </c>
      <c r="C1602" s="1" t="str">
        <f>IFERROR(__xludf.DUMMYFUNCTION("""COMPUTED_VALUE"""),"Miki")</f>
        <v>Miki</v>
      </c>
      <c r="D1602" s="1" t="str">
        <f>IFERROR(__xludf.DUMMYFUNCTION("""COMPUTED_VALUE"""),"Iida")</f>
        <v>Iida</v>
      </c>
      <c r="E1602" s="1" t="str">
        <f>IFERROR(__xludf.DUMMYFUNCTION("""COMPUTED_VALUE"""),"Lanlan Ertac What are you proud of her, she will not win her Smartmagic ay buking na.")</f>
        <v>Lanlan Ertac What are you proud of her, she will not win her Smartmagic ay buking na.</v>
      </c>
      <c r="F1602" s="1">
        <f>IFERROR(__xludf.DUMMYFUNCTION("""COMPUTED_VALUE"""),1.0)</f>
        <v>1</v>
      </c>
      <c r="G1602" s="1" t="str">
        <f>IFERROR(__xludf.DUMMYFUNCTION("""COMPUTED_VALUE"""),"3 mos")</f>
        <v>3 mos</v>
      </c>
      <c r="H1602" s="1" t="str">
        <f>IFERROR(__xludf.DUMMYFUNCTION("""COMPUTED_VALUE"""),"reply")</f>
        <v>reply</v>
      </c>
      <c r="I1602" s="2" t="str">
        <f>IFERROR(__xludf.DUMMYFUNCTION("""COMPUTED_VALUE"""),"https://www.facebook.com/watch/live/?ref=watch_permalink&amp;v=332681445500650")</f>
        <v>https://www.facebook.com/watch/live/?ref=watch_permalink&amp;v=332681445500650</v>
      </c>
      <c r="J1602" s="1" t="str">
        <f>IFERROR(__xludf.DUMMYFUNCTION("""COMPUTED_VALUE"""),"2022-07-04T15:43:23.769Z")</f>
        <v>2022-07-04T15:43:23.769Z</v>
      </c>
      <c r="K1602" s="1"/>
    </row>
    <row r="1603">
      <c r="A1603" s="2" t="str">
        <f>IFERROR(__xludf.DUMMYFUNCTION("""COMPUTED_VALUE"""),"https://www.facebook.com/paz.gerero.1")</f>
        <v>https://www.facebook.com/paz.gerero.1</v>
      </c>
      <c r="B1603" s="1" t="str">
        <f>IFERROR(__xludf.DUMMYFUNCTION("""COMPUTED_VALUE"""),"Paz Gerero")</f>
        <v>Paz Gerero</v>
      </c>
      <c r="C1603" s="1" t="str">
        <f>IFERROR(__xludf.DUMMYFUNCTION("""COMPUTED_VALUE"""),"Paz")</f>
        <v>Paz</v>
      </c>
      <c r="D1603" s="1" t="str">
        <f>IFERROR(__xludf.DUMMYFUNCTION("""COMPUTED_VALUE"""),"Gerero")</f>
        <v>Gerero</v>
      </c>
      <c r="E1603" s="1" t="str">
        <f>IFERROR(__xludf.DUMMYFUNCTION("""COMPUTED_VALUE"""),"Miki Iida bka gusto mo recount namn ulit .wag nasilaw sa kinang nasilaw sa character &amp; gud performance given by her in the early days before she became a public servant .may God bless us all")</f>
        <v>Miki Iida bka gusto mo recount namn ulit .wag nasilaw sa kinang nasilaw sa character &amp; gud performance given by her in the early days before she became a public servant .may God bless us all</v>
      </c>
      <c r="F1603" s="1"/>
      <c r="G1603" s="1" t="str">
        <f>IFERROR(__xludf.DUMMYFUNCTION("""COMPUTED_VALUE"""),"3 mos")</f>
        <v>3 mos</v>
      </c>
      <c r="H1603" s="1" t="str">
        <f>IFERROR(__xludf.DUMMYFUNCTION("""COMPUTED_VALUE"""),"reply")</f>
        <v>reply</v>
      </c>
      <c r="I1603" s="2" t="str">
        <f>IFERROR(__xludf.DUMMYFUNCTION("""COMPUTED_VALUE"""),"https://www.facebook.com/watch/live/?ref=watch_permalink&amp;v=332681445500650")</f>
        <v>https://www.facebook.com/watch/live/?ref=watch_permalink&amp;v=332681445500650</v>
      </c>
      <c r="J1603" s="1" t="str">
        <f>IFERROR(__xludf.DUMMYFUNCTION("""COMPUTED_VALUE"""),"2022-07-04T15:43:23.770Z")</f>
        <v>2022-07-04T15:43:23.770Z</v>
      </c>
      <c r="K1603" s="1"/>
    </row>
    <row r="1604">
      <c r="A1604" s="2" t="str">
        <f>IFERROR(__xludf.DUMMYFUNCTION("""COMPUTED_VALUE"""),"https://www.facebook.com/profile.php?id=100007622536597")</f>
        <v>https://www.facebook.com/profile.php?id=100007622536597</v>
      </c>
      <c r="B1604" s="1" t="str">
        <f>IFERROR(__xludf.DUMMYFUNCTION("""COMPUTED_VALUE"""),"Rose Jacob Parilla Lumancas")</f>
        <v>Rose Jacob Parilla Lumancas</v>
      </c>
      <c r="C1604" s="1" t="str">
        <f>IFERROR(__xludf.DUMMYFUNCTION("""COMPUTED_VALUE"""),"Rose")</f>
        <v>Rose</v>
      </c>
      <c r="D1604" s="1" t="str">
        <f>IFERROR(__xludf.DUMMYFUNCTION("""COMPUTED_VALUE"""),"Jacob Parilla Lumancas")</f>
        <v>Jacob Parilla Lumancas</v>
      </c>
      <c r="E1604" s="1" t="str">
        <f>IFERROR(__xludf.DUMMYFUNCTION("""COMPUTED_VALUE"""),"More Power to our dear vice soon to be the president of the Philippine Republic Stay safe always God bless you")</f>
        <v>More Power to our dear vice soon to be the president of the Philippine Republic Stay safe always God bless you</v>
      </c>
      <c r="F1604" s="1">
        <f>IFERROR(__xludf.DUMMYFUNCTION("""COMPUTED_VALUE"""),47.0)</f>
        <v>47</v>
      </c>
      <c r="G1604" s="1" t="str">
        <f>IFERROR(__xludf.DUMMYFUNCTION("""COMPUTED_VALUE"""),"3 mos")</f>
        <v>3 mos</v>
      </c>
      <c r="H1604" s="1" t="str">
        <f>IFERROR(__xludf.DUMMYFUNCTION("""COMPUTED_VALUE"""),"comment")</f>
        <v>comment</v>
      </c>
      <c r="I1604" s="2" t="str">
        <f>IFERROR(__xludf.DUMMYFUNCTION("""COMPUTED_VALUE"""),"https://www.facebook.com/watch/live/?ref=watch_permalink&amp;v=332681445500650")</f>
        <v>https://www.facebook.com/watch/live/?ref=watch_permalink&amp;v=332681445500650</v>
      </c>
      <c r="J1604" s="1" t="str">
        <f>IFERROR(__xludf.DUMMYFUNCTION("""COMPUTED_VALUE"""),"2022-07-04T15:43:23.770Z")</f>
        <v>2022-07-04T15:43:23.770Z</v>
      </c>
      <c r="K1604" s="1"/>
    </row>
    <row r="1605">
      <c r="A1605" s="2" t="str">
        <f>IFERROR(__xludf.DUMMYFUNCTION("""COMPUTED_VALUE"""),"https://www.facebook.com/istib.sabater.3")</f>
        <v>https://www.facebook.com/istib.sabater.3</v>
      </c>
      <c r="B1605" s="1" t="str">
        <f>IFERROR(__xludf.DUMMYFUNCTION("""COMPUTED_VALUE"""),"Istib Sabater")</f>
        <v>Istib Sabater</v>
      </c>
      <c r="C1605" s="1" t="str">
        <f>IFERROR(__xludf.DUMMYFUNCTION("""COMPUTED_VALUE"""),"Istib")</f>
        <v>Istib</v>
      </c>
      <c r="D1605" s="1" t="str">
        <f>IFERROR(__xludf.DUMMYFUNCTION("""COMPUTED_VALUE"""),"Sabater")</f>
        <v>Sabater</v>
      </c>
      <c r="E1605" s="1" t="str">
        <f>IFERROR(__xludf.DUMMYFUNCTION("""COMPUTED_VALUE"""),"Stay safe and healthy my future President Godbless always madam.")</f>
        <v>Stay safe and healthy my future President Godbless always madam.</v>
      </c>
      <c r="F1605" s="1">
        <f>IFERROR(__xludf.DUMMYFUNCTION("""COMPUTED_VALUE"""),8.0)</f>
        <v>8</v>
      </c>
      <c r="G1605" s="1" t="str">
        <f>IFERROR(__xludf.DUMMYFUNCTION("""COMPUTED_VALUE"""),"3 mos")</f>
        <v>3 mos</v>
      </c>
      <c r="H1605" s="1" t="str">
        <f>IFERROR(__xludf.DUMMYFUNCTION("""COMPUTED_VALUE"""),"comment")</f>
        <v>comment</v>
      </c>
      <c r="I1605" s="2" t="str">
        <f>IFERROR(__xludf.DUMMYFUNCTION("""COMPUTED_VALUE"""),"https://www.facebook.com/watch/live/?ref=watch_permalink&amp;v=332681445500650")</f>
        <v>https://www.facebook.com/watch/live/?ref=watch_permalink&amp;v=332681445500650</v>
      </c>
      <c r="J1605" s="1" t="str">
        <f>IFERROR(__xludf.DUMMYFUNCTION("""COMPUTED_VALUE"""),"2022-07-04T15:43:23.770Z")</f>
        <v>2022-07-04T15:43:23.770Z</v>
      </c>
      <c r="K1605" s="1"/>
    </row>
    <row r="1606">
      <c r="A1606" s="2" t="str">
        <f>IFERROR(__xludf.DUMMYFUNCTION("""COMPUTED_VALUE"""),"https://www.facebook.com/erlindaonaalbofera")</f>
        <v>https://www.facebook.com/erlindaonaalbofera</v>
      </c>
      <c r="B1606" s="1" t="str">
        <f>IFERROR(__xludf.DUMMYFUNCTION("""COMPUTED_VALUE"""),"Erlinda Albofera")</f>
        <v>Erlinda Albofera</v>
      </c>
      <c r="C1606" s="1" t="str">
        <f>IFERROR(__xludf.DUMMYFUNCTION("""COMPUTED_VALUE"""),"Erlinda")</f>
        <v>Erlinda</v>
      </c>
      <c r="D1606" s="1" t="str">
        <f>IFERROR(__xludf.DUMMYFUNCTION("""COMPUTED_VALUE"""),"Albofera")</f>
        <v>Albofera</v>
      </c>
      <c r="E1606" s="1" t="str">
        <f>IFERROR(__xludf.DUMMYFUNCTION("""COMPUTED_VALUE"""),"May God protect you and your team during your campaign rallies. 🙏🙏🙏")</f>
        <v>May God protect you and your team during your campaign rallies. 🙏🙏🙏</v>
      </c>
      <c r="F1606" s="1">
        <f>IFERROR(__xludf.DUMMYFUNCTION("""COMPUTED_VALUE"""),10.0)</f>
        <v>10</v>
      </c>
      <c r="G1606" s="1" t="str">
        <f>IFERROR(__xludf.DUMMYFUNCTION("""COMPUTED_VALUE"""),"3 mos")</f>
        <v>3 mos</v>
      </c>
      <c r="H1606" s="1" t="str">
        <f>IFERROR(__xludf.DUMMYFUNCTION("""COMPUTED_VALUE"""),"comment")</f>
        <v>comment</v>
      </c>
      <c r="I1606" s="2" t="str">
        <f>IFERROR(__xludf.DUMMYFUNCTION("""COMPUTED_VALUE"""),"https://www.facebook.com/watch/live/?ref=watch_permalink&amp;v=332681445500650")</f>
        <v>https://www.facebook.com/watch/live/?ref=watch_permalink&amp;v=332681445500650</v>
      </c>
      <c r="J1606" s="1" t="str">
        <f>IFERROR(__xludf.DUMMYFUNCTION("""COMPUTED_VALUE"""),"2022-07-04T15:43:23.770Z")</f>
        <v>2022-07-04T15:43:23.770Z</v>
      </c>
      <c r="K1606" s="1"/>
    </row>
    <row r="1607">
      <c r="A1607" s="2" t="str">
        <f>IFERROR(__xludf.DUMMYFUNCTION("""COMPUTED_VALUE"""),"https://www.facebook.com/viamarcelo")</f>
        <v>https://www.facebook.com/viamarcelo</v>
      </c>
      <c r="B1607" s="1" t="str">
        <f>IFERROR(__xludf.DUMMYFUNCTION("""COMPUTED_VALUE"""),"Elvie Marcelo")</f>
        <v>Elvie Marcelo</v>
      </c>
      <c r="C1607" s="1" t="str">
        <f>IFERROR(__xludf.DUMMYFUNCTION("""COMPUTED_VALUE"""),"Elvie")</f>
        <v>Elvie</v>
      </c>
      <c r="D1607" s="1" t="str">
        <f>IFERROR(__xludf.DUMMYFUNCTION("""COMPUTED_VALUE"""),"Marcelo")</f>
        <v>Marcelo</v>
      </c>
      <c r="E1607" s="1" t="str">
        <f>IFERROR(__xludf.DUMMYFUNCTION("""COMPUTED_VALUE"""),"God bless &amp; protect our future President")</f>
        <v>God bless &amp; protect our future President</v>
      </c>
      <c r="F1607" s="1">
        <f>IFERROR(__xludf.DUMMYFUNCTION("""COMPUTED_VALUE"""),15.0)</f>
        <v>15</v>
      </c>
      <c r="G1607" s="1" t="str">
        <f>IFERROR(__xludf.DUMMYFUNCTION("""COMPUTED_VALUE"""),"3 mos")</f>
        <v>3 mos</v>
      </c>
      <c r="H1607" s="1" t="str">
        <f>IFERROR(__xludf.DUMMYFUNCTION("""COMPUTED_VALUE"""),"comment")</f>
        <v>comment</v>
      </c>
      <c r="I1607" s="2" t="str">
        <f>IFERROR(__xludf.DUMMYFUNCTION("""COMPUTED_VALUE"""),"https://www.facebook.com/watch/live/?ref=watch_permalink&amp;v=332681445500650")</f>
        <v>https://www.facebook.com/watch/live/?ref=watch_permalink&amp;v=332681445500650</v>
      </c>
      <c r="J1607" s="1" t="str">
        <f>IFERROR(__xludf.DUMMYFUNCTION("""COMPUTED_VALUE"""),"2022-07-04T15:43:23.770Z")</f>
        <v>2022-07-04T15:43:23.770Z</v>
      </c>
      <c r="K1607" s="1"/>
    </row>
    <row r="1608">
      <c r="A1608" s="2" t="str">
        <f>IFERROR(__xludf.DUMMYFUNCTION("""COMPUTED_VALUE"""),"https://www.facebook.com/sonia.t.cruz")</f>
        <v>https://www.facebook.com/sonia.t.cruz</v>
      </c>
      <c r="B1608" s="1" t="str">
        <f>IFERROR(__xludf.DUMMYFUNCTION("""COMPUTED_VALUE"""),"Sonia T. Cruz")</f>
        <v>Sonia T. Cruz</v>
      </c>
      <c r="C1608" s="1" t="str">
        <f>IFERROR(__xludf.DUMMYFUNCTION("""COMPUTED_VALUE"""),"Sonia")</f>
        <v>Sonia</v>
      </c>
      <c r="D1608" s="1" t="str">
        <f>IFERROR(__xludf.DUMMYFUNCTION("""COMPUTED_VALUE"""),"T. Cruz")</f>
        <v>T. Cruz</v>
      </c>
      <c r="E1608" s="1" t="str">
        <f>IFERROR(__xludf.DUMMYFUNCTION("""COMPUTED_VALUE"""),"Stay safe and healthy, Madam President. May God bless you and protect you always! ✨🌸💖")</f>
        <v>Stay safe and healthy, Madam President. May God bless you and protect you always! ✨🌸💖</v>
      </c>
      <c r="F1608" s="1">
        <f>IFERROR(__xludf.DUMMYFUNCTION("""COMPUTED_VALUE"""),16.0)</f>
        <v>16</v>
      </c>
      <c r="G1608" s="1" t="str">
        <f>IFERROR(__xludf.DUMMYFUNCTION("""COMPUTED_VALUE"""),"3 mos")</f>
        <v>3 mos</v>
      </c>
      <c r="H1608" s="1" t="str">
        <f>IFERROR(__xludf.DUMMYFUNCTION("""COMPUTED_VALUE"""),"comment")</f>
        <v>comment</v>
      </c>
      <c r="I1608" s="2" t="str">
        <f>IFERROR(__xludf.DUMMYFUNCTION("""COMPUTED_VALUE"""),"https://www.facebook.com/watch/live/?ref=watch_permalink&amp;v=332681445500650")</f>
        <v>https://www.facebook.com/watch/live/?ref=watch_permalink&amp;v=332681445500650</v>
      </c>
      <c r="J1608" s="1" t="str">
        <f>IFERROR(__xludf.DUMMYFUNCTION("""COMPUTED_VALUE"""),"2022-07-04T15:43:23.770Z")</f>
        <v>2022-07-04T15:43:23.770Z</v>
      </c>
      <c r="K1608" s="1"/>
    </row>
    <row r="1609">
      <c r="A1609" s="2" t="str">
        <f>IFERROR(__xludf.DUMMYFUNCTION("""COMPUTED_VALUE"""),"https://www.facebook.com/ryutuc")</f>
        <v>https://www.facebook.com/ryutuc</v>
      </c>
      <c r="B1609" s="1" t="str">
        <f>IFERROR(__xludf.DUMMYFUNCTION("""COMPUTED_VALUE"""),"Yor Y Yut")</f>
        <v>Yor Y Yut</v>
      </c>
      <c r="C1609" s="1" t="str">
        <f>IFERROR(__xludf.DUMMYFUNCTION("""COMPUTED_VALUE"""),"Yor")</f>
        <v>Yor</v>
      </c>
      <c r="D1609" s="1" t="str">
        <f>IFERROR(__xludf.DUMMYFUNCTION("""COMPUTED_VALUE"""),"Y Yut")</f>
        <v>Y Yut</v>
      </c>
      <c r="E1609" s="1" t="str">
        <f>IFERROR(__xludf.DUMMYFUNCTION("""COMPUTED_VALUE"""),"My family's proud choice to be the next President of the Philippines!💕👌🏼")</f>
        <v>My family's proud choice to be the next President of the Philippines!💕👌🏼</v>
      </c>
      <c r="F1609" s="1">
        <f>IFERROR(__xludf.DUMMYFUNCTION("""COMPUTED_VALUE"""),30.0)</f>
        <v>30</v>
      </c>
      <c r="G1609" s="1" t="str">
        <f>IFERROR(__xludf.DUMMYFUNCTION("""COMPUTED_VALUE"""),"3 mos")</f>
        <v>3 mos</v>
      </c>
      <c r="H1609" s="1" t="str">
        <f>IFERROR(__xludf.DUMMYFUNCTION("""COMPUTED_VALUE"""),"comment")</f>
        <v>comment</v>
      </c>
      <c r="I1609" s="2" t="str">
        <f>IFERROR(__xludf.DUMMYFUNCTION("""COMPUTED_VALUE"""),"https://www.facebook.com/watch/live/?ref=watch_permalink&amp;v=332681445500650")</f>
        <v>https://www.facebook.com/watch/live/?ref=watch_permalink&amp;v=332681445500650</v>
      </c>
      <c r="J1609" s="1" t="str">
        <f>IFERROR(__xludf.DUMMYFUNCTION("""COMPUTED_VALUE"""),"2022-07-04T15:43:23.770Z")</f>
        <v>2022-07-04T15:43:23.770Z</v>
      </c>
      <c r="K1609" s="1"/>
    </row>
    <row r="1610">
      <c r="A1610" s="2" t="str">
        <f>IFERROR(__xludf.DUMMYFUNCTION("""COMPUTED_VALUE"""),"https://www.facebook.com/paul.balite")</f>
        <v>https://www.facebook.com/paul.balite</v>
      </c>
      <c r="B1610" s="1" t="str">
        <f>IFERROR(__xludf.DUMMYFUNCTION("""COMPUTED_VALUE"""),"Paul Heherson M. Balite")</f>
        <v>Paul Heherson M. Balite</v>
      </c>
      <c r="C1610" s="1" t="str">
        <f>IFERROR(__xludf.DUMMYFUNCTION("""COMPUTED_VALUE"""),"Paul")</f>
        <v>Paul</v>
      </c>
      <c r="D1610" s="1" t="str">
        <f>IFERROR(__xludf.DUMMYFUNCTION("""COMPUTED_VALUE"""),"Heherson M. Balite")</f>
        <v>Heherson M. Balite</v>
      </c>
      <c r="E1610" s="1" t="str">
        <f>IFERROR(__xludf.DUMMYFUNCTION("""COMPUTED_VALUE"""),"Thank you for your tireless work for the people, my Madam President! 🌸💯💪")</f>
        <v>Thank you for your tireless work for the people, my Madam President! 🌸💯💪</v>
      </c>
      <c r="F1610" s="1">
        <f>IFERROR(__xludf.DUMMYFUNCTION("""COMPUTED_VALUE"""),13.0)</f>
        <v>13</v>
      </c>
      <c r="G1610" s="1" t="str">
        <f>IFERROR(__xludf.DUMMYFUNCTION("""COMPUTED_VALUE"""),"3 mos")</f>
        <v>3 mos</v>
      </c>
      <c r="H1610" s="1" t="str">
        <f>IFERROR(__xludf.DUMMYFUNCTION("""COMPUTED_VALUE"""),"comment")</f>
        <v>comment</v>
      </c>
      <c r="I1610" s="2" t="str">
        <f>IFERROR(__xludf.DUMMYFUNCTION("""COMPUTED_VALUE"""),"https://www.facebook.com/watch/live/?ref=watch_permalink&amp;v=332681445500650")</f>
        <v>https://www.facebook.com/watch/live/?ref=watch_permalink&amp;v=332681445500650</v>
      </c>
      <c r="J1610" s="1" t="str">
        <f>IFERROR(__xludf.DUMMYFUNCTION("""COMPUTED_VALUE"""),"2022-07-04T15:43:23.770Z")</f>
        <v>2022-07-04T15:43:23.770Z</v>
      </c>
      <c r="K1610" s="1"/>
    </row>
    <row r="1611">
      <c r="A1611" s="2" t="str">
        <f>IFERROR(__xludf.DUMMYFUNCTION("""COMPUTED_VALUE"""),"https://www.facebook.com/paz.gerero.1")</f>
        <v>https://www.facebook.com/paz.gerero.1</v>
      </c>
      <c r="B1611" s="1" t="str">
        <f>IFERROR(__xludf.DUMMYFUNCTION("""COMPUTED_VALUE"""),"Paz Gerero")</f>
        <v>Paz Gerero</v>
      </c>
      <c r="C1611" s="1" t="str">
        <f>IFERROR(__xludf.DUMMYFUNCTION("""COMPUTED_VALUE"""),"Paz")</f>
        <v>Paz</v>
      </c>
      <c r="D1611" s="1" t="str">
        <f>IFERROR(__xludf.DUMMYFUNCTION("""COMPUTED_VALUE"""),"Gerero")</f>
        <v>Gerero</v>
      </c>
      <c r="E1611" s="1" t="str">
        <f>IFERROR(__xludf.DUMMYFUNCTION("""COMPUTED_VALUE"""),"Paul Heherson M. Balite sanay na nuon pa mn workaholic siya")</f>
        <v>Paul Heherson M. Balite sanay na nuon pa mn workaholic siya</v>
      </c>
      <c r="F1611" s="1">
        <f>IFERROR(__xludf.DUMMYFUNCTION("""COMPUTED_VALUE"""),1.0)</f>
        <v>1</v>
      </c>
      <c r="G1611" s="1" t="str">
        <f>IFERROR(__xludf.DUMMYFUNCTION("""COMPUTED_VALUE"""),"3 mos")</f>
        <v>3 mos</v>
      </c>
      <c r="H1611" s="1" t="str">
        <f>IFERROR(__xludf.DUMMYFUNCTION("""COMPUTED_VALUE"""),"reply")</f>
        <v>reply</v>
      </c>
      <c r="I1611" s="2" t="str">
        <f>IFERROR(__xludf.DUMMYFUNCTION("""COMPUTED_VALUE"""),"https://www.facebook.com/watch/live/?ref=watch_permalink&amp;v=332681445500650")</f>
        <v>https://www.facebook.com/watch/live/?ref=watch_permalink&amp;v=332681445500650</v>
      </c>
      <c r="J1611" s="1" t="str">
        <f>IFERROR(__xludf.DUMMYFUNCTION("""COMPUTED_VALUE"""),"2022-07-04T15:43:23.770Z")</f>
        <v>2022-07-04T15:43:23.770Z</v>
      </c>
      <c r="K1611" s="1"/>
    </row>
    <row r="1612">
      <c r="A1612" s="2" t="str">
        <f>IFERROR(__xludf.DUMMYFUNCTION("""COMPUTED_VALUE"""),"https://www.facebook.com/danielle.reyeshabla")</f>
        <v>https://www.facebook.com/danielle.reyeshabla</v>
      </c>
      <c r="B1612" s="1" t="str">
        <f>IFERROR(__xludf.DUMMYFUNCTION("""COMPUTED_VALUE"""),"Elsie Reyes-Habla")</f>
        <v>Elsie Reyes-Habla</v>
      </c>
      <c r="C1612" s="1" t="str">
        <f>IFERROR(__xludf.DUMMYFUNCTION("""COMPUTED_VALUE"""),"Elsie")</f>
        <v>Elsie</v>
      </c>
      <c r="D1612" s="1" t="str">
        <f>IFERROR(__xludf.DUMMYFUNCTION("""COMPUTED_VALUE"""),"Reyes-Habla")</f>
        <v>Reyes-Habla</v>
      </c>
      <c r="E1612" s="1" t="str">
        <f>IFERROR(__xludf.DUMMYFUNCTION("""COMPUTED_VALUE"""),"Wow! Kulay Rosas ka talaga madam VP#LeniRobredoForPresident2022  God bless you po always And good health po. ❤️💕💕💕💕")</f>
        <v>Wow! Kulay Rosas ka talaga madam VP#LeniRobredoForPresident2022  God bless you po always And good health po. ❤️💕💕💕💕</v>
      </c>
      <c r="F1612" s="1">
        <f>IFERROR(__xludf.DUMMYFUNCTION("""COMPUTED_VALUE"""),3.0)</f>
        <v>3</v>
      </c>
      <c r="G1612" s="1" t="str">
        <f>IFERROR(__xludf.DUMMYFUNCTION("""COMPUTED_VALUE"""),"3 mos")</f>
        <v>3 mos</v>
      </c>
      <c r="H1612" s="1" t="str">
        <f>IFERROR(__xludf.DUMMYFUNCTION("""COMPUTED_VALUE"""),"comment")</f>
        <v>comment</v>
      </c>
      <c r="I1612" s="2" t="str">
        <f>IFERROR(__xludf.DUMMYFUNCTION("""COMPUTED_VALUE"""),"https://www.facebook.com/watch/live/?ref=watch_permalink&amp;v=332681445500650")</f>
        <v>https://www.facebook.com/watch/live/?ref=watch_permalink&amp;v=332681445500650</v>
      </c>
      <c r="J1612" s="1" t="str">
        <f>IFERROR(__xludf.DUMMYFUNCTION("""COMPUTED_VALUE"""),"2022-07-04T15:43:23.770Z")</f>
        <v>2022-07-04T15:43:23.770Z</v>
      </c>
      <c r="K1612" s="1"/>
    </row>
    <row r="1613">
      <c r="A1613" s="2" t="str">
        <f>IFERROR(__xludf.DUMMYFUNCTION("""COMPUTED_VALUE"""),"https://www.facebook.com/melanie.diomampo.7")</f>
        <v>https://www.facebook.com/melanie.diomampo.7</v>
      </c>
      <c r="B1613" s="1" t="str">
        <f>IFERROR(__xludf.DUMMYFUNCTION("""COMPUTED_VALUE"""),"Melanie Diomampo")</f>
        <v>Melanie Diomampo</v>
      </c>
      <c r="C1613" s="1" t="str">
        <f>IFERROR(__xludf.DUMMYFUNCTION("""COMPUTED_VALUE"""),"Melanie")</f>
        <v>Melanie</v>
      </c>
      <c r="D1613" s="1" t="str">
        <f>IFERROR(__xludf.DUMMYFUNCTION("""COMPUTED_VALUE"""),"Diomampo")</f>
        <v>Diomampo</v>
      </c>
      <c r="E1613" s="1" t="str">
        <f>IFERROR(__xludf.DUMMYFUNCTION("""COMPUTED_VALUE"""),"Inspired, because like most of us love Philippines.")</f>
        <v>Inspired, because like most of us love Philippines.</v>
      </c>
      <c r="F1613" s="1">
        <f>IFERROR(__xludf.DUMMYFUNCTION("""COMPUTED_VALUE"""),5.0)</f>
        <v>5</v>
      </c>
      <c r="G1613" s="1" t="str">
        <f>IFERROR(__xludf.DUMMYFUNCTION("""COMPUTED_VALUE"""),"3 mos")</f>
        <v>3 mos</v>
      </c>
      <c r="H1613" s="1" t="str">
        <f>IFERROR(__xludf.DUMMYFUNCTION("""COMPUTED_VALUE"""),"comment")</f>
        <v>comment</v>
      </c>
      <c r="I1613" s="2" t="str">
        <f>IFERROR(__xludf.DUMMYFUNCTION("""COMPUTED_VALUE"""),"https://www.facebook.com/watch/live/?ref=watch_permalink&amp;v=332681445500650")</f>
        <v>https://www.facebook.com/watch/live/?ref=watch_permalink&amp;v=332681445500650</v>
      </c>
      <c r="J1613" s="1" t="str">
        <f>IFERROR(__xludf.DUMMYFUNCTION("""COMPUTED_VALUE"""),"2022-07-04T15:43:23.770Z")</f>
        <v>2022-07-04T15:43:23.770Z</v>
      </c>
      <c r="K1613" s="1"/>
    </row>
    <row r="1614">
      <c r="A1614" s="2" t="str">
        <f>IFERROR(__xludf.DUMMYFUNCTION("""COMPUTED_VALUE"""),"https://www.facebook.com/profile.php?id=100071843274449")</f>
        <v>https://www.facebook.com/profile.php?id=100071843274449</v>
      </c>
      <c r="B1614" s="1" t="str">
        <f>IFERROR(__xludf.DUMMYFUNCTION("""COMPUTED_VALUE"""),"Remedios Baldoza Hallare")</f>
        <v>Remedios Baldoza Hallare</v>
      </c>
      <c r="C1614" s="1" t="str">
        <f>IFERROR(__xludf.DUMMYFUNCTION("""COMPUTED_VALUE"""),"Remedios")</f>
        <v>Remedios</v>
      </c>
      <c r="D1614" s="1" t="str">
        <f>IFERROR(__xludf.DUMMYFUNCTION("""COMPUTED_VALUE"""),"Baldoza Hallare")</f>
        <v>Baldoza Hallare</v>
      </c>
      <c r="E1614" s="1" t="str">
        <f>IFERROR(__xludf.DUMMYFUNCTION("""COMPUTED_VALUE"""),"Do take care of your health Madam VPLENI🇵🇭💗🙏")</f>
        <v>Do take care of your health Madam VPLENI🇵🇭💗🙏</v>
      </c>
      <c r="F1614" s="1">
        <f>IFERROR(__xludf.DUMMYFUNCTION("""COMPUTED_VALUE"""),4.0)</f>
        <v>4</v>
      </c>
      <c r="G1614" s="1" t="str">
        <f>IFERROR(__xludf.DUMMYFUNCTION("""COMPUTED_VALUE"""),"3 mos")</f>
        <v>3 mos</v>
      </c>
      <c r="H1614" s="1" t="str">
        <f>IFERROR(__xludf.DUMMYFUNCTION("""COMPUTED_VALUE"""),"comment")</f>
        <v>comment</v>
      </c>
      <c r="I1614" s="2" t="str">
        <f>IFERROR(__xludf.DUMMYFUNCTION("""COMPUTED_VALUE"""),"https://www.facebook.com/watch/live/?ref=watch_permalink&amp;v=332681445500650")</f>
        <v>https://www.facebook.com/watch/live/?ref=watch_permalink&amp;v=332681445500650</v>
      </c>
      <c r="J1614" s="1" t="str">
        <f>IFERROR(__xludf.DUMMYFUNCTION("""COMPUTED_VALUE"""),"2022-07-04T15:43:23.770Z")</f>
        <v>2022-07-04T15:43:23.770Z</v>
      </c>
      <c r="K1614" s="1"/>
    </row>
    <row r="1615">
      <c r="A1615" s="2" t="str">
        <f>IFERROR(__xludf.DUMMYFUNCTION("""COMPUTED_VALUE"""),"https://www.facebook.com/liza.isagra")</f>
        <v>https://www.facebook.com/liza.isagra</v>
      </c>
      <c r="B1615" s="1" t="str">
        <f>IFERROR(__xludf.DUMMYFUNCTION("""COMPUTED_VALUE"""),"Liza Isagra")</f>
        <v>Liza Isagra</v>
      </c>
      <c r="C1615" s="1" t="str">
        <f>IFERROR(__xludf.DUMMYFUNCTION("""COMPUTED_VALUE"""),"Liza")</f>
        <v>Liza</v>
      </c>
      <c r="D1615" s="1" t="str">
        <f>IFERROR(__xludf.DUMMYFUNCTION("""COMPUTED_VALUE"""),"Isagra")</f>
        <v>Isagra</v>
      </c>
      <c r="E1615" s="1" t="str">
        <f>IFERROR(__xludf.DUMMYFUNCTION("""COMPUTED_VALUE"""),"God bless your good health and keep safe always")</f>
        <v>God bless your good health and keep safe always</v>
      </c>
      <c r="F1615" s="1">
        <f>IFERROR(__xludf.DUMMYFUNCTION("""COMPUTED_VALUE"""),4.0)</f>
        <v>4</v>
      </c>
      <c r="G1615" s="1" t="str">
        <f>IFERROR(__xludf.DUMMYFUNCTION("""COMPUTED_VALUE"""),"3 mos")</f>
        <v>3 mos</v>
      </c>
      <c r="H1615" s="1" t="str">
        <f>IFERROR(__xludf.DUMMYFUNCTION("""COMPUTED_VALUE"""),"comment")</f>
        <v>comment</v>
      </c>
      <c r="I1615" s="2" t="str">
        <f>IFERROR(__xludf.DUMMYFUNCTION("""COMPUTED_VALUE"""),"https://www.facebook.com/watch/live/?ref=watch_permalink&amp;v=332681445500650")</f>
        <v>https://www.facebook.com/watch/live/?ref=watch_permalink&amp;v=332681445500650</v>
      </c>
      <c r="J1615" s="1" t="str">
        <f>IFERROR(__xludf.DUMMYFUNCTION("""COMPUTED_VALUE"""),"2022-07-04T15:43:23.770Z")</f>
        <v>2022-07-04T15:43:23.770Z</v>
      </c>
      <c r="K1615" s="1"/>
    </row>
    <row r="1616">
      <c r="A1616" s="2" t="str">
        <f>IFERROR(__xludf.DUMMYFUNCTION("""COMPUTED_VALUE"""),"https://www.facebook.com/ghaga.c.landero")</f>
        <v>https://www.facebook.com/ghaga.c.landero</v>
      </c>
      <c r="B1616" s="1" t="str">
        <f>IFERROR(__xludf.DUMMYFUNCTION("""COMPUTED_VALUE"""),"Gha Capuyan Landero")</f>
        <v>Gha Capuyan Landero</v>
      </c>
      <c r="C1616" s="1" t="str">
        <f>IFERROR(__xludf.DUMMYFUNCTION("""COMPUTED_VALUE"""),"Gha")</f>
        <v>Gha</v>
      </c>
      <c r="D1616" s="1" t="str">
        <f>IFERROR(__xludf.DUMMYFUNCTION("""COMPUTED_VALUE"""),"Capuyan Landero")</f>
        <v>Capuyan Landero</v>
      </c>
      <c r="E1616" s="1" t="str">
        <f>IFERROR(__xludf.DUMMYFUNCTION("""COMPUTED_VALUE"""),"We Love you Madame President,  galing pa po ako nangangampanya para sa inyong Dalawa ni Senator Kiko 💖  #GobyernongTapatAngatBuhayAngLahat")</f>
        <v>We Love you Madame President,  galing pa po ako nangangampanya para sa inyong Dalawa ni Senator Kiko 💖  #GobyernongTapatAngatBuhayAngLahat</v>
      </c>
      <c r="F1616" s="1">
        <f>IFERROR(__xludf.DUMMYFUNCTION("""COMPUTED_VALUE"""),19.0)</f>
        <v>19</v>
      </c>
      <c r="G1616" s="1" t="str">
        <f>IFERROR(__xludf.DUMMYFUNCTION("""COMPUTED_VALUE"""),"3 mos")</f>
        <v>3 mos</v>
      </c>
      <c r="H1616" s="1" t="str">
        <f>IFERROR(__xludf.DUMMYFUNCTION("""COMPUTED_VALUE"""),"comment")</f>
        <v>comment</v>
      </c>
      <c r="I1616" s="2" t="str">
        <f>IFERROR(__xludf.DUMMYFUNCTION("""COMPUTED_VALUE"""),"https://www.facebook.com/watch/live/?ref=watch_permalink&amp;v=332681445500650")</f>
        <v>https://www.facebook.com/watch/live/?ref=watch_permalink&amp;v=332681445500650</v>
      </c>
      <c r="J1616" s="1" t="str">
        <f>IFERROR(__xludf.DUMMYFUNCTION("""COMPUTED_VALUE"""),"2022-07-04T15:43:23.770Z")</f>
        <v>2022-07-04T15:43:23.770Z</v>
      </c>
      <c r="K1616" s="1"/>
    </row>
    <row r="1617">
      <c r="A1617" s="2" t="str">
        <f>IFERROR(__xludf.DUMMYFUNCTION("""COMPUTED_VALUE"""),"https://www.facebook.com/elizabeth.eslao")</f>
        <v>https://www.facebook.com/elizabeth.eslao</v>
      </c>
      <c r="B1617" s="1" t="str">
        <f>IFERROR(__xludf.DUMMYFUNCTION("""COMPUTED_VALUE"""),"Elizabeth Eslao")</f>
        <v>Elizabeth Eslao</v>
      </c>
      <c r="C1617" s="1" t="str">
        <f>IFERROR(__xludf.DUMMYFUNCTION("""COMPUTED_VALUE"""),"Elizabeth")</f>
        <v>Elizabeth</v>
      </c>
      <c r="D1617" s="1" t="str">
        <f>IFERROR(__xludf.DUMMYFUNCTION("""COMPUTED_VALUE"""),"Eslao")</f>
        <v>Eslao</v>
      </c>
      <c r="E1617" s="1" t="str">
        <f>IFERROR(__xludf.DUMMYFUNCTION("""COMPUTED_VALUE"""),"💖💖💖💖💖💖💖💖💖💖 God bless you #LeniIsMyPresident and keep you safe always.")</f>
        <v>💖💖💖💖💖💖💖💖💖💖 God bless you #LeniIsMyPresident and keep you safe always.</v>
      </c>
      <c r="F1617" s="1">
        <f>IFERROR(__xludf.DUMMYFUNCTION("""COMPUTED_VALUE"""),3.0)</f>
        <v>3</v>
      </c>
      <c r="G1617" s="1" t="str">
        <f>IFERROR(__xludf.DUMMYFUNCTION("""COMPUTED_VALUE"""),"3 mos")</f>
        <v>3 mos</v>
      </c>
      <c r="H1617" s="1" t="str">
        <f>IFERROR(__xludf.DUMMYFUNCTION("""COMPUTED_VALUE"""),"comment")</f>
        <v>comment</v>
      </c>
      <c r="I1617" s="2" t="str">
        <f>IFERROR(__xludf.DUMMYFUNCTION("""COMPUTED_VALUE"""),"https://www.facebook.com/watch/live/?ref=watch_permalink&amp;v=332681445500650")</f>
        <v>https://www.facebook.com/watch/live/?ref=watch_permalink&amp;v=332681445500650</v>
      </c>
      <c r="J1617" s="1" t="str">
        <f>IFERROR(__xludf.DUMMYFUNCTION("""COMPUTED_VALUE"""),"2022-07-04T15:43:23.770Z")</f>
        <v>2022-07-04T15:43:23.770Z</v>
      </c>
      <c r="K1617" s="1"/>
    </row>
    <row r="1618">
      <c r="A1618" s="2" t="str">
        <f>IFERROR(__xludf.DUMMYFUNCTION("""COMPUTED_VALUE"""),"https://www.facebook.com/gigidominguezdelosreyes")</f>
        <v>https://www.facebook.com/gigidominguezdelosreyes</v>
      </c>
      <c r="B1618" s="1" t="str">
        <f>IFERROR(__xludf.DUMMYFUNCTION("""COMPUTED_VALUE"""),"Gigi Delos Reyes")</f>
        <v>Gigi Delos Reyes</v>
      </c>
      <c r="C1618" s="1" t="str">
        <f>IFERROR(__xludf.DUMMYFUNCTION("""COMPUTED_VALUE"""),"Gigi")</f>
        <v>Gigi</v>
      </c>
      <c r="D1618" s="1" t="str">
        <f>IFERROR(__xludf.DUMMYFUNCTION("""COMPUTED_VALUE"""),"Delos Reyes")</f>
        <v>Delos Reyes</v>
      </c>
      <c r="E1618" s="1" t="str">
        <f>IFERROR(__xludf.DUMMYFUNCTION("""COMPUTED_VALUE"""),"Your energy coming from above. Thanks for doing this for the country 💞💞💞")</f>
        <v>Your energy coming from above. Thanks for doing this for the country 💞💞💞</v>
      </c>
      <c r="F1618" s="1">
        <f>IFERROR(__xludf.DUMMYFUNCTION("""COMPUTED_VALUE"""),3.0)</f>
        <v>3</v>
      </c>
      <c r="G1618" s="1" t="str">
        <f>IFERROR(__xludf.DUMMYFUNCTION("""COMPUTED_VALUE"""),"3 mos")</f>
        <v>3 mos</v>
      </c>
      <c r="H1618" s="1" t="str">
        <f>IFERROR(__xludf.DUMMYFUNCTION("""COMPUTED_VALUE"""),"comment")</f>
        <v>comment</v>
      </c>
      <c r="I1618" s="2" t="str">
        <f>IFERROR(__xludf.DUMMYFUNCTION("""COMPUTED_VALUE"""),"https://www.facebook.com/watch/live/?ref=watch_permalink&amp;v=332681445500650")</f>
        <v>https://www.facebook.com/watch/live/?ref=watch_permalink&amp;v=332681445500650</v>
      </c>
      <c r="J1618" s="1" t="str">
        <f>IFERROR(__xludf.DUMMYFUNCTION("""COMPUTED_VALUE"""),"2022-07-04T15:43:23.770Z")</f>
        <v>2022-07-04T15:43:23.770Z</v>
      </c>
      <c r="K1618" s="1"/>
    </row>
    <row r="1619">
      <c r="A1619" s="2" t="str">
        <f>IFERROR(__xludf.DUMMYFUNCTION("""COMPUTED_VALUE"""),"https://www.facebook.com/iamwilverlalu")</f>
        <v>https://www.facebook.com/iamwilverlalu</v>
      </c>
      <c r="B1619" s="1" t="str">
        <f>IFERROR(__xludf.DUMMYFUNCTION("""COMPUTED_VALUE"""),"Wilver Rosco Lalu")</f>
        <v>Wilver Rosco Lalu</v>
      </c>
      <c r="C1619" s="1" t="str">
        <f>IFERROR(__xludf.DUMMYFUNCTION("""COMPUTED_VALUE"""),"Wilver")</f>
        <v>Wilver</v>
      </c>
      <c r="D1619" s="1" t="str">
        <f>IFERROR(__xludf.DUMMYFUNCTION("""COMPUTED_VALUE"""),"Rosco Lalu")</f>
        <v>Rosco Lalu</v>
      </c>
      <c r="E1619" s="1" t="str">
        <f>IFERROR(__xludf.DUMMYFUNCTION("""COMPUTED_VALUE"""),"Proud of you, my President 💖💖💖 #IpanaloNaNa10To")</f>
        <v>Proud of you, my President 💖💖💖 #IpanaloNaNa10To</v>
      </c>
      <c r="F1619" s="1"/>
      <c r="G1619" s="1" t="str">
        <f>IFERROR(__xludf.DUMMYFUNCTION("""COMPUTED_VALUE"""),"3 mos")</f>
        <v>3 mos</v>
      </c>
      <c r="H1619" s="1" t="str">
        <f>IFERROR(__xludf.DUMMYFUNCTION("""COMPUTED_VALUE"""),"comment")</f>
        <v>comment</v>
      </c>
      <c r="I1619" s="2" t="str">
        <f>IFERROR(__xludf.DUMMYFUNCTION("""COMPUTED_VALUE"""),"https://www.facebook.com/watch/live/?ref=watch_permalink&amp;v=332681445500650")</f>
        <v>https://www.facebook.com/watch/live/?ref=watch_permalink&amp;v=332681445500650</v>
      </c>
      <c r="J1619" s="1" t="str">
        <f>IFERROR(__xludf.DUMMYFUNCTION("""COMPUTED_VALUE"""),"2022-07-04T15:43:23.770Z")</f>
        <v>2022-07-04T15:43:23.770Z</v>
      </c>
      <c r="K1619" s="1"/>
    </row>
    <row r="1620">
      <c r="A1620" s="2" t="str">
        <f>IFERROR(__xludf.DUMMYFUNCTION("""COMPUTED_VALUE"""),"https://www.facebook.com/annie.hao.58")</f>
        <v>https://www.facebook.com/annie.hao.58</v>
      </c>
      <c r="B1620" s="1" t="str">
        <f>IFERROR(__xludf.DUMMYFUNCTION("""COMPUTED_VALUE"""),"Santos Tonette")</f>
        <v>Santos Tonette</v>
      </c>
      <c r="C1620" s="1" t="str">
        <f>IFERROR(__xludf.DUMMYFUNCTION("""COMPUTED_VALUE"""),"Santos")</f>
        <v>Santos</v>
      </c>
      <c r="D1620" s="1" t="str">
        <f>IFERROR(__xludf.DUMMYFUNCTION("""COMPUTED_VALUE"""),"Tonette")</f>
        <v>Tonette</v>
      </c>
      <c r="E1620" s="1" t="str">
        <f>IFERROR(__xludf.DUMMYFUNCTION("""COMPUTED_VALUE"""),"As always, Mayor Isko is true to his stand ""Tao Muna"".  He can sacrifice his political campaigns - so people can safely go home or go to places that are safe for them.  He had to confer with Sen. Recto about cutting short their speeches.  To announce to"&amp;" people their plans on the remaining campaign activities arranged by Sen. Recto.  This is the real Mayor Isko.  Flexible, proactive and ready to serve the people - at all times.")</f>
        <v>As always, Mayor Isko is true to his stand "Tao Muna".  He can sacrifice his political campaigns - so people can safely go home or go to places that are safe for them.  He had to confer with Sen. Recto about cutting short their speeches.  To announce to people their plans on the remaining campaign activities arranged by Sen. Recto.  This is the real Mayor Isko.  Flexible, proactive and ready to serve the people - at all times.</v>
      </c>
      <c r="F1620" s="1">
        <f>IFERROR(__xludf.DUMMYFUNCTION("""COMPUTED_VALUE"""),1.0)</f>
        <v>1</v>
      </c>
      <c r="G1620" s="1" t="str">
        <f>IFERROR(__xludf.DUMMYFUNCTION("""COMPUTED_VALUE"""),"3 mos")</f>
        <v>3 mos</v>
      </c>
      <c r="H1620" s="1" t="str">
        <f>IFERROR(__xludf.DUMMYFUNCTION("""COMPUTED_VALUE"""),"comment")</f>
        <v>comment</v>
      </c>
      <c r="I1620"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0" s="1" t="str">
        <f>IFERROR(__xludf.DUMMYFUNCTION("""COMPUTED_VALUE"""),"2022-07-04T15:43:46.723Z")</f>
        <v>2022-07-04T15:43:46.723Z</v>
      </c>
      <c r="K1620" s="1"/>
    </row>
    <row r="1621">
      <c r="A1621" s="2" t="str">
        <f>IFERROR(__xludf.DUMMYFUNCTION("""COMPUTED_VALUE"""),"https://www.facebook.com/profile.php?id=100077672017175")</f>
        <v>https://www.facebook.com/profile.php?id=100077672017175</v>
      </c>
      <c r="B1621" s="1" t="str">
        <f>IFERROR(__xludf.DUMMYFUNCTION("""COMPUTED_VALUE"""),"Jarvis Santillán")</f>
        <v>Jarvis Santillán</v>
      </c>
      <c r="C1621" s="1" t="str">
        <f>IFERROR(__xludf.DUMMYFUNCTION("""COMPUTED_VALUE"""),"Jarvis")</f>
        <v>Jarvis</v>
      </c>
      <c r="D1621" s="1" t="str">
        <f>IFERROR(__xludf.DUMMYFUNCTION("""COMPUTED_VALUE"""),"Santillán")</f>
        <v>Santillán</v>
      </c>
      <c r="E1621" s="1" t="str">
        <f>IFERROR(__xludf.DUMMYFUNCTION("""COMPUTED_VALUE"""),"Si isko sure win na yan. Si Isko akon iboto kay madamo siya ya nga mahimo")</f>
        <v>Si isko sure win na yan. Si Isko akon iboto kay madamo siya ya nga mahimo</v>
      </c>
      <c r="F1621" s="1">
        <f>IFERROR(__xludf.DUMMYFUNCTION("""COMPUTED_VALUE"""),1.0)</f>
        <v>1</v>
      </c>
      <c r="G1621" s="1" t="str">
        <f>IFERROR(__xludf.DUMMYFUNCTION("""COMPUTED_VALUE"""),"3 mos")</f>
        <v>3 mos</v>
      </c>
      <c r="H1621" s="1" t="str">
        <f>IFERROR(__xludf.DUMMYFUNCTION("""COMPUTED_VALUE"""),"comment")</f>
        <v>comment</v>
      </c>
      <c r="I1621"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1" s="1" t="str">
        <f>IFERROR(__xludf.DUMMYFUNCTION("""COMPUTED_VALUE"""),"2022-07-04T15:43:46.723Z")</f>
        <v>2022-07-04T15:43:46.723Z</v>
      </c>
      <c r="K1621" s="1"/>
    </row>
    <row r="1622">
      <c r="A1622" s="2" t="str">
        <f>IFERROR(__xludf.DUMMYFUNCTION("""COMPUTED_VALUE"""),"https://www.facebook.com/profile.php?id=100078131813881")</f>
        <v>https://www.facebook.com/profile.php?id=100078131813881</v>
      </c>
      <c r="B1622" s="1" t="str">
        <f>IFERROR(__xludf.DUMMYFUNCTION("""COMPUTED_VALUE"""),"Maricruz Belisario")</f>
        <v>Maricruz Belisario</v>
      </c>
      <c r="C1622" s="1" t="str">
        <f>IFERROR(__xludf.DUMMYFUNCTION("""COMPUTED_VALUE"""),"Maricruz")</f>
        <v>Maricruz</v>
      </c>
      <c r="D1622" s="1" t="str">
        <f>IFERROR(__xludf.DUMMYFUNCTION("""COMPUTED_VALUE"""),"Belisario")</f>
        <v>Belisario</v>
      </c>
      <c r="E1622" s="1" t="str">
        <f>IFERROR(__xludf.DUMMYFUNCTION("""COMPUTED_VALUE"""),"ikaw kang may tunay na puso para sa mahihirap mayor isko  Ako mobotar sa bag-o ug usa ka butang nga napamatud-an")</f>
        <v>ikaw kang may tunay na puso para sa mahihirap mayor isko  Ako mobotar sa bag-o ug usa ka butang nga napamatud-an</v>
      </c>
      <c r="F1622" s="1">
        <f>IFERROR(__xludf.DUMMYFUNCTION("""COMPUTED_VALUE"""),1.0)</f>
        <v>1</v>
      </c>
      <c r="G1622" s="1" t="str">
        <f>IFERROR(__xludf.DUMMYFUNCTION("""COMPUTED_VALUE"""),"3 mos")</f>
        <v>3 mos</v>
      </c>
      <c r="H1622" s="1" t="str">
        <f>IFERROR(__xludf.DUMMYFUNCTION("""COMPUTED_VALUE"""),"comment")</f>
        <v>comment</v>
      </c>
      <c r="I1622"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2" s="1" t="str">
        <f>IFERROR(__xludf.DUMMYFUNCTION("""COMPUTED_VALUE"""),"2022-07-04T15:43:46.723Z")</f>
        <v>2022-07-04T15:43:46.723Z</v>
      </c>
      <c r="K1622" s="1"/>
    </row>
    <row r="1623">
      <c r="A1623" s="2" t="str">
        <f>IFERROR(__xludf.DUMMYFUNCTION("""COMPUTED_VALUE"""),"https://www.facebook.com/profile.php?id=100078872943485")</f>
        <v>https://www.facebook.com/profile.php?id=100078872943485</v>
      </c>
      <c r="B1623" s="1" t="str">
        <f>IFERROR(__xludf.DUMMYFUNCTION("""COMPUTED_VALUE"""),"Eve Amy")</f>
        <v>Eve Amy</v>
      </c>
      <c r="C1623" s="1" t="str">
        <f>IFERROR(__xludf.DUMMYFUNCTION("""COMPUTED_VALUE"""),"Eve")</f>
        <v>Eve</v>
      </c>
      <c r="D1623" s="1" t="str">
        <f>IFERROR(__xludf.DUMMYFUNCTION("""COMPUTED_VALUE"""),"Amy")</f>
        <v>Amy</v>
      </c>
      <c r="E1623" s="1" t="str">
        <f>IFERROR(__xludf.DUMMYFUNCTION("""COMPUTED_VALUE"""),"yan ang sigaw namin ISKO MORENO&gt; The Philippines will be prosperous if Isko rules")</f>
        <v>yan ang sigaw namin ISKO MORENO&gt; The Philippines will be prosperous if Isko rules</v>
      </c>
      <c r="F1623" s="1">
        <f>IFERROR(__xludf.DUMMYFUNCTION("""COMPUTED_VALUE"""),1.0)</f>
        <v>1</v>
      </c>
      <c r="G1623" s="1" t="str">
        <f>IFERROR(__xludf.DUMMYFUNCTION("""COMPUTED_VALUE"""),"3 mos")</f>
        <v>3 mos</v>
      </c>
      <c r="H1623" s="1" t="str">
        <f>IFERROR(__xludf.DUMMYFUNCTION("""COMPUTED_VALUE"""),"comment")</f>
        <v>comment</v>
      </c>
      <c r="I1623"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3" s="1" t="str">
        <f>IFERROR(__xludf.DUMMYFUNCTION("""COMPUTED_VALUE"""),"2022-07-04T15:43:46.723Z")</f>
        <v>2022-07-04T15:43:46.723Z</v>
      </c>
      <c r="K1623" s="1"/>
    </row>
    <row r="1624">
      <c r="A1624" s="2" t="str">
        <f>IFERROR(__xludf.DUMMYFUNCTION("""COMPUTED_VALUE"""),"https://www.facebook.com/profile.php?id=100077417917077")</f>
        <v>https://www.facebook.com/profile.php?id=100077417917077</v>
      </c>
      <c r="B1624" s="1" t="str">
        <f>IFERROR(__xludf.DUMMYFUNCTION("""COMPUTED_VALUE"""),"Shelby Cuyegkeng")</f>
        <v>Shelby Cuyegkeng</v>
      </c>
      <c r="C1624" s="1" t="str">
        <f>IFERROR(__xludf.DUMMYFUNCTION("""COMPUTED_VALUE"""),"Shelby")</f>
        <v>Shelby</v>
      </c>
      <c r="D1624" s="1" t="str">
        <f>IFERROR(__xludf.DUMMYFUNCTION("""COMPUTED_VALUE"""),"Cuyegkeng")</f>
        <v>Cuyegkeng</v>
      </c>
      <c r="E1624" s="1" t="str">
        <f>IFERROR(__xludf.DUMMYFUNCTION("""COMPUTED_VALUE"""),"kay Isko ang boto ko please vote #3ParaKayIsko #3forme   Among the candidates? Isko Moreno lang ako.")</f>
        <v>kay Isko ang boto ko please vote #3ParaKayIsko #3forme   Among the candidates? Isko Moreno lang ako.</v>
      </c>
      <c r="F1624" s="1">
        <f>IFERROR(__xludf.DUMMYFUNCTION("""COMPUTED_VALUE"""),1.0)</f>
        <v>1</v>
      </c>
      <c r="G1624" s="1" t="str">
        <f>IFERROR(__xludf.DUMMYFUNCTION("""COMPUTED_VALUE"""),"3 mos")</f>
        <v>3 mos</v>
      </c>
      <c r="H1624" s="1" t="str">
        <f>IFERROR(__xludf.DUMMYFUNCTION("""COMPUTED_VALUE"""),"comment")</f>
        <v>comment</v>
      </c>
      <c r="I1624"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4" s="1" t="str">
        <f>IFERROR(__xludf.DUMMYFUNCTION("""COMPUTED_VALUE"""),"2022-07-04T15:43:46.723Z")</f>
        <v>2022-07-04T15:43:46.723Z</v>
      </c>
      <c r="K1624" s="1"/>
    </row>
    <row r="1625">
      <c r="A1625" s="2" t="str">
        <f>IFERROR(__xludf.DUMMYFUNCTION("""COMPUTED_VALUE"""),"https://www.facebook.com/profile.php?id=100077279991106")</f>
        <v>https://www.facebook.com/profile.php?id=100077279991106</v>
      </c>
      <c r="B1625" s="1" t="str">
        <f>IFERROR(__xludf.DUMMYFUNCTION("""COMPUTED_VALUE"""),"Marietta Mesías")</f>
        <v>Marietta Mesías</v>
      </c>
      <c r="C1625" s="1" t="str">
        <f>IFERROR(__xludf.DUMMYFUNCTION("""COMPUTED_VALUE"""),"Marietta")</f>
        <v>Marietta</v>
      </c>
      <c r="D1625" s="1" t="str">
        <f>IFERROR(__xludf.DUMMYFUNCTION("""COMPUTED_VALUE"""),"Mesías")</f>
        <v>Mesías</v>
      </c>
      <c r="E1625" s="1" t="str">
        <f>IFERROR(__xludf.DUMMYFUNCTION("""COMPUTED_VALUE"""),"can't wait for Isko 💙 to have higher position.. isko ang iboto natin sa pagka-Presidente")</f>
        <v>can't wait for Isko 💙 to have higher position.. isko ang iboto natin sa pagka-Presidente</v>
      </c>
      <c r="F1625" s="1">
        <f>IFERROR(__xludf.DUMMYFUNCTION("""COMPUTED_VALUE"""),1.0)</f>
        <v>1</v>
      </c>
      <c r="G1625" s="1" t="str">
        <f>IFERROR(__xludf.DUMMYFUNCTION("""COMPUTED_VALUE"""),"3 mos")</f>
        <v>3 mos</v>
      </c>
      <c r="H1625" s="1" t="str">
        <f>IFERROR(__xludf.DUMMYFUNCTION("""COMPUTED_VALUE"""),"comment")</f>
        <v>comment</v>
      </c>
      <c r="I1625"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5" s="1" t="str">
        <f>IFERROR(__xludf.DUMMYFUNCTION("""COMPUTED_VALUE"""),"2022-07-04T15:43:46.723Z")</f>
        <v>2022-07-04T15:43:46.723Z</v>
      </c>
      <c r="K1625" s="1"/>
    </row>
    <row r="1626">
      <c r="A1626" s="2" t="str">
        <f>IFERROR(__xludf.DUMMYFUNCTION("""COMPUTED_VALUE"""),"https://www.facebook.com/profile.php?id=100078582816731")</f>
        <v>https://www.facebook.com/profile.php?id=100078582816731</v>
      </c>
      <c r="B1626" s="1" t="str">
        <f>IFERROR(__xludf.DUMMYFUNCTION("""COMPUTED_VALUE"""),"Flavio Jardenil")</f>
        <v>Flavio Jardenil</v>
      </c>
      <c r="C1626" s="1" t="str">
        <f>IFERROR(__xludf.DUMMYFUNCTION("""COMPUTED_VALUE"""),"Flavio")</f>
        <v>Flavio</v>
      </c>
      <c r="D1626" s="1" t="str">
        <f>IFERROR(__xludf.DUMMYFUNCTION("""COMPUTED_VALUE"""),"Jardenil")</f>
        <v>Jardenil</v>
      </c>
      <c r="E1626" s="1" t="str">
        <f>IFERROR(__xludf.DUMMYFUNCTION("""COMPUTED_VALUE"""),"may tiwala talaga kami sayo Isko Moreno  dapat talaga ganyan Mayor Isko Moreno")</f>
        <v>may tiwala talaga kami sayo Isko Moreno  dapat talaga ganyan Mayor Isko Moreno</v>
      </c>
      <c r="F1626" s="1">
        <f>IFERROR(__xludf.DUMMYFUNCTION("""COMPUTED_VALUE"""),1.0)</f>
        <v>1</v>
      </c>
      <c r="G1626" s="1" t="str">
        <f>IFERROR(__xludf.DUMMYFUNCTION("""COMPUTED_VALUE"""),"3 mos")</f>
        <v>3 mos</v>
      </c>
      <c r="H1626" s="1" t="str">
        <f>IFERROR(__xludf.DUMMYFUNCTION("""COMPUTED_VALUE"""),"comment")</f>
        <v>comment</v>
      </c>
      <c r="I1626"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6" s="1" t="str">
        <f>IFERROR(__xludf.DUMMYFUNCTION("""COMPUTED_VALUE"""),"2022-07-04T15:43:46.723Z")</f>
        <v>2022-07-04T15:43:46.723Z</v>
      </c>
      <c r="K1626" s="1"/>
    </row>
    <row r="1627">
      <c r="A1627" s="2" t="str">
        <f>IFERROR(__xludf.DUMMYFUNCTION("""COMPUTED_VALUE"""),"https://www.facebook.com/eden.lara")</f>
        <v>https://www.facebook.com/eden.lara</v>
      </c>
      <c r="B1627" s="1" t="str">
        <f>IFERROR(__xludf.DUMMYFUNCTION("""COMPUTED_VALUE"""),"Eden Lara")</f>
        <v>Eden Lara</v>
      </c>
      <c r="C1627" s="1" t="str">
        <f>IFERROR(__xludf.DUMMYFUNCTION("""COMPUTED_VALUE"""),"Eden")</f>
        <v>Eden</v>
      </c>
      <c r="D1627" s="1" t="str">
        <f>IFERROR(__xludf.DUMMYFUNCTION("""COMPUTED_VALUE"""),"Lara")</f>
        <v>Lara</v>
      </c>
      <c r="E1627" s="1" t="str">
        <f>IFERROR(__xludf.DUMMYFUNCTION("""COMPUTED_VALUE"""),"Eden Lara")</f>
        <v>Eden Lara</v>
      </c>
      <c r="F1627" s="1"/>
      <c r="G1627" s="1" t="str">
        <f>IFERROR(__xludf.DUMMYFUNCTION("""COMPUTED_VALUE"""),"3 mos")</f>
        <v>3 mos</v>
      </c>
      <c r="H1627" s="1" t="str">
        <f>IFERROR(__xludf.DUMMYFUNCTION("""COMPUTED_VALUE"""),"comment")</f>
        <v>comment</v>
      </c>
      <c r="I1627"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7" s="1" t="str">
        <f>IFERROR(__xludf.DUMMYFUNCTION("""COMPUTED_VALUE"""),"2022-07-04T15:43:46.723Z")</f>
        <v>2022-07-04T15:43:46.723Z</v>
      </c>
      <c r="K1627" s="1"/>
    </row>
    <row r="1628">
      <c r="A1628" s="2" t="str">
        <f>IFERROR(__xludf.DUMMYFUNCTION("""COMPUTED_VALUE"""),"https://www.facebook.com/florence.tejada.31")</f>
        <v>https://www.facebook.com/florence.tejada.31</v>
      </c>
      <c r="B1628" s="1" t="str">
        <f>IFERROR(__xludf.DUMMYFUNCTION("""COMPUTED_VALUE"""),"Ana Florences Salvador")</f>
        <v>Ana Florences Salvador</v>
      </c>
      <c r="C1628" s="1" t="str">
        <f>IFERROR(__xludf.DUMMYFUNCTION("""COMPUTED_VALUE"""),"Ana")</f>
        <v>Ana</v>
      </c>
      <c r="D1628" s="1" t="str">
        <f>IFERROR(__xludf.DUMMYFUNCTION("""COMPUTED_VALUE"""),"Florences Salvador")</f>
        <v>Florences Salvador</v>
      </c>
      <c r="E1628" s="1" t="str">
        <f>IFERROR(__xludf.DUMMYFUNCTION("""COMPUTED_VALUE"""),"Iba Ang cnsbi iba Ang gngawa hahaha politiko tlga magaling mambola")</f>
        <v>Iba Ang cnsbi iba Ang gngawa hahaha politiko tlga magaling mambola</v>
      </c>
      <c r="F1628" s="1">
        <f>IFERROR(__xludf.DUMMYFUNCTION("""COMPUTED_VALUE"""),1.0)</f>
        <v>1</v>
      </c>
      <c r="G1628" s="1" t="str">
        <f>IFERROR(__xludf.DUMMYFUNCTION("""COMPUTED_VALUE"""),"3 mos")</f>
        <v>3 mos</v>
      </c>
      <c r="H1628" s="1" t="str">
        <f>IFERROR(__xludf.DUMMYFUNCTION("""COMPUTED_VALUE"""),"comment")</f>
        <v>comment</v>
      </c>
      <c r="I1628"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8" s="1" t="str">
        <f>IFERROR(__xludf.DUMMYFUNCTION("""COMPUTED_VALUE"""),"2022-07-04T15:43:46.723Z")</f>
        <v>2022-07-04T15:43:46.723Z</v>
      </c>
      <c r="K1628" s="1"/>
    </row>
    <row r="1629">
      <c r="A1629" s="2" t="str">
        <f>IFERROR(__xludf.DUMMYFUNCTION("""COMPUTED_VALUE"""),"https://www.facebook.com/arjay.quirino.5")</f>
        <v>https://www.facebook.com/arjay.quirino.5</v>
      </c>
      <c r="B1629" s="1" t="str">
        <f>IFERROR(__xludf.DUMMYFUNCTION("""COMPUTED_VALUE"""),"Arjay Quirino")</f>
        <v>Arjay Quirino</v>
      </c>
      <c r="C1629" s="1" t="str">
        <f>IFERROR(__xludf.DUMMYFUNCTION("""COMPUTED_VALUE"""),"Arjay")</f>
        <v>Arjay</v>
      </c>
      <c r="D1629" s="1" t="str">
        <f>IFERROR(__xludf.DUMMYFUNCTION("""COMPUTED_VALUE"""),"Quirino")</f>
        <v>Quirino</v>
      </c>
      <c r="E1629" s="1" t="str">
        <f>IFERROR(__xludf.DUMMYFUNCTION("""COMPUTED_VALUE"""),"ang malas naman")</f>
        <v>ang malas naman</v>
      </c>
      <c r="F1629" s="1"/>
      <c r="G1629" s="1" t="str">
        <f>IFERROR(__xludf.DUMMYFUNCTION("""COMPUTED_VALUE"""),"3 mos")</f>
        <v>3 mos</v>
      </c>
      <c r="H1629" s="1" t="str">
        <f>IFERROR(__xludf.DUMMYFUNCTION("""COMPUTED_VALUE"""),"comment")</f>
        <v>comment</v>
      </c>
      <c r="I1629"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29" s="1" t="str">
        <f>IFERROR(__xludf.DUMMYFUNCTION("""COMPUTED_VALUE"""),"2022-07-04T15:43:46.723Z")</f>
        <v>2022-07-04T15:43:46.723Z</v>
      </c>
      <c r="K1629" s="1"/>
    </row>
    <row r="1630">
      <c r="A1630" s="2" t="str">
        <f>IFERROR(__xludf.DUMMYFUNCTION("""COMPUTED_VALUE"""),"https://www.facebook.com/mayumi.cruz.90")</f>
        <v>https://www.facebook.com/mayumi.cruz.90</v>
      </c>
      <c r="B1630" s="1" t="str">
        <f>IFERROR(__xludf.DUMMYFUNCTION("""COMPUTED_VALUE"""),"Mayumi Cruz")</f>
        <v>Mayumi Cruz</v>
      </c>
      <c r="C1630" s="1" t="str">
        <f>IFERROR(__xludf.DUMMYFUNCTION("""COMPUTED_VALUE"""),"Mayumi")</f>
        <v>Mayumi</v>
      </c>
      <c r="D1630" s="1" t="str">
        <f>IFERROR(__xludf.DUMMYFUNCTION("""COMPUTED_VALUE"""),"Cruz")</f>
        <v>Cruz</v>
      </c>
      <c r="E1630" s="1" t="str">
        <f>IFERROR(__xludf.DUMMYFUNCTION("""COMPUTED_VALUE"""),"Aysus, ang san nicolas ay malapit lang sa bulkan. Ang totoo natakot ka na biglang sumabog ito.")</f>
        <v>Aysus, ang san nicolas ay malapit lang sa bulkan. Ang totoo natakot ka na biglang sumabog ito.</v>
      </c>
      <c r="F1630" s="1"/>
      <c r="G1630" s="1" t="str">
        <f>IFERROR(__xludf.DUMMYFUNCTION("""COMPUTED_VALUE"""),"3 mos")</f>
        <v>3 mos</v>
      </c>
      <c r="H1630" s="1" t="str">
        <f>IFERROR(__xludf.DUMMYFUNCTION("""COMPUTED_VALUE"""),"comment")</f>
        <v>comment</v>
      </c>
      <c r="I1630"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0" s="1" t="str">
        <f>IFERROR(__xludf.DUMMYFUNCTION("""COMPUTED_VALUE"""),"2022-07-04T15:43:46.723Z")</f>
        <v>2022-07-04T15:43:46.723Z</v>
      </c>
      <c r="K1630" s="1"/>
    </row>
    <row r="1631">
      <c r="A1631" s="2" t="str">
        <f>IFERROR(__xludf.DUMMYFUNCTION("""COMPUTED_VALUE"""),"https://www.facebook.com/jayceeguspid")</f>
        <v>https://www.facebook.com/jayceeguspid</v>
      </c>
      <c r="B1631" s="1" t="str">
        <f>IFERROR(__xludf.DUMMYFUNCTION("""COMPUTED_VALUE"""),"Jhay AR Domingo Guspid")</f>
        <v>Jhay AR Domingo Guspid</v>
      </c>
      <c r="C1631" s="1" t="str">
        <f>IFERROR(__xludf.DUMMYFUNCTION("""COMPUTED_VALUE"""),"Jhay")</f>
        <v>Jhay</v>
      </c>
      <c r="D1631" s="1" t="str">
        <f>IFERROR(__xludf.DUMMYFUNCTION("""COMPUTED_VALUE"""),"AR Domingo Guspid")</f>
        <v>AR Domingo Guspid</v>
      </c>
      <c r="E1631" s="1" t="str">
        <f>IFERROR(__xludf.DUMMYFUNCTION("""COMPUTED_VALUE"""),"Hayy nako kht anong sabhin nio namulat na ang mga tao..")</f>
        <v>Hayy nako kht anong sabhin nio namulat na ang mga tao..</v>
      </c>
      <c r="F1631" s="1"/>
      <c r="G1631" s="1" t="str">
        <f>IFERROR(__xludf.DUMMYFUNCTION("""COMPUTED_VALUE"""),"3 mos")</f>
        <v>3 mos</v>
      </c>
      <c r="H1631" s="1" t="str">
        <f>IFERROR(__xludf.DUMMYFUNCTION("""COMPUTED_VALUE"""),"comment")</f>
        <v>comment</v>
      </c>
      <c r="I1631"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1" s="1" t="str">
        <f>IFERROR(__xludf.DUMMYFUNCTION("""COMPUTED_VALUE"""),"2022-07-04T15:43:46.723Z")</f>
        <v>2022-07-04T15:43:46.723Z</v>
      </c>
      <c r="K1631" s="1"/>
    </row>
    <row r="1632">
      <c r="A1632" s="2" t="str">
        <f>IFERROR(__xludf.DUMMYFUNCTION("""COMPUTED_VALUE"""),"https://www.facebook.com/jaime.gacusan.12")</f>
        <v>https://www.facebook.com/jaime.gacusan.12</v>
      </c>
      <c r="B1632" s="1" t="str">
        <f>IFERROR(__xludf.DUMMYFUNCTION("""COMPUTED_VALUE"""),"Jaime Bustamante Gacusan")</f>
        <v>Jaime Bustamante Gacusan</v>
      </c>
      <c r="C1632" s="1" t="str">
        <f>IFERROR(__xludf.DUMMYFUNCTION("""COMPUTED_VALUE"""),"Jaime")</f>
        <v>Jaime</v>
      </c>
      <c r="D1632" s="1" t="str">
        <f>IFERROR(__xludf.DUMMYFUNCTION("""COMPUTED_VALUE"""),"Bustamante Gacusan")</f>
        <v>Bustamante Gacusan</v>
      </c>
      <c r="E1632" s="1" t="str">
        <f>IFERROR(__xludf.DUMMYFUNCTION("""COMPUTED_VALUE"""),"Ndi mo ako makukuha sa buladas mo tolongges🤣🤣")</f>
        <v>Ndi mo ako makukuha sa buladas mo tolongges🤣🤣</v>
      </c>
      <c r="F1632" s="1">
        <f>IFERROR(__xludf.DUMMYFUNCTION("""COMPUTED_VALUE"""),1.0)</f>
        <v>1</v>
      </c>
      <c r="G1632" s="1" t="str">
        <f>IFERROR(__xludf.DUMMYFUNCTION("""COMPUTED_VALUE"""),"3 mos")</f>
        <v>3 mos</v>
      </c>
      <c r="H1632" s="1" t="str">
        <f>IFERROR(__xludf.DUMMYFUNCTION("""COMPUTED_VALUE"""),"comment")</f>
        <v>comment</v>
      </c>
      <c r="I1632"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2" s="1" t="str">
        <f>IFERROR(__xludf.DUMMYFUNCTION("""COMPUTED_VALUE"""),"2022-07-04T15:43:46.723Z")</f>
        <v>2022-07-04T15:43:46.723Z</v>
      </c>
      <c r="K1632" s="1"/>
    </row>
    <row r="1633">
      <c r="A1633" s="2" t="str">
        <f>IFERROR(__xludf.DUMMYFUNCTION("""COMPUTED_VALUE"""),"https://www.facebook.com/wallye.napua")</f>
        <v>https://www.facebook.com/wallye.napua</v>
      </c>
      <c r="B1633" s="1" t="str">
        <f>IFERROR(__xludf.DUMMYFUNCTION("""COMPUTED_VALUE"""),"Wally E Napua")</f>
        <v>Wally E Napua</v>
      </c>
      <c r="C1633" s="1" t="str">
        <f>IFERROR(__xludf.DUMMYFUNCTION("""COMPUTED_VALUE"""),"Wally")</f>
        <v>Wally</v>
      </c>
      <c r="D1633" s="1" t="str">
        <f>IFERROR(__xludf.DUMMYFUNCTION("""COMPUTED_VALUE"""),"E Napua")</f>
        <v>E Napua</v>
      </c>
      <c r="E1633" s="1" t="str">
        <f>IFERROR(__xludf.DUMMYFUNCTION("""COMPUTED_VALUE"""),"Nag ulburoto taal baka daw ibenta ni isko 😄🤣😂😆")</f>
        <v>Nag ulburoto taal baka daw ibenta ni isko 😄🤣😂😆</v>
      </c>
      <c r="F1633" s="1">
        <f>IFERROR(__xludf.DUMMYFUNCTION("""COMPUTED_VALUE"""),3.0)</f>
        <v>3</v>
      </c>
      <c r="G1633" s="1" t="str">
        <f>IFERROR(__xludf.DUMMYFUNCTION("""COMPUTED_VALUE"""),"3 mos")</f>
        <v>3 mos</v>
      </c>
      <c r="H1633" s="1" t="str">
        <f>IFERROR(__xludf.DUMMYFUNCTION("""COMPUTED_VALUE"""),"comment")</f>
        <v>comment</v>
      </c>
      <c r="I1633"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3" s="1" t="str">
        <f>IFERROR(__xludf.DUMMYFUNCTION("""COMPUTED_VALUE"""),"2022-07-04T15:43:46.723Z")</f>
        <v>2022-07-04T15:43:46.723Z</v>
      </c>
      <c r="K1633" s="1"/>
    </row>
    <row r="1634">
      <c r="A1634" s="2" t="str">
        <f>IFERROR(__xludf.DUMMYFUNCTION("""COMPUTED_VALUE"""),"https://www.facebook.com/airajoyces")</f>
        <v>https://www.facebook.com/airajoyces</v>
      </c>
      <c r="B1634" s="1" t="str">
        <f>IFERROR(__xludf.DUMMYFUNCTION("""COMPUTED_VALUE"""),"AiRa JOyce")</f>
        <v>AiRa JOyce</v>
      </c>
      <c r="C1634" s="1" t="str">
        <f>IFERROR(__xludf.DUMMYFUNCTION("""COMPUTED_VALUE"""),"AiRa")</f>
        <v>AiRa</v>
      </c>
      <c r="D1634" s="1" t="str">
        <f>IFERROR(__xludf.DUMMYFUNCTION("""COMPUTED_VALUE"""),"JOyce")</f>
        <v>JOyce</v>
      </c>
      <c r="E1634" s="1" t="str">
        <f>IFERROR(__xludf.DUMMYFUNCTION("""COMPUTED_VALUE"""),"Artista tlaga....,🙄")</f>
        <v>Artista tlaga....,🙄</v>
      </c>
      <c r="F1634" s="1">
        <f>IFERROR(__xludf.DUMMYFUNCTION("""COMPUTED_VALUE"""),1.0)</f>
        <v>1</v>
      </c>
      <c r="G1634" s="1" t="str">
        <f>IFERROR(__xludf.DUMMYFUNCTION("""COMPUTED_VALUE"""),"3 mos")</f>
        <v>3 mos</v>
      </c>
      <c r="H1634" s="1" t="str">
        <f>IFERROR(__xludf.DUMMYFUNCTION("""COMPUTED_VALUE"""),"comment")</f>
        <v>comment</v>
      </c>
      <c r="I1634"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4" s="1" t="str">
        <f>IFERROR(__xludf.DUMMYFUNCTION("""COMPUTED_VALUE"""),"2022-07-04T15:43:46.723Z")</f>
        <v>2022-07-04T15:43:46.723Z</v>
      </c>
      <c r="K1634" s="1"/>
    </row>
    <row r="1635">
      <c r="A1635" s="2" t="str">
        <f>IFERROR(__xludf.DUMMYFUNCTION("""COMPUTED_VALUE"""),"https://www.facebook.com/rene.r.galang.5")</f>
        <v>https://www.facebook.com/rene.r.galang.5</v>
      </c>
      <c r="B1635" s="1" t="str">
        <f>IFERROR(__xludf.DUMMYFUNCTION("""COMPUTED_VALUE"""),"Leo Lastimosa Bayot")</f>
        <v>Leo Lastimosa Bayot</v>
      </c>
      <c r="C1635" s="1" t="str">
        <f>IFERROR(__xludf.DUMMYFUNCTION("""COMPUTED_VALUE"""),"Leo")</f>
        <v>Leo</v>
      </c>
      <c r="D1635" s="1" t="str">
        <f>IFERROR(__xludf.DUMMYFUNCTION("""COMPUTED_VALUE"""),"Lastimosa Bayot")</f>
        <v>Lastimosa Bayot</v>
      </c>
      <c r="E1635" s="1" t="str">
        <f>IFERROR(__xludf.DUMMYFUNCTION("""COMPUTED_VALUE"""),"Pahoway nalang.")</f>
        <v>Pahoway nalang.</v>
      </c>
      <c r="F1635" s="1"/>
      <c r="G1635" s="1" t="str">
        <f>IFERROR(__xludf.DUMMYFUNCTION("""COMPUTED_VALUE"""),"3 mos")</f>
        <v>3 mos</v>
      </c>
      <c r="H1635" s="1" t="str">
        <f>IFERROR(__xludf.DUMMYFUNCTION("""COMPUTED_VALUE"""),"comment")</f>
        <v>comment</v>
      </c>
      <c r="I1635"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5" s="1" t="str">
        <f>IFERROR(__xludf.DUMMYFUNCTION("""COMPUTED_VALUE"""),"2022-07-04T15:43:46.724Z")</f>
        <v>2022-07-04T15:43:46.724Z</v>
      </c>
      <c r="K1635" s="1"/>
    </row>
    <row r="1636">
      <c r="A1636" s="2" t="str">
        <f>IFERROR(__xludf.DUMMYFUNCTION("""COMPUTED_VALUE"""),"https://www.facebook.com/clarenceedward.castillo")</f>
        <v>https://www.facebook.com/clarenceedward.castillo</v>
      </c>
      <c r="B1636" s="1" t="str">
        <f>IFERROR(__xludf.DUMMYFUNCTION("""COMPUTED_VALUE"""),"Clarence Edward Castillo")</f>
        <v>Clarence Edward Castillo</v>
      </c>
      <c r="C1636" s="1" t="str">
        <f>IFERROR(__xludf.DUMMYFUNCTION("""COMPUTED_VALUE"""),"Clarence")</f>
        <v>Clarence</v>
      </c>
      <c r="D1636" s="1" t="str">
        <f>IFERROR(__xludf.DUMMYFUNCTION("""COMPUTED_VALUE"""),"Edward Castillo")</f>
        <v>Edward Castillo</v>
      </c>
      <c r="E1636" s="1" t="str">
        <f>IFERROR(__xludf.DUMMYFUNCTION("""COMPUTED_VALUE"""),"Yung divi yorme musta nmn?! 🤔")</f>
        <v>Yung divi yorme musta nmn?! 🤔</v>
      </c>
      <c r="F1636" s="1">
        <f>IFERROR(__xludf.DUMMYFUNCTION("""COMPUTED_VALUE"""),1.0)</f>
        <v>1</v>
      </c>
      <c r="G1636" s="1" t="str">
        <f>IFERROR(__xludf.DUMMYFUNCTION("""COMPUTED_VALUE"""),"3 mos")</f>
        <v>3 mos</v>
      </c>
      <c r="H1636" s="1" t="str">
        <f>IFERROR(__xludf.DUMMYFUNCTION("""COMPUTED_VALUE"""),"comment")</f>
        <v>comment</v>
      </c>
      <c r="I1636"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6" s="1" t="str">
        <f>IFERROR(__xludf.DUMMYFUNCTION("""COMPUTED_VALUE"""),"2022-07-04T15:43:46.724Z")</f>
        <v>2022-07-04T15:43:46.724Z</v>
      </c>
      <c r="K1636" s="1"/>
    </row>
    <row r="1637">
      <c r="A1637" s="2" t="str">
        <f>IFERROR(__xludf.DUMMYFUNCTION("""COMPUTED_VALUE"""),"https://www.facebook.com/carandang.rnold")</f>
        <v>https://www.facebook.com/carandang.rnold</v>
      </c>
      <c r="B1637" s="1" t="str">
        <f>IFERROR(__xludf.DUMMYFUNCTION("""COMPUTED_VALUE"""),"Carandang Rnold")</f>
        <v>Carandang Rnold</v>
      </c>
      <c r="C1637" s="1" t="str">
        <f>IFERROR(__xludf.DUMMYFUNCTION("""COMPUTED_VALUE"""),"Carandang")</f>
        <v>Carandang</v>
      </c>
      <c r="D1637" s="1" t="str">
        <f>IFERROR(__xludf.DUMMYFUNCTION("""COMPUTED_VALUE"""),"Rnold")</f>
        <v>Rnold</v>
      </c>
      <c r="E1637" s="1" t="str">
        <f>IFERROR(__xludf.DUMMYFUNCTION("""COMPUTED_VALUE"""),"Sus Yun mga tindera dun nawalang hanapbuhay")</f>
        <v>Sus Yun mga tindera dun nawalang hanapbuhay</v>
      </c>
      <c r="F1637" s="1"/>
      <c r="G1637" s="1" t="str">
        <f>IFERROR(__xludf.DUMMYFUNCTION("""COMPUTED_VALUE"""),"3 mos")</f>
        <v>3 mos</v>
      </c>
      <c r="H1637" s="1" t="str">
        <f>IFERROR(__xludf.DUMMYFUNCTION("""COMPUTED_VALUE"""),"comment")</f>
        <v>comment</v>
      </c>
      <c r="I1637"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7" s="1" t="str">
        <f>IFERROR(__xludf.DUMMYFUNCTION("""COMPUTED_VALUE"""),"2022-07-04T15:43:46.724Z")</f>
        <v>2022-07-04T15:43:46.724Z</v>
      </c>
      <c r="K1637" s="1"/>
    </row>
    <row r="1638">
      <c r="A1638" s="2" t="str">
        <f>IFERROR(__xludf.DUMMYFUNCTION("""COMPUTED_VALUE"""),"https://www.facebook.com/wyralin.fuentes")</f>
        <v>https://www.facebook.com/wyralin.fuentes</v>
      </c>
      <c r="B1638" s="1" t="str">
        <f>IFERROR(__xludf.DUMMYFUNCTION("""COMPUTED_VALUE"""),"Wyralin Fuentes")</f>
        <v>Wyralin Fuentes</v>
      </c>
      <c r="C1638" s="1" t="str">
        <f>IFERROR(__xludf.DUMMYFUNCTION("""COMPUTED_VALUE"""),"Wyralin")</f>
        <v>Wyralin</v>
      </c>
      <c r="D1638" s="1" t="str">
        <f>IFERROR(__xludf.DUMMYFUNCTION("""COMPUTED_VALUE"""),"Fuentes")</f>
        <v>Fuentes</v>
      </c>
      <c r="E1638" s="1" t="str">
        <f>IFERROR(__xludf.DUMMYFUNCTION("""COMPUTED_VALUE"""),"Go go go isko..tama ginawa mo")</f>
        <v>Go go go isko..tama ginawa mo</v>
      </c>
      <c r="F1638" s="1">
        <f>IFERROR(__xludf.DUMMYFUNCTION("""COMPUTED_VALUE"""),1.0)</f>
        <v>1</v>
      </c>
      <c r="G1638" s="1" t="str">
        <f>IFERROR(__xludf.DUMMYFUNCTION("""COMPUTED_VALUE"""),"3 mos")</f>
        <v>3 mos</v>
      </c>
      <c r="H1638" s="1" t="str">
        <f>IFERROR(__xludf.DUMMYFUNCTION("""COMPUTED_VALUE"""),"comment")</f>
        <v>comment</v>
      </c>
      <c r="I1638" s="2" t="str">
        <f>IFERROR(__xludf.DUMMYFUNCTION("""COMPUTED_VALUE"""),"https://www.facebook.com/rapplerdotcom/posts/pfbid035u2RhZvcYSiCeymgBfXLoFoq87y2V8v81A9xDtyoKJgzTGtotsEEoj2bH7Zd4mtzl")</f>
        <v>https://www.facebook.com/rapplerdotcom/posts/pfbid035u2RhZvcYSiCeymgBfXLoFoq87y2V8v81A9xDtyoKJgzTGtotsEEoj2bH7Zd4mtzl</v>
      </c>
      <c r="J1638" s="1" t="str">
        <f>IFERROR(__xludf.DUMMYFUNCTION("""COMPUTED_VALUE"""),"2022-07-04T15:43:46.724Z")</f>
        <v>2022-07-04T15:43:46.724Z</v>
      </c>
      <c r="K1638" s="1"/>
    </row>
    <row r="1639">
      <c r="A1639" s="2" t="str">
        <f>IFERROR(__xludf.DUMMYFUNCTION("""COMPUTED_VALUE"""),"https://www.facebook.com/nuelle.dominguezduterte.5")</f>
        <v>https://www.facebook.com/nuelle.dominguezduterte.5</v>
      </c>
      <c r="B1639" s="1" t="str">
        <f>IFERROR(__xludf.DUMMYFUNCTION("""COMPUTED_VALUE"""),"Nuelle Duterte")</f>
        <v>Nuelle Duterte</v>
      </c>
      <c r="C1639" s="1" t="str">
        <f>IFERROR(__xludf.DUMMYFUNCTION("""COMPUTED_VALUE"""),"Nuelle")</f>
        <v>Nuelle</v>
      </c>
      <c r="D1639" s="1" t="str">
        <f>IFERROR(__xludf.DUMMYFUNCTION("""COMPUTED_VALUE"""),"Duterte")</f>
        <v>Duterte</v>
      </c>
      <c r="E1639" s="1" t="str">
        <f>IFERROR(__xludf.DUMMYFUNCTION("""COMPUTED_VALUE"""),"May point sya. And that would be an interesting thing to tackle alongside the Church.")</f>
        <v>May point sya. And that would be an interesting thing to tackle alongside the Church.</v>
      </c>
      <c r="F1639" s="1">
        <f>IFERROR(__xludf.DUMMYFUNCTION("""COMPUTED_VALUE"""),126.0)</f>
        <v>126</v>
      </c>
      <c r="G1639" s="1" t="str">
        <f>IFERROR(__xludf.DUMMYFUNCTION("""COMPUTED_VALUE"""),"3 mos")</f>
        <v>3 mos</v>
      </c>
      <c r="H1639" s="1" t="str">
        <f>IFERROR(__xludf.DUMMYFUNCTION("""COMPUTED_VALUE"""),"comment")</f>
        <v>comment</v>
      </c>
      <c r="I1639" s="2" t="str">
        <f>IFERROR(__xludf.DUMMYFUNCTION("""COMPUTED_VALUE"""),"https://www.facebook.com/rapplerdotcom/photos/a.317154781638645/5595372260483511/")</f>
        <v>https://www.facebook.com/rapplerdotcom/photos/a.317154781638645/5595372260483511/</v>
      </c>
      <c r="J1639" s="1" t="str">
        <f>IFERROR(__xludf.DUMMYFUNCTION("""COMPUTED_VALUE"""),"2022-07-04T15:44:55.421Z")</f>
        <v>2022-07-04T15:44:55.421Z</v>
      </c>
      <c r="K1639" s="1"/>
    </row>
    <row r="1640">
      <c r="A1640" s="2" t="str">
        <f>IFERROR(__xludf.DUMMYFUNCTION("""COMPUTED_VALUE"""),"https://www.facebook.com/orchid.blk")</f>
        <v>https://www.facebook.com/orchid.blk</v>
      </c>
      <c r="B1640" s="1" t="str">
        <f>IFERROR(__xludf.DUMMYFUNCTION("""COMPUTED_VALUE"""),"Dwin Orchids")</f>
        <v>Dwin Orchids</v>
      </c>
      <c r="C1640" s="1" t="str">
        <f>IFERROR(__xludf.DUMMYFUNCTION("""COMPUTED_VALUE"""),"Dwin")</f>
        <v>Dwin</v>
      </c>
      <c r="D1640" s="1" t="str">
        <f>IFERROR(__xludf.DUMMYFUNCTION("""COMPUTED_VALUE"""),"Orchids")</f>
        <v>Orchids</v>
      </c>
      <c r="E1640" s="1" t="str">
        <f>IFERROR(__xludf.DUMMYFUNCTION("""COMPUTED_VALUE"""),"Nuelle Duterte yes maam Nuelle")</f>
        <v>Nuelle Duterte yes maam Nuelle</v>
      </c>
      <c r="F1640" s="1"/>
      <c r="G1640" s="1" t="str">
        <f>IFERROR(__xludf.DUMMYFUNCTION("""COMPUTED_VALUE"""),"3 mos")</f>
        <v>3 mos</v>
      </c>
      <c r="H1640" s="1" t="str">
        <f>IFERROR(__xludf.DUMMYFUNCTION("""COMPUTED_VALUE"""),"reply")</f>
        <v>reply</v>
      </c>
      <c r="I1640" s="2" t="str">
        <f>IFERROR(__xludf.DUMMYFUNCTION("""COMPUTED_VALUE"""),"https://www.facebook.com/rapplerdotcom/photos/a.317154781638645/5595372260483511/")</f>
        <v>https://www.facebook.com/rapplerdotcom/photos/a.317154781638645/5595372260483511/</v>
      </c>
      <c r="J1640" s="1" t="str">
        <f>IFERROR(__xludf.DUMMYFUNCTION("""COMPUTED_VALUE"""),"2022-07-04T15:44:55.421Z")</f>
        <v>2022-07-04T15:44:55.421Z</v>
      </c>
      <c r="K1640" s="1"/>
    </row>
    <row r="1641">
      <c r="A1641" s="2" t="str">
        <f>IFERROR(__xludf.DUMMYFUNCTION("""COMPUTED_VALUE"""),"https://www.facebook.com/bulacan.trolley")</f>
        <v>https://www.facebook.com/bulacan.trolley</v>
      </c>
      <c r="B1641" s="1" t="str">
        <f>IFERROR(__xludf.DUMMYFUNCTION("""COMPUTED_VALUE"""),"Bulacan Trolley")</f>
        <v>Bulacan Trolley</v>
      </c>
      <c r="C1641" s="1" t="str">
        <f>IFERROR(__xludf.DUMMYFUNCTION("""COMPUTED_VALUE"""),"Bulacan")</f>
        <v>Bulacan</v>
      </c>
      <c r="D1641" s="1" t="str">
        <f>IFERROR(__xludf.DUMMYFUNCTION("""COMPUTED_VALUE"""),"Trolley")</f>
        <v>Trolley</v>
      </c>
      <c r="E1641" s="1" t="str">
        <f>IFERROR(__xludf.DUMMYFUNCTION("""COMPUTED_VALUE"""),"Kathleen Rosales very bright ka naman 🤪")</f>
        <v>Kathleen Rosales very bright ka naman 🤪</v>
      </c>
      <c r="F1641" s="1"/>
      <c r="G1641" s="1" t="str">
        <f>IFERROR(__xludf.DUMMYFUNCTION("""COMPUTED_VALUE"""),"3 mos")</f>
        <v>3 mos</v>
      </c>
      <c r="H1641" s="1" t="str">
        <f>IFERROR(__xludf.DUMMYFUNCTION("""COMPUTED_VALUE"""),"reply")</f>
        <v>reply</v>
      </c>
      <c r="I1641" s="2" t="str">
        <f>IFERROR(__xludf.DUMMYFUNCTION("""COMPUTED_VALUE"""),"https://www.facebook.com/rapplerdotcom/photos/a.317154781638645/5595372260483511/")</f>
        <v>https://www.facebook.com/rapplerdotcom/photos/a.317154781638645/5595372260483511/</v>
      </c>
      <c r="J1641" s="1" t="str">
        <f>IFERROR(__xludf.DUMMYFUNCTION("""COMPUTED_VALUE"""),"2022-07-04T15:44:55.421Z")</f>
        <v>2022-07-04T15:44:55.421Z</v>
      </c>
      <c r="K1641" s="1"/>
    </row>
    <row r="1642">
      <c r="A1642" s="2" t="str">
        <f>IFERROR(__xludf.DUMMYFUNCTION("""COMPUTED_VALUE"""),"https://www.facebook.com/profile.php?id=100072652930837")</f>
        <v>https://www.facebook.com/profile.php?id=100072652930837</v>
      </c>
      <c r="B1642" s="1" t="str">
        <f>IFERROR(__xludf.DUMMYFUNCTION("""COMPUTED_VALUE"""),"Xie Xie")</f>
        <v>Xie Xie</v>
      </c>
      <c r="C1642" s="1" t="str">
        <f>IFERROR(__xludf.DUMMYFUNCTION("""COMPUTED_VALUE"""),"Xie")</f>
        <v>Xie</v>
      </c>
      <c r="D1642" s="1" t="str">
        <f>IFERROR(__xludf.DUMMYFUNCTION("""COMPUTED_VALUE"""),"Xie")</f>
        <v>Xie</v>
      </c>
      <c r="E1642" s="1" t="str">
        <f>IFERROR(__xludf.DUMMYFUNCTION("""COMPUTED_VALUE"""),"Nuelle Duterte mali kayo,, church ba? hindi ba kay GOD dapat,, marami nagsisimba pero di nila kilala ang DYOS,,")</f>
        <v>Nuelle Duterte mali kayo,, church ba? hindi ba kay GOD dapat,, marami nagsisimba pero di nila kilala ang DYOS,,</v>
      </c>
      <c r="F1642" s="1">
        <f>IFERROR(__xludf.DUMMYFUNCTION("""COMPUTED_VALUE"""),6.0)</f>
        <v>6</v>
      </c>
      <c r="G1642" s="1" t="str">
        <f>IFERROR(__xludf.DUMMYFUNCTION("""COMPUTED_VALUE"""),"3 mos")</f>
        <v>3 mos</v>
      </c>
      <c r="H1642" s="1" t="str">
        <f>IFERROR(__xludf.DUMMYFUNCTION("""COMPUTED_VALUE"""),"reply")</f>
        <v>reply</v>
      </c>
      <c r="I1642" s="2" t="str">
        <f>IFERROR(__xludf.DUMMYFUNCTION("""COMPUTED_VALUE"""),"https://www.facebook.com/rapplerdotcom/photos/a.317154781638645/5595372260483511/")</f>
        <v>https://www.facebook.com/rapplerdotcom/photos/a.317154781638645/5595372260483511/</v>
      </c>
      <c r="J1642" s="1" t="str">
        <f>IFERROR(__xludf.DUMMYFUNCTION("""COMPUTED_VALUE"""),"2022-07-04T15:44:55.421Z")</f>
        <v>2022-07-04T15:44:55.421Z</v>
      </c>
      <c r="K1642" s="1"/>
    </row>
    <row r="1643">
      <c r="A1643" s="2" t="str">
        <f>IFERROR(__xludf.DUMMYFUNCTION("""COMPUTED_VALUE"""),"https://www.facebook.com/profile.php?id=100072652930837")</f>
        <v>https://www.facebook.com/profile.php?id=100072652930837</v>
      </c>
      <c r="B1643" s="1" t="str">
        <f>IFERROR(__xludf.DUMMYFUNCTION("""COMPUTED_VALUE"""),"Xie Xie")</f>
        <v>Xie Xie</v>
      </c>
      <c r="C1643" s="1" t="str">
        <f>IFERROR(__xludf.DUMMYFUNCTION("""COMPUTED_VALUE"""),"Xie")</f>
        <v>Xie</v>
      </c>
      <c r="D1643" s="1" t="str">
        <f>IFERROR(__xludf.DUMMYFUNCTION("""COMPUTED_VALUE"""),"Xie")</f>
        <v>Xie</v>
      </c>
      <c r="E1643" s="1" t="str">
        <f>IFERROR(__xludf.DUMMYFUNCTION("""COMPUTED_VALUE"""),"Nuelle Duterte   Mateo 6-1   “Pag-ingatan ninyong hindi pakitang-tao ang pagtupad ninyo sa inyong mga tungkulin sa Diyos. Kapag ganyan ang ginawa ninyo, wala kayong matatamong gantimpala buhat sa inyong Ama na nasa langit")</f>
        <v>Nuelle Duterte   Mateo 6-1   “Pag-ingatan ninyong hindi pakitang-tao ang pagtupad ninyo sa inyong mga tungkulin sa Diyos. Kapag ganyan ang ginawa ninyo, wala kayong matatamong gantimpala buhat sa inyong Ama na nasa langit</v>
      </c>
      <c r="F1643" s="1">
        <f>IFERROR(__xludf.DUMMYFUNCTION("""COMPUTED_VALUE"""),3.0)</f>
        <v>3</v>
      </c>
      <c r="G1643" s="1" t="str">
        <f>IFERROR(__xludf.DUMMYFUNCTION("""COMPUTED_VALUE"""),"3 mos")</f>
        <v>3 mos</v>
      </c>
      <c r="H1643" s="1" t="str">
        <f>IFERROR(__xludf.DUMMYFUNCTION("""COMPUTED_VALUE"""),"reply")</f>
        <v>reply</v>
      </c>
      <c r="I1643" s="2" t="str">
        <f>IFERROR(__xludf.DUMMYFUNCTION("""COMPUTED_VALUE"""),"https://www.facebook.com/rapplerdotcom/photos/a.317154781638645/5595372260483511/")</f>
        <v>https://www.facebook.com/rapplerdotcom/photos/a.317154781638645/5595372260483511/</v>
      </c>
      <c r="J1643" s="1" t="str">
        <f>IFERROR(__xludf.DUMMYFUNCTION("""COMPUTED_VALUE"""),"2022-07-04T15:44:55.421Z")</f>
        <v>2022-07-04T15:44:55.421Z</v>
      </c>
      <c r="K1643" s="1"/>
    </row>
    <row r="1644">
      <c r="A1644" s="2" t="str">
        <f>IFERROR(__xludf.DUMMYFUNCTION("""COMPUTED_VALUE"""),"https://www.facebook.com/christopher.ramos.31521301")</f>
        <v>https://www.facebook.com/christopher.ramos.31521301</v>
      </c>
      <c r="B1644" s="1" t="str">
        <f>IFERROR(__xludf.DUMMYFUNCTION("""COMPUTED_VALUE"""),"Christopher Ramos")</f>
        <v>Christopher Ramos</v>
      </c>
      <c r="C1644" s="1" t="str">
        <f>IFERROR(__xludf.DUMMYFUNCTION("""COMPUTED_VALUE"""),"Christopher")</f>
        <v>Christopher</v>
      </c>
      <c r="D1644" s="1" t="str">
        <f>IFERROR(__xludf.DUMMYFUNCTION("""COMPUTED_VALUE"""),"Ramos")</f>
        <v>Ramos</v>
      </c>
      <c r="E1644" s="1" t="str">
        <f>IFERROR(__xludf.DUMMYFUNCTION("""COMPUTED_VALUE"""),"ang gulo ni kathleen:)")</f>
        <v>ang gulo ni kathleen:)</v>
      </c>
      <c r="F1644" s="1">
        <f>IFERROR(__xludf.DUMMYFUNCTION("""COMPUTED_VALUE"""),2.0)</f>
        <v>2</v>
      </c>
      <c r="G1644" s="1" t="str">
        <f>IFERROR(__xludf.DUMMYFUNCTION("""COMPUTED_VALUE"""),"3 mos")</f>
        <v>3 mos</v>
      </c>
      <c r="H1644" s="1" t="str">
        <f>IFERROR(__xludf.DUMMYFUNCTION("""COMPUTED_VALUE"""),"reply")</f>
        <v>reply</v>
      </c>
      <c r="I1644" s="2" t="str">
        <f>IFERROR(__xludf.DUMMYFUNCTION("""COMPUTED_VALUE"""),"https://www.facebook.com/rapplerdotcom/photos/a.317154781638645/5595372260483511/")</f>
        <v>https://www.facebook.com/rapplerdotcom/photos/a.317154781638645/5595372260483511/</v>
      </c>
      <c r="J1644" s="1" t="str">
        <f>IFERROR(__xludf.DUMMYFUNCTION("""COMPUTED_VALUE"""),"2022-07-04T15:44:55.421Z")</f>
        <v>2022-07-04T15:44:55.421Z</v>
      </c>
      <c r="K1644" s="1"/>
    </row>
    <row r="1645">
      <c r="A1645" s="2" t="str">
        <f>IFERROR(__xludf.DUMMYFUNCTION("""COMPUTED_VALUE"""),"https://www.facebook.com/jesmirabel")</f>
        <v>https://www.facebook.com/jesmirabel</v>
      </c>
      <c r="B1645" s="1" t="str">
        <f>IFERROR(__xludf.DUMMYFUNCTION("""COMPUTED_VALUE"""),"Jes A. Mirabel")</f>
        <v>Jes A. Mirabel</v>
      </c>
      <c r="C1645" s="1" t="str">
        <f>IFERROR(__xludf.DUMMYFUNCTION("""COMPUTED_VALUE"""),"Jes")</f>
        <v>Jes</v>
      </c>
      <c r="D1645" s="1" t="str">
        <f>IFERROR(__xludf.DUMMYFUNCTION("""COMPUTED_VALUE"""),"A. Mirabel")</f>
        <v>A. Mirabel</v>
      </c>
      <c r="E1645" s="1" t="str">
        <f>IFERROR(__xludf.DUMMYFUNCTION("""COMPUTED_VALUE"""),"Kathleen Rosales so ano ba talaga? May point o pointless? Need help?😉")</f>
        <v>Kathleen Rosales so ano ba talaga? May point o pointless? Need help?😉</v>
      </c>
      <c r="F1645" s="1"/>
      <c r="G1645" s="1" t="str">
        <f>IFERROR(__xludf.DUMMYFUNCTION("""COMPUTED_VALUE"""),"3 mos")</f>
        <v>3 mos</v>
      </c>
      <c r="H1645" s="1" t="str">
        <f>IFERROR(__xludf.DUMMYFUNCTION("""COMPUTED_VALUE"""),"reply")</f>
        <v>reply</v>
      </c>
      <c r="I1645" s="2" t="str">
        <f>IFERROR(__xludf.DUMMYFUNCTION("""COMPUTED_VALUE"""),"https://www.facebook.com/rapplerdotcom/photos/a.317154781638645/5595372260483511/")</f>
        <v>https://www.facebook.com/rapplerdotcom/photos/a.317154781638645/5595372260483511/</v>
      </c>
      <c r="J1645" s="1" t="str">
        <f>IFERROR(__xludf.DUMMYFUNCTION("""COMPUTED_VALUE"""),"2022-07-04T15:44:55.422Z")</f>
        <v>2022-07-04T15:44:55.422Z</v>
      </c>
      <c r="K1645" s="1"/>
    </row>
    <row r="1646">
      <c r="A1646" s="2" t="str">
        <f>IFERROR(__xludf.DUMMYFUNCTION("""COMPUTED_VALUE"""),"https://www.facebook.com/santos.yap.37")</f>
        <v>https://www.facebook.com/santos.yap.37</v>
      </c>
      <c r="B1646" s="1" t="str">
        <f>IFERROR(__xludf.DUMMYFUNCTION("""COMPUTED_VALUE"""),"Santos Yap")</f>
        <v>Santos Yap</v>
      </c>
      <c r="C1646" s="1" t="str">
        <f>IFERROR(__xludf.DUMMYFUNCTION("""COMPUTED_VALUE"""),"Santos")</f>
        <v>Santos</v>
      </c>
      <c r="D1646" s="1" t="str">
        <f>IFERROR(__xludf.DUMMYFUNCTION("""COMPUTED_VALUE"""),"Yap")</f>
        <v>Yap</v>
      </c>
      <c r="E1646" s="1" t="str">
        <f>IFERROR(__xludf.DUMMYFUNCTION("""COMPUTED_VALUE"""),"Nuelle Duterte   Puppet idol mo.")</f>
        <v>Nuelle Duterte   Puppet idol mo.</v>
      </c>
      <c r="F1646" s="1"/>
      <c r="G1646" s="1" t="str">
        <f>IFERROR(__xludf.DUMMYFUNCTION("""COMPUTED_VALUE"""),"3 mos")</f>
        <v>3 mos</v>
      </c>
      <c r="H1646" s="1" t="str">
        <f>IFERROR(__xludf.DUMMYFUNCTION("""COMPUTED_VALUE"""),"reply")</f>
        <v>reply</v>
      </c>
      <c r="I1646" s="2" t="str">
        <f>IFERROR(__xludf.DUMMYFUNCTION("""COMPUTED_VALUE"""),"https://www.facebook.com/rapplerdotcom/photos/a.317154781638645/5595372260483511/")</f>
        <v>https://www.facebook.com/rapplerdotcom/photos/a.317154781638645/5595372260483511/</v>
      </c>
      <c r="J1646" s="1" t="str">
        <f>IFERROR(__xludf.DUMMYFUNCTION("""COMPUTED_VALUE"""),"2022-07-04T15:44:55.422Z")</f>
        <v>2022-07-04T15:44:55.422Z</v>
      </c>
      <c r="K1646" s="1"/>
    </row>
    <row r="1647">
      <c r="A1647" s="2" t="str">
        <f>IFERROR(__xludf.DUMMYFUNCTION("""COMPUTED_VALUE"""),"https://www.facebook.com/astroboiscout")</f>
        <v>https://www.facebook.com/astroboiscout</v>
      </c>
      <c r="B1647" s="1" t="str">
        <f>IFERROR(__xludf.DUMMYFUNCTION("""COMPUTED_VALUE"""),"Enrique Here")</f>
        <v>Enrique Here</v>
      </c>
      <c r="C1647" s="1" t="str">
        <f>IFERROR(__xludf.DUMMYFUNCTION("""COMPUTED_VALUE"""),"Enrique")</f>
        <v>Enrique</v>
      </c>
      <c r="D1647" s="1" t="str">
        <f>IFERROR(__xludf.DUMMYFUNCTION("""COMPUTED_VALUE"""),"Here")</f>
        <v>Here</v>
      </c>
      <c r="E1647" s="1" t="str">
        <f>IFERROR(__xludf.DUMMYFUNCTION("""COMPUTED_VALUE"""),"Nuelle Duterte aminin nyo, kahit umutot lang sya e sasabihin nyo pa rin kay point sya.")</f>
        <v>Nuelle Duterte aminin nyo, kahit umutot lang sya e sasabihin nyo pa rin kay point sya.</v>
      </c>
      <c r="F1647" s="1"/>
      <c r="G1647" s="1" t="str">
        <f>IFERROR(__xludf.DUMMYFUNCTION("""COMPUTED_VALUE"""),"3 mos")</f>
        <v>3 mos</v>
      </c>
      <c r="H1647" s="1" t="str">
        <f>IFERROR(__xludf.DUMMYFUNCTION("""COMPUTED_VALUE"""),"reply")</f>
        <v>reply</v>
      </c>
      <c r="I1647" s="2" t="str">
        <f>IFERROR(__xludf.DUMMYFUNCTION("""COMPUTED_VALUE"""),"https://www.facebook.com/rapplerdotcom/photos/a.317154781638645/5595372260483511/")</f>
        <v>https://www.facebook.com/rapplerdotcom/photos/a.317154781638645/5595372260483511/</v>
      </c>
      <c r="J1647" s="1" t="str">
        <f>IFERROR(__xludf.DUMMYFUNCTION("""COMPUTED_VALUE"""),"2022-07-04T15:44:55.422Z")</f>
        <v>2022-07-04T15:44:55.422Z</v>
      </c>
      <c r="K1647" s="1"/>
    </row>
    <row r="1648">
      <c r="A1648" s="2" t="str">
        <f>IFERROR(__xludf.DUMMYFUNCTION("""COMPUTED_VALUE"""),"https://www.facebook.com/normel.panergo")</f>
        <v>https://www.facebook.com/normel.panergo</v>
      </c>
      <c r="B1648" s="1" t="str">
        <f>IFERROR(__xludf.DUMMYFUNCTION("""COMPUTED_VALUE"""),"Normel Fabay Panergo")</f>
        <v>Normel Fabay Panergo</v>
      </c>
      <c r="C1648" s="1" t="str">
        <f>IFERROR(__xludf.DUMMYFUNCTION("""COMPUTED_VALUE"""),"Normel")</f>
        <v>Normel</v>
      </c>
      <c r="D1648" s="1" t="str">
        <f>IFERROR(__xludf.DUMMYFUNCTION("""COMPUTED_VALUE"""),"Fabay Panergo")</f>
        <v>Fabay Panergo</v>
      </c>
      <c r="E1648" s="1" t="str">
        <f>IFERROR(__xludf.DUMMYFUNCTION("""COMPUTED_VALUE"""),"Nuelle Duterte eto po ay practice na sa Naga City matagal na. Katunayan, nais i-replicate ni late Sec Jesse Robredo ito noon time nya sa DILG sa buong bansa;  https://www.region6.dilg.gov.ph/index.php/programs/63-accountable-lgus/409-ugnayan-ng-barangay-a"&amp;"t-simbahan-ubas")</f>
        <v>Nuelle Duterte eto po ay practice na sa Naga City matagal na. Katunayan, nais i-replicate ni late Sec Jesse Robredo ito noon time nya sa DILG sa buong bansa;  https://www.region6.dilg.gov.ph/index.php/programs/63-accountable-lgus/409-ugnayan-ng-barangay-at-simbahan-ubas</v>
      </c>
      <c r="F1648" s="1"/>
      <c r="G1648" s="1" t="str">
        <f>IFERROR(__xludf.DUMMYFUNCTION("""COMPUTED_VALUE"""),"3 mos")</f>
        <v>3 mos</v>
      </c>
      <c r="H1648" s="1" t="str">
        <f>IFERROR(__xludf.DUMMYFUNCTION("""COMPUTED_VALUE"""),"reply")</f>
        <v>reply</v>
      </c>
      <c r="I1648" s="2" t="str">
        <f>IFERROR(__xludf.DUMMYFUNCTION("""COMPUTED_VALUE"""),"https://www.facebook.com/rapplerdotcom/photos/a.317154781638645/5595372260483511/")</f>
        <v>https://www.facebook.com/rapplerdotcom/photos/a.317154781638645/5595372260483511/</v>
      </c>
      <c r="J1648" s="1" t="str">
        <f>IFERROR(__xludf.DUMMYFUNCTION("""COMPUTED_VALUE"""),"2022-07-04T15:44:55.422Z")</f>
        <v>2022-07-04T15:44:55.422Z</v>
      </c>
      <c r="K1648" s="1"/>
    </row>
    <row r="1649">
      <c r="A1649" s="2" t="str">
        <f>IFERROR(__xludf.DUMMYFUNCTION("""COMPUTED_VALUE"""),"https://www.facebook.com/gia.mitchell.9655")</f>
        <v>https://www.facebook.com/gia.mitchell.9655</v>
      </c>
      <c r="B1649" s="1" t="str">
        <f>IFERROR(__xludf.DUMMYFUNCTION("""COMPUTED_VALUE"""),"Gia Mitchell")</f>
        <v>Gia Mitchell</v>
      </c>
      <c r="C1649" s="1" t="str">
        <f>IFERROR(__xludf.DUMMYFUNCTION("""COMPUTED_VALUE"""),"Gia")</f>
        <v>Gia</v>
      </c>
      <c r="D1649" s="1" t="str">
        <f>IFERROR(__xludf.DUMMYFUNCTION("""COMPUTED_VALUE"""),"Mitchell")</f>
        <v>Mitchell</v>
      </c>
      <c r="E1649" s="1" t="str">
        <f>IFERROR(__xludf.DUMMYFUNCTION("""COMPUTED_VALUE"""),"Kathleen Rosales Kawawa ka naman hindi nakakaintindi ng english.")</f>
        <v>Kathleen Rosales Kawawa ka naman hindi nakakaintindi ng english.</v>
      </c>
      <c r="F1649" s="1"/>
      <c r="G1649" s="1" t="str">
        <f>IFERROR(__xludf.DUMMYFUNCTION("""COMPUTED_VALUE"""),"3 mos")</f>
        <v>3 mos</v>
      </c>
      <c r="H1649" s="1" t="str">
        <f>IFERROR(__xludf.DUMMYFUNCTION("""COMPUTED_VALUE"""),"reply")</f>
        <v>reply</v>
      </c>
      <c r="I1649" s="2" t="str">
        <f>IFERROR(__xludf.DUMMYFUNCTION("""COMPUTED_VALUE"""),"https://www.facebook.com/rapplerdotcom/photos/a.317154781638645/5595372260483511/")</f>
        <v>https://www.facebook.com/rapplerdotcom/photos/a.317154781638645/5595372260483511/</v>
      </c>
      <c r="J1649" s="1" t="str">
        <f>IFERROR(__xludf.DUMMYFUNCTION("""COMPUTED_VALUE"""),"2022-07-04T15:44:55.422Z")</f>
        <v>2022-07-04T15:44:55.422Z</v>
      </c>
      <c r="K1649" s="1"/>
    </row>
    <row r="1650">
      <c r="A1650" s="2" t="str">
        <f>IFERROR(__xludf.DUMMYFUNCTION("""COMPUTED_VALUE"""),"https://www.facebook.com/profile.php?id=100011569547804")</f>
        <v>https://www.facebook.com/profile.php?id=100011569547804</v>
      </c>
      <c r="B1650" s="1" t="str">
        <f>IFERROR(__xludf.DUMMYFUNCTION("""COMPUTED_VALUE"""),"Raged Cua")</f>
        <v>Raged Cua</v>
      </c>
      <c r="C1650" s="1" t="str">
        <f>IFERROR(__xludf.DUMMYFUNCTION("""COMPUTED_VALUE"""),"Raged")</f>
        <v>Raged</v>
      </c>
      <c r="D1650" s="1" t="str">
        <f>IFERROR(__xludf.DUMMYFUNCTION("""COMPUTED_VALUE"""),"Cua")</f>
        <v>Cua</v>
      </c>
      <c r="E1650" s="1" t="str">
        <f>IFERROR(__xludf.DUMMYFUNCTION("""COMPUTED_VALUE"""),"Xie Xie  Kapatid, Jesus Christ established a visible church. 😊.  Paki tuloy mo lang ang pagbasa hanggang Matthew chapter 16 - 18.  Matthew 16:18-19  Matthew 18:17 [17]And if he shall neglect to hear them, tell it unto the church: but if he neglect to hea"&amp;"r the church, let him be unto thee as an heathen man and a publican.   Idagdag mo pa James 5:14-16😊")</f>
        <v>Xie Xie  Kapatid, Jesus Christ established a visible church. 😊.  Paki tuloy mo lang ang pagbasa hanggang Matthew chapter 16 - 18.  Matthew 16:18-19  Matthew 18:17 [17]And if he shall neglect to hear them, tell it unto the church: but if he neglect to hear the church, let him be unto thee as an heathen man and a publican.   Idagdag mo pa James 5:14-16😊</v>
      </c>
      <c r="F1650" s="1">
        <f>IFERROR(__xludf.DUMMYFUNCTION("""COMPUTED_VALUE"""),4.0)</f>
        <v>4</v>
      </c>
      <c r="G1650" s="1" t="str">
        <f>IFERROR(__xludf.DUMMYFUNCTION("""COMPUTED_VALUE"""),"3 mos")</f>
        <v>3 mos</v>
      </c>
      <c r="H1650" s="1" t="str">
        <f>IFERROR(__xludf.DUMMYFUNCTION("""COMPUTED_VALUE"""),"reply")</f>
        <v>reply</v>
      </c>
      <c r="I1650" s="2" t="str">
        <f>IFERROR(__xludf.DUMMYFUNCTION("""COMPUTED_VALUE"""),"https://www.facebook.com/rapplerdotcom/photos/a.317154781638645/5595372260483511/")</f>
        <v>https://www.facebook.com/rapplerdotcom/photos/a.317154781638645/5595372260483511/</v>
      </c>
      <c r="J1650" s="1" t="str">
        <f>IFERROR(__xludf.DUMMYFUNCTION("""COMPUTED_VALUE"""),"2022-07-04T15:44:55.422Z")</f>
        <v>2022-07-04T15:44:55.422Z</v>
      </c>
      <c r="K1650" s="1"/>
    </row>
    <row r="1651">
      <c r="A1651" s="2" t="str">
        <f>IFERROR(__xludf.DUMMYFUNCTION("""COMPUTED_VALUE"""),"https://www.facebook.com/profile.php?id=100069939051229")</f>
        <v>https://www.facebook.com/profile.php?id=100069939051229</v>
      </c>
      <c r="B1651" s="1" t="str">
        <f>IFERROR(__xludf.DUMMYFUNCTION("""COMPUTED_VALUE"""),"Vince Carter")</f>
        <v>Vince Carter</v>
      </c>
      <c r="C1651" s="1" t="str">
        <f>IFERROR(__xludf.DUMMYFUNCTION("""COMPUTED_VALUE"""),"Vince")</f>
        <v>Vince</v>
      </c>
      <c r="D1651" s="1" t="str">
        <f>IFERROR(__xludf.DUMMYFUNCTION("""COMPUTED_VALUE"""),"Carter")</f>
        <v>Carter</v>
      </c>
      <c r="E1651" s="1" t="str">
        <f>IFERROR(__xludf.DUMMYFUNCTION("""COMPUTED_VALUE"""),"Nuelle Duterte goverment? To church? Wala kang maloloko dito hunghang yang nanay nanayan niyo")</f>
        <v>Nuelle Duterte goverment? To church? Wala kang maloloko dito hunghang yang nanay nanayan niyo</v>
      </c>
      <c r="F1651" s="1">
        <f>IFERROR(__xludf.DUMMYFUNCTION("""COMPUTED_VALUE"""),1.0)</f>
        <v>1</v>
      </c>
      <c r="G1651" s="1" t="str">
        <f>IFERROR(__xludf.DUMMYFUNCTION("""COMPUTED_VALUE"""),"3 mos")</f>
        <v>3 mos</v>
      </c>
      <c r="H1651" s="1" t="str">
        <f>IFERROR(__xludf.DUMMYFUNCTION("""COMPUTED_VALUE"""),"reply")</f>
        <v>reply</v>
      </c>
      <c r="I1651" s="2" t="str">
        <f>IFERROR(__xludf.DUMMYFUNCTION("""COMPUTED_VALUE"""),"https://www.facebook.com/rapplerdotcom/photos/a.317154781638645/5595372260483511/")</f>
        <v>https://www.facebook.com/rapplerdotcom/photos/a.317154781638645/5595372260483511/</v>
      </c>
      <c r="J1651" s="1" t="str">
        <f>IFERROR(__xludf.DUMMYFUNCTION("""COMPUTED_VALUE"""),"2022-07-04T15:44:55.422Z")</f>
        <v>2022-07-04T15:44:55.422Z</v>
      </c>
      <c r="K1651" s="1"/>
    </row>
    <row r="1652">
      <c r="A1652" s="2" t="str">
        <f>IFERROR(__xludf.DUMMYFUNCTION("""COMPUTED_VALUE"""),"https://www.facebook.com/vicky.v.quiachon")</f>
        <v>https://www.facebook.com/vicky.v.quiachon</v>
      </c>
      <c r="B1652" s="1" t="str">
        <f>IFERROR(__xludf.DUMMYFUNCTION("""COMPUTED_VALUE"""),"Inday Vicvic")</f>
        <v>Inday Vicvic</v>
      </c>
      <c r="C1652" s="1" t="str">
        <f>IFERROR(__xludf.DUMMYFUNCTION("""COMPUTED_VALUE"""),"Inday")</f>
        <v>Inday</v>
      </c>
      <c r="D1652" s="1" t="str">
        <f>IFERROR(__xludf.DUMMYFUNCTION("""COMPUTED_VALUE"""),"Vicvic")</f>
        <v>Vicvic</v>
      </c>
      <c r="E1652" s="1" t="str">
        <f>IFERROR(__xludf.DUMMYFUNCTION("""COMPUTED_VALUE"""),"Nakikita sa tagasuporta ang katagian ng isang leader. Kapag matino ang leader, matino rin ang tagasuporta. Kaya doon lang tayo sa mahusay ay matino! #CaMaNaVaIsPink  #CaMaNavaForLeniKiko  #IpanaloNa10To #LeniKiko2022 #AngatBuhayLahat #10RobredoForPresiden"&amp;"t  #7KikoPangilinanForVicePresident  #LeiladeLimaforSenator  #Baguilat4Senator  #RisaHontiveros2022  #SonnyMatula2022  #ChelDioknoforSenator2022  #AlexLacsonForSenator  #SonnyTrillanes2022  #Colmenares4Senator  #lukeespirituforsenator  #kamalayanpartylist")</f>
        <v>Nakikita sa tagasuporta ang katagian ng isang leader. Kapag matino ang leader, matino rin ang tagasuporta. Kaya doon lang tayo sa mahusay ay matino! #CaMaNaVaIsPink  #CaMaNavaForLeniKiko  #IpanaloNa10To #LeniKiko2022 #AngatBuhayLahat #10RobredoForPresident  #7KikoPangilinanForVicePresident  #LeiladeLimaforSenator  #Baguilat4Senator  #RisaHontiveros2022  #SonnyMatula2022  #ChelDioknoforSenator2022  #AlexLacsonForSenator  #SonnyTrillanes2022  #Colmenares4Senator  #lukeespirituforsenator  #kamalayanpartylist</v>
      </c>
      <c r="F1652" s="1">
        <f>IFERROR(__xludf.DUMMYFUNCTION("""COMPUTED_VALUE"""),46.0)</f>
        <v>46</v>
      </c>
      <c r="G1652" s="1" t="str">
        <f>IFERROR(__xludf.DUMMYFUNCTION("""COMPUTED_VALUE"""),"3 mos")</f>
        <v>3 mos</v>
      </c>
      <c r="H1652" s="1" t="str">
        <f>IFERROR(__xludf.DUMMYFUNCTION("""COMPUTED_VALUE"""),"comment")</f>
        <v>comment</v>
      </c>
      <c r="I1652" s="2" t="str">
        <f>IFERROR(__xludf.DUMMYFUNCTION("""COMPUTED_VALUE"""),"https://www.facebook.com/rapplerdotcom/photos/a.317154781638645/5595372260483511/")</f>
        <v>https://www.facebook.com/rapplerdotcom/photos/a.317154781638645/5595372260483511/</v>
      </c>
      <c r="J1652" s="1" t="str">
        <f>IFERROR(__xludf.DUMMYFUNCTION("""COMPUTED_VALUE"""),"2022-07-04T15:44:55.422Z")</f>
        <v>2022-07-04T15:44:55.422Z</v>
      </c>
      <c r="K1652" s="1"/>
    </row>
    <row r="1653">
      <c r="A1653" s="2" t="str">
        <f>IFERROR(__xludf.DUMMYFUNCTION("""COMPUTED_VALUE"""),"https://www.facebook.com/nel.almira.1")</f>
        <v>https://www.facebook.com/nel.almira.1</v>
      </c>
      <c r="B1653" s="1" t="str">
        <f>IFERROR(__xludf.DUMMYFUNCTION("""COMPUTED_VALUE"""),"Nel Almira")</f>
        <v>Nel Almira</v>
      </c>
      <c r="C1653" s="1" t="str">
        <f>IFERROR(__xludf.DUMMYFUNCTION("""COMPUTED_VALUE"""),"Nel")</f>
        <v>Nel</v>
      </c>
      <c r="D1653" s="1" t="str">
        <f>IFERROR(__xludf.DUMMYFUNCTION("""COMPUTED_VALUE"""),"Almira")</f>
        <v>Almira</v>
      </c>
      <c r="E1653" s="1" t="str">
        <f>IFERROR(__xludf.DUMMYFUNCTION("""COMPUTED_VALUE"""),"Vicky Varon Quiachon d wow")</f>
        <v>Vicky Varon Quiachon d wow</v>
      </c>
      <c r="F1653" s="1">
        <f>IFERROR(__xludf.DUMMYFUNCTION("""COMPUTED_VALUE"""),1.0)</f>
        <v>1</v>
      </c>
      <c r="G1653" s="1" t="str">
        <f>IFERROR(__xludf.DUMMYFUNCTION("""COMPUTED_VALUE"""),"3 mos")</f>
        <v>3 mos</v>
      </c>
      <c r="H1653" s="1" t="str">
        <f>IFERROR(__xludf.DUMMYFUNCTION("""COMPUTED_VALUE"""),"reply")</f>
        <v>reply</v>
      </c>
      <c r="I1653" s="2" t="str">
        <f>IFERROR(__xludf.DUMMYFUNCTION("""COMPUTED_VALUE"""),"https://www.facebook.com/rapplerdotcom/photos/a.317154781638645/5595372260483511/")</f>
        <v>https://www.facebook.com/rapplerdotcom/photos/a.317154781638645/5595372260483511/</v>
      </c>
      <c r="J1653" s="1" t="str">
        <f>IFERROR(__xludf.DUMMYFUNCTION("""COMPUTED_VALUE"""),"2022-07-04T15:44:55.422Z")</f>
        <v>2022-07-04T15:44:55.422Z</v>
      </c>
      <c r="K1653" s="1"/>
    </row>
    <row r="1654">
      <c r="A1654" s="2" t="str">
        <f>IFERROR(__xludf.DUMMYFUNCTION("""COMPUTED_VALUE"""),"https://www.facebook.com/evette.ramos.79")</f>
        <v>https://www.facebook.com/evette.ramos.79</v>
      </c>
      <c r="B1654" s="1" t="str">
        <f>IFERROR(__xludf.DUMMYFUNCTION("""COMPUTED_VALUE"""),"Eve O Rio")</f>
        <v>Eve O Rio</v>
      </c>
      <c r="C1654" s="1" t="str">
        <f>IFERROR(__xludf.DUMMYFUNCTION("""COMPUTED_VALUE"""),"Eve")</f>
        <v>Eve</v>
      </c>
      <c r="D1654" s="1" t="str">
        <f>IFERROR(__xludf.DUMMYFUNCTION("""COMPUTED_VALUE"""),"O Rio")</f>
        <v>O Rio</v>
      </c>
      <c r="E1654" s="1" t="str">
        <f>IFERROR(__xludf.DUMMYFUNCTION("""COMPUTED_VALUE"""),"Vicky Varon Quiachon Eh di ikaw na matino...🤣🤣🤣Kapag pala mukhang matino magaling na agad ang tingin mo na marunong magpatakbo at humawak ng isang buong bansa?.. Ay paano kaya yung mukhang brusko pero ang resulta mas magaling na napatakbo ang isang buo"&amp;"ng bansa at  may panahon pa ng Pandemiya ...Mahirap na iyan paniwalaan sa ngayon... pinanggalingan na ng bansa natin ang istilo na iyan pero saan pinulot ang Pilipinas?..Hindi masusukat ang isang karapat dapat na leader sa panglabas na kaanyuan...iyon ay "&amp;"makikita kpg nanunungkulan na at aktuwal ng naka upo at depende sa sitwasyon na darating sa kapalaran ng Pilipinas at mamamayan sa kamay niya.")</f>
        <v>Vicky Varon Quiachon Eh di ikaw na matino...🤣🤣🤣Kapag pala mukhang matino magaling na agad ang tingin mo na marunong magpatakbo at humawak ng isang buong bansa?.. Ay paano kaya yung mukhang brusko pero ang resulta mas magaling na napatakbo ang isang buong bansa at  may panahon pa ng Pandemiya ...Mahirap na iyan paniwalaan sa ngayon... pinanggalingan na ng bansa natin ang istilo na iyan pero saan pinulot ang Pilipinas?..Hindi masusukat ang isang karapat dapat na leader sa panglabas na kaanyuan...iyon ay makikita kpg nanunungkulan na at aktuwal ng naka upo at depende sa sitwasyon na darating sa kapalaran ng Pilipinas at mamamayan sa kamay niya.</v>
      </c>
      <c r="F1654" s="1">
        <f>IFERROR(__xludf.DUMMYFUNCTION("""COMPUTED_VALUE"""),5.0)</f>
        <v>5</v>
      </c>
      <c r="G1654" s="1" t="str">
        <f>IFERROR(__xludf.DUMMYFUNCTION("""COMPUTED_VALUE"""),"3 mos")</f>
        <v>3 mos</v>
      </c>
      <c r="H1654" s="1" t="str">
        <f>IFERROR(__xludf.DUMMYFUNCTION("""COMPUTED_VALUE"""),"reply")</f>
        <v>reply</v>
      </c>
      <c r="I1654" s="2" t="str">
        <f>IFERROR(__xludf.DUMMYFUNCTION("""COMPUTED_VALUE"""),"https://www.facebook.com/rapplerdotcom/photos/a.317154781638645/5595372260483511/")</f>
        <v>https://www.facebook.com/rapplerdotcom/photos/a.317154781638645/5595372260483511/</v>
      </c>
      <c r="J1654" s="1" t="str">
        <f>IFERROR(__xludf.DUMMYFUNCTION("""COMPUTED_VALUE"""),"2022-07-04T15:44:55.422Z")</f>
        <v>2022-07-04T15:44:55.422Z</v>
      </c>
      <c r="K1654" s="1"/>
    </row>
    <row r="1655">
      <c r="A1655" s="2" t="str">
        <f>IFERROR(__xludf.DUMMYFUNCTION("""COMPUTED_VALUE"""),"https://www.facebook.com/adrian.nepomuceno.58")</f>
        <v>https://www.facebook.com/adrian.nepomuceno.58</v>
      </c>
      <c r="B1655" s="1" t="str">
        <f>IFERROR(__xludf.DUMMYFUNCTION("""COMPUTED_VALUE"""),"Adrian Nepomuceno")</f>
        <v>Adrian Nepomuceno</v>
      </c>
      <c r="C1655" s="1" t="str">
        <f>IFERROR(__xludf.DUMMYFUNCTION("""COMPUTED_VALUE"""),"Adrian")</f>
        <v>Adrian</v>
      </c>
      <c r="D1655" s="1" t="str">
        <f>IFERROR(__xludf.DUMMYFUNCTION("""COMPUTED_VALUE"""),"Nepomuceno")</f>
        <v>Nepomuceno</v>
      </c>
      <c r="E1655" s="1" t="str">
        <f>IFERROR(__xludf.DUMMYFUNCTION("""COMPUTED_VALUE"""),"James Kenneth iyo nayan🤣🤣")</f>
        <v>James Kenneth iyo nayan🤣🤣</v>
      </c>
      <c r="F1655" s="1">
        <f>IFERROR(__xludf.DUMMYFUNCTION("""COMPUTED_VALUE"""),1.0)</f>
        <v>1</v>
      </c>
      <c r="G1655" s="1" t="str">
        <f>IFERROR(__xludf.DUMMYFUNCTION("""COMPUTED_VALUE"""),"3 mos")</f>
        <v>3 mos</v>
      </c>
      <c r="H1655" s="1" t="str">
        <f>IFERROR(__xludf.DUMMYFUNCTION("""COMPUTED_VALUE"""),"reply")</f>
        <v>reply</v>
      </c>
      <c r="I1655" s="2" t="str">
        <f>IFERROR(__xludf.DUMMYFUNCTION("""COMPUTED_VALUE"""),"https://www.facebook.com/rapplerdotcom/photos/a.317154781638645/5595372260483511/")</f>
        <v>https://www.facebook.com/rapplerdotcom/photos/a.317154781638645/5595372260483511/</v>
      </c>
      <c r="J1655" s="1" t="str">
        <f>IFERROR(__xludf.DUMMYFUNCTION("""COMPUTED_VALUE"""),"2022-07-04T15:44:55.422Z")</f>
        <v>2022-07-04T15:44:55.422Z</v>
      </c>
      <c r="K1655" s="1"/>
    </row>
    <row r="1656">
      <c r="A1656" s="2" t="str">
        <f>IFERROR(__xludf.DUMMYFUNCTION("""COMPUTED_VALUE"""),"https://www.facebook.com/adrian.nepomuceno.58")</f>
        <v>https://www.facebook.com/adrian.nepomuceno.58</v>
      </c>
      <c r="B1656" s="1" t="str">
        <f>IFERROR(__xludf.DUMMYFUNCTION("""COMPUTED_VALUE"""),"Adrian Nepomuceno")</f>
        <v>Adrian Nepomuceno</v>
      </c>
      <c r="C1656" s="1" t="str">
        <f>IFERROR(__xludf.DUMMYFUNCTION("""COMPUTED_VALUE"""),"Adrian")</f>
        <v>Adrian</v>
      </c>
      <c r="D1656" s="1" t="str">
        <f>IFERROR(__xludf.DUMMYFUNCTION("""COMPUTED_VALUE"""),"Nepomuceno")</f>
        <v>Nepomuceno</v>
      </c>
      <c r="E1656" s="1" t="str">
        <f>IFERROR(__xludf.DUMMYFUNCTION("""COMPUTED_VALUE"""),"James Kenneth bahala ka tol labas ako jan🤣🤣")</f>
        <v>James Kenneth bahala ka tol labas ako jan🤣🤣</v>
      </c>
      <c r="F1656" s="1">
        <f>IFERROR(__xludf.DUMMYFUNCTION("""COMPUTED_VALUE"""),1.0)</f>
        <v>1</v>
      </c>
      <c r="G1656" s="1" t="str">
        <f>IFERROR(__xludf.DUMMYFUNCTION("""COMPUTED_VALUE"""),"3 mos")</f>
        <v>3 mos</v>
      </c>
      <c r="H1656" s="1" t="str">
        <f>IFERROR(__xludf.DUMMYFUNCTION("""COMPUTED_VALUE"""),"reply")</f>
        <v>reply</v>
      </c>
      <c r="I1656" s="2" t="str">
        <f>IFERROR(__xludf.DUMMYFUNCTION("""COMPUTED_VALUE"""),"https://www.facebook.com/rapplerdotcom/photos/a.317154781638645/5595372260483511/")</f>
        <v>https://www.facebook.com/rapplerdotcom/photos/a.317154781638645/5595372260483511/</v>
      </c>
      <c r="J1656" s="1" t="str">
        <f>IFERROR(__xludf.DUMMYFUNCTION("""COMPUTED_VALUE"""),"2022-07-04T15:44:55.422Z")</f>
        <v>2022-07-04T15:44:55.422Z</v>
      </c>
      <c r="K1656" s="1"/>
    </row>
    <row r="1657">
      <c r="A1657" s="2" t="str">
        <f>IFERROR(__xludf.DUMMYFUNCTION("""COMPUTED_VALUE"""),"https://www.facebook.com/edwin.sapnu.7")</f>
        <v>https://www.facebook.com/edwin.sapnu.7</v>
      </c>
      <c r="B1657" s="1" t="str">
        <f>IFERROR(__xludf.DUMMYFUNCTION("""COMPUTED_VALUE"""),"Edwin B Sapnu")</f>
        <v>Edwin B Sapnu</v>
      </c>
      <c r="C1657" s="1" t="str">
        <f>IFERROR(__xludf.DUMMYFUNCTION("""COMPUTED_VALUE"""),"Edwin")</f>
        <v>Edwin</v>
      </c>
      <c r="D1657" s="1" t="str">
        <f>IFERROR(__xludf.DUMMYFUNCTION("""COMPUTED_VALUE"""),"B Sapnu")</f>
        <v>B Sapnu</v>
      </c>
      <c r="E1657" s="1" t="str">
        <f>IFERROR(__xludf.DUMMYFUNCTION("""COMPUTED_VALUE"""),"Vicky Varon Quiachon Ahaha matino San Banda edi Gawin nyo na Santa yang nanay nyo lutang !")</f>
        <v>Vicky Varon Quiachon Ahaha matino San Banda edi Gawin nyo na Santa yang nanay nyo lutang !</v>
      </c>
      <c r="F1657" s="1"/>
      <c r="G1657" s="1" t="str">
        <f>IFERROR(__xludf.DUMMYFUNCTION("""COMPUTED_VALUE"""),"3 mos")</f>
        <v>3 mos</v>
      </c>
      <c r="H1657" s="1" t="str">
        <f>IFERROR(__xludf.DUMMYFUNCTION("""COMPUTED_VALUE"""),"reply")</f>
        <v>reply</v>
      </c>
      <c r="I1657" s="2" t="str">
        <f>IFERROR(__xludf.DUMMYFUNCTION("""COMPUTED_VALUE"""),"https://www.facebook.com/rapplerdotcom/photos/a.317154781638645/5595372260483511/")</f>
        <v>https://www.facebook.com/rapplerdotcom/photos/a.317154781638645/5595372260483511/</v>
      </c>
      <c r="J1657" s="1" t="str">
        <f>IFERROR(__xludf.DUMMYFUNCTION("""COMPUTED_VALUE"""),"2022-07-04T15:44:55.422Z")</f>
        <v>2022-07-04T15:44:55.422Z</v>
      </c>
      <c r="K1657" s="1"/>
    </row>
    <row r="1658">
      <c r="A1658" s="2" t="str">
        <f>IFERROR(__xludf.DUMMYFUNCTION("""COMPUTED_VALUE"""),"https://www.facebook.com/marvin.dequina.773")</f>
        <v>https://www.facebook.com/marvin.dequina.773</v>
      </c>
      <c r="B1658" s="1" t="str">
        <f>IFERROR(__xludf.DUMMYFUNCTION("""COMPUTED_VALUE"""),"Marvin Dequina")</f>
        <v>Marvin Dequina</v>
      </c>
      <c r="C1658" s="1" t="str">
        <f>IFERROR(__xludf.DUMMYFUNCTION("""COMPUTED_VALUE"""),"Marvin")</f>
        <v>Marvin</v>
      </c>
      <c r="D1658" s="1" t="str">
        <f>IFERROR(__xludf.DUMMYFUNCTION("""COMPUTED_VALUE"""),"Dequina")</f>
        <v>Dequina</v>
      </c>
      <c r="E1658" s="1" t="str">
        <f>IFERROR(__xludf.DUMMYFUNCTION("""COMPUTED_VALUE"""),"May matino bang laging lutang😂🤣😂🤣😂🤣")</f>
        <v>May matino bang laging lutang😂🤣😂🤣😂🤣</v>
      </c>
      <c r="F1658" s="1">
        <f>IFERROR(__xludf.DUMMYFUNCTION("""COMPUTED_VALUE"""),1.0)</f>
        <v>1</v>
      </c>
      <c r="G1658" s="1" t="str">
        <f>IFERROR(__xludf.DUMMYFUNCTION("""COMPUTED_VALUE"""),"3 mos")</f>
        <v>3 mos</v>
      </c>
      <c r="H1658" s="1" t="str">
        <f>IFERROR(__xludf.DUMMYFUNCTION("""COMPUTED_VALUE"""),"reply")</f>
        <v>reply</v>
      </c>
      <c r="I1658" s="2" t="str">
        <f>IFERROR(__xludf.DUMMYFUNCTION("""COMPUTED_VALUE"""),"https://www.facebook.com/rapplerdotcom/photos/a.317154781638645/5595372260483511/")</f>
        <v>https://www.facebook.com/rapplerdotcom/photos/a.317154781638645/5595372260483511/</v>
      </c>
      <c r="J1658" s="1" t="str">
        <f>IFERROR(__xludf.DUMMYFUNCTION("""COMPUTED_VALUE"""),"2022-07-04T15:44:55.422Z")</f>
        <v>2022-07-04T15:44:55.422Z</v>
      </c>
      <c r="K1658" s="1"/>
    </row>
    <row r="1659">
      <c r="A1659" s="2" t="str">
        <f>IFERROR(__xludf.DUMMYFUNCTION("""COMPUTED_VALUE"""),"https://www.facebook.com/loreta.ardaban.3")</f>
        <v>https://www.facebook.com/loreta.ardaban.3</v>
      </c>
      <c r="B1659" s="1" t="str">
        <f>IFERROR(__xludf.DUMMYFUNCTION("""COMPUTED_VALUE"""),"Loreta Ardaban")</f>
        <v>Loreta Ardaban</v>
      </c>
      <c r="C1659" s="1" t="str">
        <f>IFERROR(__xludf.DUMMYFUNCTION("""COMPUTED_VALUE"""),"Loreta")</f>
        <v>Loreta</v>
      </c>
      <c r="D1659" s="1" t="str">
        <f>IFERROR(__xludf.DUMMYFUNCTION("""COMPUTED_VALUE"""),"Ardaban")</f>
        <v>Ardaban</v>
      </c>
      <c r="E1659" s="1" t="str">
        <f>IFERROR(__xludf.DUMMYFUNCTION("""COMPUTED_VALUE"""),"Eve O Rio E de matalino kung ayaw mo ng matino. Kay Lenitayo Bumubuhos paparami ang mga supporters. Bowwwww Wow....,.,..w")</f>
        <v>Eve O Rio E de matalino kung ayaw mo ng matino. Kay Lenitayo Bumubuhos paparami ang mga supporters. Bowwwww Wow....,.,..w</v>
      </c>
      <c r="F1659" s="1"/>
      <c r="G1659" s="1" t="str">
        <f>IFERROR(__xludf.DUMMYFUNCTION("""COMPUTED_VALUE"""),"3 mos")</f>
        <v>3 mos</v>
      </c>
      <c r="H1659" s="1" t="str">
        <f>IFERROR(__xludf.DUMMYFUNCTION("""COMPUTED_VALUE"""),"reply")</f>
        <v>reply</v>
      </c>
      <c r="I1659" s="2" t="str">
        <f>IFERROR(__xludf.DUMMYFUNCTION("""COMPUTED_VALUE"""),"https://www.facebook.com/rapplerdotcom/photos/a.317154781638645/5595372260483511/")</f>
        <v>https://www.facebook.com/rapplerdotcom/photos/a.317154781638645/5595372260483511/</v>
      </c>
      <c r="J1659" s="1" t="str">
        <f>IFERROR(__xludf.DUMMYFUNCTION("""COMPUTED_VALUE"""),"2022-07-04T15:44:55.422Z")</f>
        <v>2022-07-04T15:44:55.422Z</v>
      </c>
      <c r="K1659" s="1"/>
    </row>
    <row r="1660">
      <c r="A1660" s="2" t="str">
        <f>IFERROR(__xludf.DUMMYFUNCTION("""COMPUTED_VALUE"""),"https://www.facebook.com/profile.php?id=100009126387339")</f>
        <v>https://www.facebook.com/profile.php?id=100009126387339</v>
      </c>
      <c r="B1660" s="1" t="str">
        <f>IFERROR(__xludf.DUMMYFUNCTION("""COMPUTED_VALUE"""),"Richard Glenn Araullo")</f>
        <v>Richard Glenn Araullo</v>
      </c>
      <c r="C1660" s="1" t="str">
        <f>IFERROR(__xludf.DUMMYFUNCTION("""COMPUTED_VALUE"""),"Richard")</f>
        <v>Richard</v>
      </c>
      <c r="D1660" s="1" t="str">
        <f>IFERROR(__xludf.DUMMYFUNCTION("""COMPUTED_VALUE"""),"Glenn Araullo")</f>
        <v>Glenn Araullo</v>
      </c>
      <c r="E1660" s="1" t="str">
        <f>IFERROR(__xludf.DUMMYFUNCTION("""COMPUTED_VALUE"""),"Ang edukasyon at pananampalataya ay makatutulong upang masiguro na responsable na ang isang tao bago nya pasukin ang pagpapamilya o pagkaka-anak.")</f>
        <v>Ang edukasyon at pananampalataya ay makatutulong upang masiguro na responsable na ang isang tao bago nya pasukin ang pagpapamilya o pagkaka-anak.</v>
      </c>
      <c r="F1660" s="1">
        <f>IFERROR(__xludf.DUMMYFUNCTION("""COMPUTED_VALUE"""),17.0)</f>
        <v>17</v>
      </c>
      <c r="G1660" s="1" t="str">
        <f>IFERROR(__xludf.DUMMYFUNCTION("""COMPUTED_VALUE"""),"3 mos")</f>
        <v>3 mos</v>
      </c>
      <c r="H1660" s="1" t="str">
        <f>IFERROR(__xludf.DUMMYFUNCTION("""COMPUTED_VALUE"""),"comment")</f>
        <v>comment</v>
      </c>
      <c r="I1660" s="2" t="str">
        <f>IFERROR(__xludf.DUMMYFUNCTION("""COMPUTED_VALUE"""),"https://www.facebook.com/rapplerdotcom/photos/a.317154781638645/5595372260483511/")</f>
        <v>https://www.facebook.com/rapplerdotcom/photos/a.317154781638645/5595372260483511/</v>
      </c>
      <c r="J1660" s="1" t="str">
        <f>IFERROR(__xludf.DUMMYFUNCTION("""COMPUTED_VALUE"""),"2022-07-04T15:44:55.422Z")</f>
        <v>2022-07-04T15:44:55.422Z</v>
      </c>
      <c r="K1660" s="1"/>
    </row>
    <row r="1661">
      <c r="A1661" s="2" t="str">
        <f>IFERROR(__xludf.DUMMYFUNCTION("""COMPUTED_VALUE"""),"https://www.facebook.com/fides.ayuste")</f>
        <v>https://www.facebook.com/fides.ayuste</v>
      </c>
      <c r="B1661" s="1" t="str">
        <f>IFERROR(__xludf.DUMMYFUNCTION("""COMPUTED_VALUE"""),"Fides Santucci")</f>
        <v>Fides Santucci</v>
      </c>
      <c r="C1661" s="1" t="str">
        <f>IFERROR(__xludf.DUMMYFUNCTION("""COMPUTED_VALUE"""),"Fides")</f>
        <v>Fides</v>
      </c>
      <c r="D1661" s="1" t="str">
        <f>IFERROR(__xludf.DUMMYFUNCTION("""COMPUTED_VALUE"""),"Santucci")</f>
        <v>Santucci</v>
      </c>
      <c r="E1661" s="1" t="str">
        <f>IFERROR(__xludf.DUMMYFUNCTION("""COMPUTED_VALUE"""),"Kailangan ng studies, kung yan ang solution, edi good 🤓🌸🌷🙏💗")</f>
        <v>Kailangan ng studies, kung yan ang solution, edi good 🤓🌸🌷🙏💗</v>
      </c>
      <c r="F1661" s="1">
        <f>IFERROR(__xludf.DUMMYFUNCTION("""COMPUTED_VALUE"""),3.0)</f>
        <v>3</v>
      </c>
      <c r="G1661" s="1" t="str">
        <f>IFERROR(__xludf.DUMMYFUNCTION("""COMPUTED_VALUE"""),"3 mos")</f>
        <v>3 mos</v>
      </c>
      <c r="H1661" s="1" t="str">
        <f>IFERROR(__xludf.DUMMYFUNCTION("""COMPUTED_VALUE"""),"comment")</f>
        <v>comment</v>
      </c>
      <c r="I1661" s="2" t="str">
        <f>IFERROR(__xludf.DUMMYFUNCTION("""COMPUTED_VALUE"""),"https://www.facebook.com/rapplerdotcom/photos/a.317154781638645/5595372260483511/")</f>
        <v>https://www.facebook.com/rapplerdotcom/photos/a.317154781638645/5595372260483511/</v>
      </c>
      <c r="J1661" s="1" t="str">
        <f>IFERROR(__xludf.DUMMYFUNCTION("""COMPUTED_VALUE"""),"2022-07-04T15:44:55.422Z")</f>
        <v>2022-07-04T15:44:55.422Z</v>
      </c>
      <c r="K1661" s="1"/>
    </row>
    <row r="1662">
      <c r="A1662" s="2" t="str">
        <f>IFERROR(__xludf.DUMMYFUNCTION("""COMPUTED_VALUE"""),"https://www.facebook.com/lina.adlao.cayong")</f>
        <v>https://www.facebook.com/lina.adlao.cayong</v>
      </c>
      <c r="B1662" s="1" t="str">
        <f>IFERROR(__xludf.DUMMYFUNCTION("""COMPUTED_VALUE"""),"Lina Cayong")</f>
        <v>Lina Cayong</v>
      </c>
      <c r="C1662" s="1" t="str">
        <f>IFERROR(__xludf.DUMMYFUNCTION("""COMPUTED_VALUE"""),"Lina")</f>
        <v>Lina</v>
      </c>
      <c r="D1662" s="1" t="str">
        <f>IFERROR(__xludf.DUMMYFUNCTION("""COMPUTED_VALUE"""),"Cayong")</f>
        <v>Cayong</v>
      </c>
      <c r="E1662" s="1" t="str">
        <f>IFERROR(__xludf.DUMMYFUNCTION("""COMPUTED_VALUE"""),"Kaya naman nakikita ng mga kabataan ang kanyang malasakit sa kanila, siya'y isang ina na nais lamang na lahat ng oportinidad ay available para sa kanila.   #LeniKiko2022 #AngatBuhayLahat  lenirobredo.com")</f>
        <v>Kaya naman nakikita ng mga kabataan ang kanyang malasakit sa kanila, siya'y isang ina na nais lamang na lahat ng oportinidad ay available para sa kanila.   #LeniKiko2022 #AngatBuhayLahat  lenirobredo.com</v>
      </c>
      <c r="F1662" s="1">
        <f>IFERROR(__xludf.DUMMYFUNCTION("""COMPUTED_VALUE"""),23.0)</f>
        <v>23</v>
      </c>
      <c r="G1662" s="1" t="str">
        <f>IFERROR(__xludf.DUMMYFUNCTION("""COMPUTED_VALUE"""),"3 mos")</f>
        <v>3 mos</v>
      </c>
      <c r="H1662" s="1" t="str">
        <f>IFERROR(__xludf.DUMMYFUNCTION("""COMPUTED_VALUE"""),"comment")</f>
        <v>comment</v>
      </c>
      <c r="I1662" s="2" t="str">
        <f>IFERROR(__xludf.DUMMYFUNCTION("""COMPUTED_VALUE"""),"https://www.facebook.com/rapplerdotcom/photos/a.317154781638645/5595372260483511/")</f>
        <v>https://www.facebook.com/rapplerdotcom/photos/a.317154781638645/5595372260483511/</v>
      </c>
      <c r="J1662" s="1" t="str">
        <f>IFERROR(__xludf.DUMMYFUNCTION("""COMPUTED_VALUE"""),"2022-07-04T15:44:55.422Z")</f>
        <v>2022-07-04T15:44:55.422Z</v>
      </c>
      <c r="K1662" s="1"/>
    </row>
    <row r="1663">
      <c r="A1663" s="2" t="str">
        <f>IFERROR(__xludf.DUMMYFUNCTION("""COMPUTED_VALUE"""),"https://www.facebook.com/edwin.sapnu.7")</f>
        <v>https://www.facebook.com/edwin.sapnu.7</v>
      </c>
      <c r="B1663" s="1" t="str">
        <f>IFERROR(__xludf.DUMMYFUNCTION("""COMPUTED_VALUE"""),"Edwin B Sapnu")</f>
        <v>Edwin B Sapnu</v>
      </c>
      <c r="C1663" s="1" t="str">
        <f>IFERROR(__xludf.DUMMYFUNCTION("""COMPUTED_VALUE"""),"Edwin")</f>
        <v>Edwin</v>
      </c>
      <c r="D1663" s="1" t="str">
        <f>IFERROR(__xludf.DUMMYFUNCTION("""COMPUTED_VALUE"""),"B Sapnu")</f>
        <v>B Sapnu</v>
      </c>
      <c r="E1663" s="1" t="str">
        <f>IFERROR(__xludf.DUMMYFUNCTION("""COMPUTED_VALUE"""),"Lina Cayong Baka hanap Patay aha")</f>
        <v>Lina Cayong Baka hanap Patay aha</v>
      </c>
      <c r="F1663" s="1">
        <f>IFERROR(__xludf.DUMMYFUNCTION("""COMPUTED_VALUE"""),1.0)</f>
        <v>1</v>
      </c>
      <c r="G1663" s="1" t="str">
        <f>IFERROR(__xludf.DUMMYFUNCTION("""COMPUTED_VALUE"""),"3 mos")</f>
        <v>3 mos</v>
      </c>
      <c r="H1663" s="1" t="str">
        <f>IFERROR(__xludf.DUMMYFUNCTION("""COMPUTED_VALUE"""),"reply")</f>
        <v>reply</v>
      </c>
      <c r="I1663" s="2" t="str">
        <f>IFERROR(__xludf.DUMMYFUNCTION("""COMPUTED_VALUE"""),"https://www.facebook.com/rapplerdotcom/photos/a.317154781638645/5595372260483511/")</f>
        <v>https://www.facebook.com/rapplerdotcom/photos/a.317154781638645/5595372260483511/</v>
      </c>
      <c r="J1663" s="1" t="str">
        <f>IFERROR(__xludf.DUMMYFUNCTION("""COMPUTED_VALUE"""),"2022-07-04T15:44:55.422Z")</f>
        <v>2022-07-04T15:44:55.422Z</v>
      </c>
      <c r="K1663" s="1"/>
    </row>
    <row r="1664">
      <c r="A1664" s="2" t="str">
        <f>IFERROR(__xludf.DUMMYFUNCTION("""COMPUTED_VALUE"""),"https://www.facebook.com/myla.malbasbelleza")</f>
        <v>https://www.facebook.com/myla.malbasbelleza</v>
      </c>
      <c r="B1664" s="1" t="str">
        <f>IFERROR(__xludf.DUMMYFUNCTION("""COMPUTED_VALUE"""),"Myla Malbas-BELLEZA")</f>
        <v>Myla Malbas-BELLEZA</v>
      </c>
      <c r="C1664" s="1" t="str">
        <f>IFERROR(__xludf.DUMMYFUNCTION("""COMPUTED_VALUE"""),"Myla")</f>
        <v>Myla</v>
      </c>
      <c r="D1664" s="1" t="str">
        <f>IFERROR(__xludf.DUMMYFUNCTION("""COMPUTED_VALUE"""),"Malbas-BELLEZA")</f>
        <v>Malbas-BELLEZA</v>
      </c>
      <c r="E1664" s="1" t="str">
        <f>IFERROR(__xludf.DUMMYFUNCTION("""COMPUTED_VALUE"""),"Trustworthiness Transparency  Integrity Accountability #GoodGovernance  #LeniKiko2022 #LeniIsMyPresident2022 #KikoIsMyVP2022 #GobyernongTapatAngatBuhayLahat #HelloPagkainGoodbyeGutom #Elections2022 #LetLeniLead2022 #LetKikobetheVP2022  Tara, PANALO na NA1"&amp;"0 'TO! 💖💖💖💚💚💚  💖🌸💚💗💪🏼🙌👏🏼🤟🙏👆🧎‍♀️  #MASSKARApatDapatLeniKiko")</f>
        <v>Trustworthiness Transparency  Integrity Accountability #GoodGovernance  #LeniKiko2022 #LeniIsMyPresident2022 #KikoIsMyVP2022 #GobyernongTapatAngatBuhayLahat #HelloPagkainGoodbyeGutom #Elections2022 #LetLeniLead2022 #LetKikobetheVP2022  Tara, PANALO na NA10 'TO! 💖💖💖💚💚💚  💖🌸💚💗💪🏼🙌👏🏼🤟🙏👆🧎‍♀️  #MASSKARApatDapatLeniKiko</v>
      </c>
      <c r="F1664" s="1">
        <f>IFERROR(__xludf.DUMMYFUNCTION("""COMPUTED_VALUE"""),12.0)</f>
        <v>12</v>
      </c>
      <c r="G1664" s="1" t="str">
        <f>IFERROR(__xludf.DUMMYFUNCTION("""COMPUTED_VALUE"""),"3 mos")</f>
        <v>3 mos</v>
      </c>
      <c r="H1664" s="1" t="str">
        <f>IFERROR(__xludf.DUMMYFUNCTION("""COMPUTED_VALUE"""),"comment")</f>
        <v>comment</v>
      </c>
      <c r="I1664" s="2" t="str">
        <f>IFERROR(__xludf.DUMMYFUNCTION("""COMPUTED_VALUE"""),"https://www.facebook.com/rapplerdotcom/photos/a.317154781638645/5595372260483511/")</f>
        <v>https://www.facebook.com/rapplerdotcom/photos/a.317154781638645/5595372260483511/</v>
      </c>
      <c r="J1664" s="1" t="str">
        <f>IFERROR(__xludf.DUMMYFUNCTION("""COMPUTED_VALUE"""),"2022-07-04T15:44:55.422Z")</f>
        <v>2022-07-04T15:44:55.422Z</v>
      </c>
      <c r="K1664" s="1"/>
    </row>
    <row r="1665">
      <c r="A1665" s="2" t="str">
        <f>IFERROR(__xludf.DUMMYFUNCTION("""COMPUTED_VALUE"""),"https://www.facebook.com/gerard.yap.7")</f>
        <v>https://www.facebook.com/gerard.yap.7</v>
      </c>
      <c r="B1665" s="1" t="str">
        <f>IFERROR(__xludf.DUMMYFUNCTION("""COMPUTED_VALUE"""),"Mark Yap")</f>
        <v>Mark Yap</v>
      </c>
      <c r="C1665" s="1" t="str">
        <f>IFERROR(__xludf.DUMMYFUNCTION("""COMPUTED_VALUE"""),"Mark")</f>
        <v>Mark</v>
      </c>
      <c r="D1665" s="1" t="str">
        <f>IFERROR(__xludf.DUMMYFUNCTION("""COMPUTED_VALUE"""),"Yap")</f>
        <v>Yap</v>
      </c>
      <c r="E1665" s="1" t="str">
        <f>IFERROR(__xludf.DUMMYFUNCTION("""COMPUTED_VALUE"""),"the ppl deliver the votes not the church.  whatever they say doesn't really matter.")</f>
        <v>the ppl deliver the votes not the church.  whatever they say doesn't really matter.</v>
      </c>
      <c r="F1665" s="1"/>
      <c r="G1665" s="1" t="str">
        <f>IFERROR(__xludf.DUMMYFUNCTION("""COMPUTED_VALUE"""),"3 mos")</f>
        <v>3 mos</v>
      </c>
      <c r="H1665" s="1" t="str">
        <f>IFERROR(__xludf.DUMMYFUNCTION("""COMPUTED_VALUE"""),"comment")</f>
        <v>comment</v>
      </c>
      <c r="I1665" s="2" t="str">
        <f>IFERROR(__xludf.DUMMYFUNCTION("""COMPUTED_VALUE"""),"https://www.facebook.com/rapplerdotcom/photos/a.317154781638645/5595372260483511/")</f>
        <v>https://www.facebook.com/rapplerdotcom/photos/a.317154781638645/5595372260483511/</v>
      </c>
      <c r="J1665" s="1" t="str">
        <f>IFERROR(__xludf.DUMMYFUNCTION("""COMPUTED_VALUE"""),"2022-07-04T15:44:55.422Z")</f>
        <v>2022-07-04T15:44:55.422Z</v>
      </c>
      <c r="K1665" s="1"/>
    </row>
    <row r="1666">
      <c r="A1666" s="2" t="str">
        <f>IFERROR(__xludf.DUMMYFUNCTION("""COMPUTED_VALUE"""),"https://www.facebook.com/junior.pontongan")</f>
        <v>https://www.facebook.com/junior.pontongan</v>
      </c>
      <c r="B1666" s="1" t="str">
        <f>IFERROR(__xludf.DUMMYFUNCTION("""COMPUTED_VALUE"""),"Chavez Jr Bergonio Pontongan")</f>
        <v>Chavez Jr Bergonio Pontongan</v>
      </c>
      <c r="C1666" s="1" t="str">
        <f>IFERROR(__xludf.DUMMYFUNCTION("""COMPUTED_VALUE"""),"Chavez")</f>
        <v>Chavez</v>
      </c>
      <c r="D1666" s="1" t="str">
        <f>IFERROR(__xludf.DUMMYFUNCTION("""COMPUTED_VALUE"""),"Jr Bergonio Pontongan")</f>
        <v>Jr Bergonio Pontongan</v>
      </c>
      <c r="E1666" s="1" t="str">
        <f>IFERROR(__xludf.DUMMYFUNCTION("""COMPUTED_VALUE"""),"Separation between church and government.  Bakit gagamitin pa Ang simbahan? Tapos Ang simbahan nakikialam na Rin hayys")</f>
        <v>Separation between church and government.  Bakit gagamitin pa Ang simbahan? Tapos Ang simbahan nakikialam na Rin hayys</v>
      </c>
      <c r="F1666" s="1">
        <f>IFERROR(__xludf.DUMMYFUNCTION("""COMPUTED_VALUE"""),5.0)</f>
        <v>5</v>
      </c>
      <c r="G1666" s="1" t="str">
        <f>IFERROR(__xludf.DUMMYFUNCTION("""COMPUTED_VALUE"""),"3 mos")</f>
        <v>3 mos</v>
      </c>
      <c r="H1666" s="1" t="str">
        <f>IFERROR(__xludf.DUMMYFUNCTION("""COMPUTED_VALUE"""),"comment")</f>
        <v>comment</v>
      </c>
      <c r="I1666" s="2" t="str">
        <f>IFERROR(__xludf.DUMMYFUNCTION("""COMPUTED_VALUE"""),"https://www.facebook.com/rapplerdotcom/photos/a.317154781638645/5595372260483511/")</f>
        <v>https://www.facebook.com/rapplerdotcom/photos/a.317154781638645/5595372260483511/</v>
      </c>
      <c r="J1666" s="1" t="str">
        <f>IFERROR(__xludf.DUMMYFUNCTION("""COMPUTED_VALUE"""),"2022-07-04T15:44:55.422Z")</f>
        <v>2022-07-04T15:44:55.422Z</v>
      </c>
      <c r="K1666" s="1"/>
    </row>
    <row r="1667">
      <c r="A1667" s="2" t="str">
        <f>IFERROR(__xludf.DUMMYFUNCTION("""COMPUTED_VALUE"""),"https://www.facebook.com/profile.php?id=100009061696259")</f>
        <v>https://www.facebook.com/profile.php?id=100009061696259</v>
      </c>
      <c r="B1667" s="1" t="str">
        <f>IFERROR(__xludf.DUMMYFUNCTION("""COMPUTED_VALUE"""),"Lizlee Medina-Pascua")</f>
        <v>Lizlee Medina-Pascua</v>
      </c>
      <c r="C1667" s="1" t="str">
        <f>IFERROR(__xludf.DUMMYFUNCTION("""COMPUTED_VALUE"""),"Lizlee")</f>
        <v>Lizlee</v>
      </c>
      <c r="D1667" s="1" t="str">
        <f>IFERROR(__xludf.DUMMYFUNCTION("""COMPUTED_VALUE"""),"Medina-Pascua")</f>
        <v>Medina-Pascua</v>
      </c>
      <c r="E1667" s="1" t="str">
        <f>IFERROR(__xludf.DUMMYFUNCTION("""COMPUTED_VALUE"""),"Chavez Jr Church is still part of the community. Aminin man po natin o hindi malaki din ang role ng simbahan 😊")</f>
        <v>Chavez Jr Church is still part of the community. Aminin man po natin o hindi malaki din ang role ng simbahan 😊</v>
      </c>
      <c r="F1667" s="1">
        <f>IFERROR(__xludf.DUMMYFUNCTION("""COMPUTED_VALUE"""),1.0)</f>
        <v>1</v>
      </c>
      <c r="G1667" s="1" t="str">
        <f>IFERROR(__xludf.DUMMYFUNCTION("""COMPUTED_VALUE"""),"3 mos")</f>
        <v>3 mos</v>
      </c>
      <c r="H1667" s="1" t="str">
        <f>IFERROR(__xludf.DUMMYFUNCTION("""COMPUTED_VALUE"""),"reply")</f>
        <v>reply</v>
      </c>
      <c r="I1667" s="2" t="str">
        <f>IFERROR(__xludf.DUMMYFUNCTION("""COMPUTED_VALUE"""),"https://www.facebook.com/rapplerdotcom/photos/a.317154781638645/5595372260483511/")</f>
        <v>https://www.facebook.com/rapplerdotcom/photos/a.317154781638645/5595372260483511/</v>
      </c>
      <c r="J1667" s="1" t="str">
        <f>IFERROR(__xludf.DUMMYFUNCTION("""COMPUTED_VALUE"""),"2022-07-04T15:44:55.422Z")</f>
        <v>2022-07-04T15:44:55.422Z</v>
      </c>
      <c r="K1667" s="1"/>
    </row>
    <row r="1668">
      <c r="A1668" s="2" t="str">
        <f>IFERROR(__xludf.DUMMYFUNCTION("""COMPUTED_VALUE"""),"https://www.facebook.com/junior.pontongan")</f>
        <v>https://www.facebook.com/junior.pontongan</v>
      </c>
      <c r="B1668" s="1" t="str">
        <f>IFERROR(__xludf.DUMMYFUNCTION("""COMPUTED_VALUE"""),"Chavez Jr Bergonio Pontongan")</f>
        <v>Chavez Jr Bergonio Pontongan</v>
      </c>
      <c r="C1668" s="1" t="str">
        <f>IFERROR(__xludf.DUMMYFUNCTION("""COMPUTED_VALUE"""),"Chavez")</f>
        <v>Chavez</v>
      </c>
      <c r="D1668" s="1" t="str">
        <f>IFERROR(__xludf.DUMMYFUNCTION("""COMPUTED_VALUE"""),"Jr Bergonio Pontongan")</f>
        <v>Jr Bergonio Pontongan</v>
      </c>
      <c r="E1668" s="1" t="str">
        <f>IFERROR(__xludf.DUMMYFUNCTION("""COMPUTED_VALUE"""),"Lizlee Medina-Pascua opo. But in terms sa political issues wag napo sana sumali pa Ang simbahan.mas mabuti Kung guidance nalang ang e ambag.")</f>
        <v>Lizlee Medina-Pascua opo. But in terms sa political issues wag napo sana sumali pa Ang simbahan.mas mabuti Kung guidance nalang ang e ambag.</v>
      </c>
      <c r="F1668" s="1">
        <f>IFERROR(__xludf.DUMMYFUNCTION("""COMPUTED_VALUE"""),4.0)</f>
        <v>4</v>
      </c>
      <c r="G1668" s="1" t="str">
        <f>IFERROR(__xludf.DUMMYFUNCTION("""COMPUTED_VALUE"""),"3 mos")</f>
        <v>3 mos</v>
      </c>
      <c r="H1668" s="1" t="str">
        <f>IFERROR(__xludf.DUMMYFUNCTION("""COMPUTED_VALUE"""),"reply")</f>
        <v>reply</v>
      </c>
      <c r="I1668" s="2" t="str">
        <f>IFERROR(__xludf.DUMMYFUNCTION("""COMPUTED_VALUE"""),"https://www.facebook.com/rapplerdotcom/photos/a.317154781638645/5595372260483511/")</f>
        <v>https://www.facebook.com/rapplerdotcom/photos/a.317154781638645/5595372260483511/</v>
      </c>
      <c r="J1668" s="1" t="str">
        <f>IFERROR(__xludf.DUMMYFUNCTION("""COMPUTED_VALUE"""),"2022-07-04T15:44:55.422Z")</f>
        <v>2022-07-04T15:44:55.422Z</v>
      </c>
      <c r="K1668" s="1"/>
    </row>
    <row r="1669">
      <c r="A1669" s="2" t="str">
        <f>IFERROR(__xludf.DUMMYFUNCTION("""COMPUTED_VALUE"""),"https://www.facebook.com/mariajesusa.menor")</f>
        <v>https://www.facebook.com/mariajesusa.menor</v>
      </c>
      <c r="B1669" s="1" t="str">
        <f>IFERROR(__xludf.DUMMYFUNCTION("""COMPUTED_VALUE"""),"Maria Jesusa Menor")</f>
        <v>Maria Jesusa Menor</v>
      </c>
      <c r="C1669" s="1" t="str">
        <f>IFERROR(__xludf.DUMMYFUNCTION("""COMPUTED_VALUE"""),"Maria")</f>
        <v>Maria</v>
      </c>
      <c r="D1669" s="1" t="str">
        <f>IFERROR(__xludf.DUMMYFUNCTION("""COMPUTED_VALUE"""),"Jesusa Menor")</f>
        <v>Jesusa Menor</v>
      </c>
      <c r="E1669" s="1" t="str">
        <f>IFERROR(__xludf.DUMMYFUNCTION("""COMPUTED_VALUE"""),"remember madam VP, Nung nakialam Ang simbahan, binaril si Rizal sa bagumbayan.")</f>
        <v>remember madam VP, Nung nakialam Ang simbahan, binaril si Rizal sa bagumbayan.</v>
      </c>
      <c r="F1669" s="1">
        <f>IFERROR(__xludf.DUMMYFUNCTION("""COMPUTED_VALUE"""),1.0)</f>
        <v>1</v>
      </c>
      <c r="G1669" s="1" t="str">
        <f>IFERROR(__xludf.DUMMYFUNCTION("""COMPUTED_VALUE"""),"3 mos")</f>
        <v>3 mos</v>
      </c>
      <c r="H1669" s="1" t="str">
        <f>IFERROR(__xludf.DUMMYFUNCTION("""COMPUTED_VALUE"""),"reply")</f>
        <v>reply</v>
      </c>
      <c r="I1669" s="2" t="str">
        <f>IFERROR(__xludf.DUMMYFUNCTION("""COMPUTED_VALUE"""),"https://www.facebook.com/rapplerdotcom/photos/a.317154781638645/5595372260483511/")</f>
        <v>https://www.facebook.com/rapplerdotcom/photos/a.317154781638645/5595372260483511/</v>
      </c>
      <c r="J1669" s="1" t="str">
        <f>IFERROR(__xludf.DUMMYFUNCTION("""COMPUTED_VALUE"""),"2022-07-04T15:44:55.422Z")</f>
        <v>2022-07-04T15:44:55.422Z</v>
      </c>
      <c r="K1669" s="1"/>
    </row>
    <row r="1670">
      <c r="A1670" s="2" t="str">
        <f>IFERROR(__xludf.DUMMYFUNCTION("""COMPUTED_VALUE"""),"https://www.facebook.com/profile.php?id=100009061696259")</f>
        <v>https://www.facebook.com/profile.php?id=100009061696259</v>
      </c>
      <c r="B1670" s="1" t="str">
        <f>IFERROR(__xludf.DUMMYFUNCTION("""COMPUTED_VALUE"""),"Lizlee Medina-Pascua")</f>
        <v>Lizlee Medina-Pascua</v>
      </c>
      <c r="C1670" s="1" t="str">
        <f>IFERROR(__xludf.DUMMYFUNCTION("""COMPUTED_VALUE"""),"Lizlee")</f>
        <v>Lizlee</v>
      </c>
      <c r="D1670" s="1" t="str">
        <f>IFERROR(__xludf.DUMMYFUNCTION("""COMPUTED_VALUE"""),"Medina-Pascua")</f>
        <v>Medina-Pascua</v>
      </c>
      <c r="E1670" s="1" t="str">
        <f>IFERROR(__xludf.DUMMYFUNCTION("""COMPUTED_VALUE"""),"Maria Jesusa Menor binasa nyo po saan dapat makipagpartner ang gobyerno sa church and education? - - - upang mabawasan ang teenage pregnancy.")</f>
        <v>Maria Jesusa Menor binasa nyo po saan dapat makipagpartner ang gobyerno sa church and education? - - - upang mabawasan ang teenage pregnancy.</v>
      </c>
      <c r="F1670" s="1"/>
      <c r="G1670" s="1" t="str">
        <f>IFERROR(__xludf.DUMMYFUNCTION("""COMPUTED_VALUE"""),"3 mos")</f>
        <v>3 mos</v>
      </c>
      <c r="H1670" s="1" t="str">
        <f>IFERROR(__xludf.DUMMYFUNCTION("""COMPUTED_VALUE"""),"reply")</f>
        <v>reply</v>
      </c>
      <c r="I1670" s="2" t="str">
        <f>IFERROR(__xludf.DUMMYFUNCTION("""COMPUTED_VALUE"""),"https://www.facebook.com/rapplerdotcom/photos/a.317154781638645/5595372260483511/")</f>
        <v>https://www.facebook.com/rapplerdotcom/photos/a.317154781638645/5595372260483511/</v>
      </c>
      <c r="J1670" s="1" t="str">
        <f>IFERROR(__xludf.DUMMYFUNCTION("""COMPUTED_VALUE"""),"2022-07-04T15:44:55.422Z")</f>
        <v>2022-07-04T15:44:55.422Z</v>
      </c>
      <c r="K1670" s="1"/>
    </row>
    <row r="1671">
      <c r="A1671" s="2" t="str">
        <f>IFERROR(__xludf.DUMMYFUNCTION("""COMPUTED_VALUE"""),"https://www.facebook.com/mariajesusa.menor")</f>
        <v>https://www.facebook.com/mariajesusa.menor</v>
      </c>
      <c r="B1671" s="1" t="str">
        <f>IFERROR(__xludf.DUMMYFUNCTION("""COMPUTED_VALUE"""),"Maria Jesusa Menor")</f>
        <v>Maria Jesusa Menor</v>
      </c>
      <c r="C1671" s="1" t="str">
        <f>IFERROR(__xludf.DUMMYFUNCTION("""COMPUTED_VALUE"""),"Maria")</f>
        <v>Maria</v>
      </c>
      <c r="D1671" s="1" t="str">
        <f>IFERROR(__xludf.DUMMYFUNCTION("""COMPUTED_VALUE"""),"Jesusa Menor")</f>
        <v>Jesusa Menor</v>
      </c>
      <c r="E1671" s="1" t="str">
        <f>IFERROR(__xludf.DUMMYFUNCTION("""COMPUTED_VALUE"""),"Lizlee Medina-Pascua c'mon, okay makialam Ang church sa ganyang aspect, pero alam natin lahat, na pakikialamanan ng church bawat kibot ng gobyerno, lagi silang may comment kahit yun issue is hindi na saklaw ng church.")</f>
        <v>Lizlee Medina-Pascua c'mon, okay makialam Ang church sa ganyang aspect, pero alam natin lahat, na pakikialamanan ng church bawat kibot ng gobyerno, lagi silang may comment kahit yun issue is hindi na saklaw ng church.</v>
      </c>
      <c r="F1671" s="1">
        <f>IFERROR(__xludf.DUMMYFUNCTION("""COMPUTED_VALUE"""),1.0)</f>
        <v>1</v>
      </c>
      <c r="G1671" s="1" t="str">
        <f>IFERROR(__xludf.DUMMYFUNCTION("""COMPUTED_VALUE"""),"3 mos")</f>
        <v>3 mos</v>
      </c>
      <c r="H1671" s="1" t="str">
        <f>IFERROR(__xludf.DUMMYFUNCTION("""COMPUTED_VALUE"""),"reply")</f>
        <v>reply</v>
      </c>
      <c r="I1671" s="2" t="str">
        <f>IFERROR(__xludf.DUMMYFUNCTION("""COMPUTED_VALUE"""),"https://www.facebook.com/rapplerdotcom/photos/a.317154781638645/5595372260483511/")</f>
        <v>https://www.facebook.com/rapplerdotcom/photos/a.317154781638645/5595372260483511/</v>
      </c>
      <c r="J1671" s="1" t="str">
        <f>IFERROR(__xludf.DUMMYFUNCTION("""COMPUTED_VALUE"""),"2022-07-04T15:44:55.422Z")</f>
        <v>2022-07-04T15:44:55.422Z</v>
      </c>
      <c r="K1671" s="1"/>
    </row>
    <row r="1672">
      <c r="A1672" s="2" t="str">
        <f>IFERROR(__xludf.DUMMYFUNCTION("""COMPUTED_VALUE"""),"https://www.facebook.com/profile.php?id=100078458811413")</f>
        <v>https://www.facebook.com/profile.php?id=100078458811413</v>
      </c>
      <c r="B1672" s="1" t="str">
        <f>IFERROR(__xludf.DUMMYFUNCTION("""COMPUTED_VALUE"""),"Kent John")</f>
        <v>Kent John</v>
      </c>
      <c r="C1672" s="1" t="str">
        <f>IFERROR(__xludf.DUMMYFUNCTION("""COMPUTED_VALUE"""),"Kent")</f>
        <v>Kent</v>
      </c>
      <c r="D1672" s="1" t="str">
        <f>IFERROR(__xludf.DUMMYFUNCTION("""COMPUTED_VALUE"""),"John")</f>
        <v>John</v>
      </c>
      <c r="E1672" s="1" t="str">
        <f>IFERROR(__xludf.DUMMYFUNCTION("""COMPUTED_VALUE"""),"Maria Jesusa Menor Binaril si Rizal ng mga Espanyol dahil sa mga aklat niya, hindi dahil sa mga pari.")</f>
        <v>Maria Jesusa Menor Binaril si Rizal ng mga Espanyol dahil sa mga aklat niya, hindi dahil sa mga pari.</v>
      </c>
      <c r="F1672" s="1"/>
      <c r="G1672" s="1" t="str">
        <f>IFERROR(__xludf.DUMMYFUNCTION("""COMPUTED_VALUE"""),"3 mos")</f>
        <v>3 mos</v>
      </c>
      <c r="H1672" s="1" t="str">
        <f>IFERROR(__xludf.DUMMYFUNCTION("""COMPUTED_VALUE"""),"reply")</f>
        <v>reply</v>
      </c>
      <c r="I1672" s="2" t="str">
        <f>IFERROR(__xludf.DUMMYFUNCTION("""COMPUTED_VALUE"""),"https://www.facebook.com/rapplerdotcom/photos/a.317154781638645/5595372260483511/")</f>
        <v>https://www.facebook.com/rapplerdotcom/photos/a.317154781638645/5595372260483511/</v>
      </c>
      <c r="J1672" s="1" t="str">
        <f>IFERROR(__xludf.DUMMYFUNCTION("""COMPUTED_VALUE"""),"2022-07-04T15:44:55.422Z")</f>
        <v>2022-07-04T15:44:55.422Z</v>
      </c>
      <c r="K1672" s="1"/>
    </row>
    <row r="1673">
      <c r="A1673" s="2" t="str">
        <f>IFERROR(__xludf.DUMMYFUNCTION("""COMPUTED_VALUE"""),"https://www.facebook.com/ate.rose.73")</f>
        <v>https://www.facebook.com/ate.rose.73</v>
      </c>
      <c r="B1673" s="1" t="str">
        <f>IFERROR(__xludf.DUMMYFUNCTION("""COMPUTED_VALUE"""),"Rose Rosos")</f>
        <v>Rose Rosos</v>
      </c>
      <c r="C1673" s="1" t="str">
        <f>IFERROR(__xludf.DUMMYFUNCTION("""COMPUTED_VALUE"""),"Rose")</f>
        <v>Rose</v>
      </c>
      <c r="D1673" s="1" t="str">
        <f>IFERROR(__xludf.DUMMYFUNCTION("""COMPUTED_VALUE"""),"Rosos")</f>
        <v>Rosos</v>
      </c>
      <c r="E1673" s="1" t="str">
        <f>IFERROR(__xludf.DUMMYFUNCTION("""COMPUTED_VALUE"""),"Maria Jesusa Menor so ano po gusto niyong palabasin?")</f>
        <v>Maria Jesusa Menor so ano po gusto niyong palabasin?</v>
      </c>
      <c r="F1673" s="1"/>
      <c r="G1673" s="1" t="str">
        <f>IFERROR(__xludf.DUMMYFUNCTION("""COMPUTED_VALUE"""),"3 mos")</f>
        <v>3 mos</v>
      </c>
      <c r="H1673" s="1" t="str">
        <f>IFERROR(__xludf.DUMMYFUNCTION("""COMPUTED_VALUE"""),"reply")</f>
        <v>reply</v>
      </c>
      <c r="I1673" s="2" t="str">
        <f>IFERROR(__xludf.DUMMYFUNCTION("""COMPUTED_VALUE"""),"https://www.facebook.com/rapplerdotcom/photos/a.317154781638645/5595372260483511/")</f>
        <v>https://www.facebook.com/rapplerdotcom/photos/a.317154781638645/5595372260483511/</v>
      </c>
      <c r="J1673" s="1" t="str">
        <f>IFERROR(__xludf.DUMMYFUNCTION("""COMPUTED_VALUE"""),"2022-07-04T15:44:55.422Z")</f>
        <v>2022-07-04T15:44:55.422Z</v>
      </c>
      <c r="K1673" s="1"/>
    </row>
    <row r="1674">
      <c r="A1674" s="2" t="str">
        <f>IFERROR(__xludf.DUMMYFUNCTION("""COMPUTED_VALUE"""),"https://www.facebook.com/markvincent.almanzor")</f>
        <v>https://www.facebook.com/markvincent.almanzor</v>
      </c>
      <c r="B1674" s="1" t="str">
        <f>IFERROR(__xludf.DUMMYFUNCTION("""COMPUTED_VALUE"""),"Mark Vincent Ramoya Almanzor")</f>
        <v>Mark Vincent Ramoya Almanzor</v>
      </c>
      <c r="C1674" s="1" t="str">
        <f>IFERROR(__xludf.DUMMYFUNCTION("""COMPUTED_VALUE"""),"Mark")</f>
        <v>Mark</v>
      </c>
      <c r="D1674" s="1" t="str">
        <f>IFERROR(__xludf.DUMMYFUNCTION("""COMPUTED_VALUE"""),"Vincent Ramoya Almanzor")</f>
        <v>Vincent Ramoya Almanzor</v>
      </c>
      <c r="E1674" s="1" t="str">
        <f>IFERROR(__xludf.DUMMYFUNCTION("""COMPUTED_VALUE"""),"Chavez Jr Bergonio Pontongan  the church or religion you believe in instills you morals and life advices na pwede mong magamit in your everyday life, kasama na po diyan ung pagkontrol sa sarili mong urges")</f>
        <v>Chavez Jr Bergonio Pontongan  the church or religion you believe in instills you morals and life advices na pwede mong magamit in your everyday life, kasama na po diyan ung pagkontrol sa sarili mong urges</v>
      </c>
      <c r="F1674" s="1">
        <f>IFERROR(__xludf.DUMMYFUNCTION("""COMPUTED_VALUE"""),1.0)</f>
        <v>1</v>
      </c>
      <c r="G1674" s="1" t="str">
        <f>IFERROR(__xludf.DUMMYFUNCTION("""COMPUTED_VALUE"""),"3 mos")</f>
        <v>3 mos</v>
      </c>
      <c r="H1674" s="1" t="str">
        <f>IFERROR(__xludf.DUMMYFUNCTION("""COMPUTED_VALUE"""),"reply")</f>
        <v>reply</v>
      </c>
      <c r="I1674" s="2" t="str">
        <f>IFERROR(__xludf.DUMMYFUNCTION("""COMPUTED_VALUE"""),"https://www.facebook.com/rapplerdotcom/photos/a.317154781638645/5595372260483511/")</f>
        <v>https://www.facebook.com/rapplerdotcom/photos/a.317154781638645/5595372260483511/</v>
      </c>
      <c r="J1674" s="1" t="str">
        <f>IFERROR(__xludf.DUMMYFUNCTION("""COMPUTED_VALUE"""),"2022-07-04T15:44:55.422Z")</f>
        <v>2022-07-04T15:44:55.422Z</v>
      </c>
      <c r="K1674" s="1"/>
    </row>
    <row r="1675">
      <c r="A1675" s="2" t="str">
        <f>IFERROR(__xludf.DUMMYFUNCTION("""COMPUTED_VALUE"""),"https://www.facebook.com/junior.pontongan")</f>
        <v>https://www.facebook.com/junior.pontongan</v>
      </c>
      <c r="B1675" s="1" t="str">
        <f>IFERROR(__xludf.DUMMYFUNCTION("""COMPUTED_VALUE"""),"Chavez Jr Bergonio Pontongan")</f>
        <v>Chavez Jr Bergonio Pontongan</v>
      </c>
      <c r="C1675" s="1" t="str">
        <f>IFERROR(__xludf.DUMMYFUNCTION("""COMPUTED_VALUE"""),"Chavez")</f>
        <v>Chavez</v>
      </c>
      <c r="D1675" s="1" t="str">
        <f>IFERROR(__xludf.DUMMYFUNCTION("""COMPUTED_VALUE"""),"Jr Bergonio Pontongan")</f>
        <v>Jr Bergonio Pontongan</v>
      </c>
      <c r="E1675" s="1" t="str">
        <f>IFERROR(__xludf.DUMMYFUNCTION("""COMPUTED_VALUE"""),"Mark Vincent Ramoya Almanzor kaya nga po. Ang Punto ko lang naman dito ay wag na po sanang makialam ang simbahan pag dating sa pulitika. Given na yang good morals, advices coming from the church because that's their role to the community.")</f>
        <v>Mark Vincent Ramoya Almanzor kaya nga po. Ang Punto ko lang naman dito ay wag na po sanang makialam ang simbahan pag dating sa pulitika. Given na yang good morals, advices coming from the church because that's their role to the community.</v>
      </c>
      <c r="F1675" s="1">
        <f>IFERROR(__xludf.DUMMYFUNCTION("""COMPUTED_VALUE"""),1.0)</f>
        <v>1</v>
      </c>
      <c r="G1675" s="1" t="str">
        <f>IFERROR(__xludf.DUMMYFUNCTION("""COMPUTED_VALUE"""),"3 mos")</f>
        <v>3 mos</v>
      </c>
      <c r="H1675" s="1" t="str">
        <f>IFERROR(__xludf.DUMMYFUNCTION("""COMPUTED_VALUE"""),"reply")</f>
        <v>reply</v>
      </c>
      <c r="I1675" s="2" t="str">
        <f>IFERROR(__xludf.DUMMYFUNCTION("""COMPUTED_VALUE"""),"https://www.facebook.com/rapplerdotcom/photos/a.317154781638645/5595372260483511/")</f>
        <v>https://www.facebook.com/rapplerdotcom/photos/a.317154781638645/5595372260483511/</v>
      </c>
      <c r="J1675" s="1" t="str">
        <f>IFERROR(__xludf.DUMMYFUNCTION("""COMPUTED_VALUE"""),"2022-07-04T15:44:55.422Z")</f>
        <v>2022-07-04T15:44:55.422Z</v>
      </c>
      <c r="K1675" s="1"/>
    </row>
    <row r="1676">
      <c r="A1676" s="2" t="str">
        <f>IFERROR(__xludf.DUMMYFUNCTION("""COMPUTED_VALUE"""),"https://www.facebook.com/jessvillante")</f>
        <v>https://www.facebook.com/jessvillante</v>
      </c>
      <c r="B1676" s="1" t="str">
        <f>IFERROR(__xludf.DUMMYFUNCTION("""COMPUTED_VALUE"""),"Jessy Villante")</f>
        <v>Jessy Villante</v>
      </c>
      <c r="C1676" s="1" t="str">
        <f>IFERROR(__xludf.DUMMYFUNCTION("""COMPUTED_VALUE"""),"Jessy")</f>
        <v>Jessy</v>
      </c>
      <c r="D1676" s="1" t="str">
        <f>IFERROR(__xludf.DUMMYFUNCTION("""COMPUTED_VALUE"""),"Villante")</f>
        <v>Villante</v>
      </c>
      <c r="E1676" s="1" t="str">
        <f>IFERROR(__xludf.DUMMYFUNCTION("""COMPUTED_VALUE"""),"Chavez Jr Bergonio Pontongan please define ""Separation between Church and state(government)"". Baka iba pagkakaintindi mo sa mga ganyan issue.")</f>
        <v>Chavez Jr Bergonio Pontongan please define "Separation between Church and state(government)". Baka iba pagkakaintindi mo sa mga ganyan issue.</v>
      </c>
      <c r="F1676" s="1">
        <f>IFERROR(__xludf.DUMMYFUNCTION("""COMPUTED_VALUE"""),1.0)</f>
        <v>1</v>
      </c>
      <c r="G1676" s="1" t="str">
        <f>IFERROR(__xludf.DUMMYFUNCTION("""COMPUTED_VALUE"""),"3 mos")</f>
        <v>3 mos</v>
      </c>
      <c r="H1676" s="1" t="str">
        <f>IFERROR(__xludf.DUMMYFUNCTION("""COMPUTED_VALUE"""),"reply")</f>
        <v>reply</v>
      </c>
      <c r="I1676" s="2" t="str">
        <f>IFERROR(__xludf.DUMMYFUNCTION("""COMPUTED_VALUE"""),"https://www.facebook.com/rapplerdotcom/photos/a.317154781638645/5595372260483511/")</f>
        <v>https://www.facebook.com/rapplerdotcom/photos/a.317154781638645/5595372260483511/</v>
      </c>
      <c r="J1676" s="1" t="str">
        <f>IFERROR(__xludf.DUMMYFUNCTION("""COMPUTED_VALUE"""),"2022-07-04T15:44:55.422Z")</f>
        <v>2022-07-04T15:44:55.422Z</v>
      </c>
      <c r="K1676" s="1"/>
    </row>
    <row r="1677">
      <c r="A1677" s="2" t="str">
        <f>IFERROR(__xludf.DUMMYFUNCTION("""COMPUTED_VALUE"""),"https://www.facebook.com/paulpatrick.sapaden")</f>
        <v>https://www.facebook.com/paulpatrick.sapaden</v>
      </c>
      <c r="B1677" s="1" t="str">
        <f>IFERROR(__xludf.DUMMYFUNCTION("""COMPUTED_VALUE"""),"Paul Patrick Sapaden")</f>
        <v>Paul Patrick Sapaden</v>
      </c>
      <c r="C1677" s="1" t="str">
        <f>IFERROR(__xludf.DUMMYFUNCTION("""COMPUTED_VALUE"""),"Paul")</f>
        <v>Paul</v>
      </c>
      <c r="D1677" s="1" t="str">
        <f>IFERROR(__xludf.DUMMYFUNCTION("""COMPUTED_VALUE"""),"Patrick Sapaden")</f>
        <v>Patrick Sapaden</v>
      </c>
      <c r="E1677" s="1" t="str">
        <f>IFERROR(__xludf.DUMMYFUNCTION("""COMPUTED_VALUE"""),"PagTanggal ng maskara neto. MasDemonyo pa sa demonyo tong mga tohhh")</f>
        <v>PagTanggal ng maskara neto. MasDemonyo pa sa demonyo tong mga tohhh</v>
      </c>
      <c r="F1677" s="1">
        <f>IFERROR(__xludf.DUMMYFUNCTION("""COMPUTED_VALUE"""),1.0)</f>
        <v>1</v>
      </c>
      <c r="G1677" s="1" t="str">
        <f>IFERROR(__xludf.DUMMYFUNCTION("""COMPUTED_VALUE"""),"3 mos")</f>
        <v>3 mos</v>
      </c>
      <c r="H1677" s="1" t="str">
        <f>IFERROR(__xludf.DUMMYFUNCTION("""COMPUTED_VALUE"""),"comment")</f>
        <v>comment</v>
      </c>
      <c r="I1677" s="2" t="str">
        <f>IFERROR(__xludf.DUMMYFUNCTION("""COMPUTED_VALUE"""),"https://www.facebook.com/rapplerdotcom/photos/a.317154781638645/5595372260483511/")</f>
        <v>https://www.facebook.com/rapplerdotcom/photos/a.317154781638645/5595372260483511/</v>
      </c>
      <c r="J1677" s="1" t="str">
        <f>IFERROR(__xludf.DUMMYFUNCTION("""COMPUTED_VALUE"""),"2022-07-04T15:44:55.422Z")</f>
        <v>2022-07-04T15:44:55.422Z</v>
      </c>
      <c r="K1677" s="1"/>
    </row>
    <row r="1678">
      <c r="A1678" s="2" t="str">
        <f>IFERROR(__xludf.DUMMYFUNCTION("""COMPUTED_VALUE"""),"https://www.facebook.com/julio.quian")</f>
        <v>https://www.facebook.com/julio.quian</v>
      </c>
      <c r="B1678" s="1" t="str">
        <f>IFERROR(__xludf.DUMMYFUNCTION("""COMPUTED_VALUE"""),"Julio Quian")</f>
        <v>Julio Quian</v>
      </c>
      <c r="C1678" s="1" t="str">
        <f>IFERROR(__xludf.DUMMYFUNCTION("""COMPUTED_VALUE"""),"Julio")</f>
        <v>Julio</v>
      </c>
      <c r="D1678" s="1" t="str">
        <f>IFERROR(__xludf.DUMMYFUNCTION("""COMPUTED_VALUE"""),"Quian")</f>
        <v>Quian</v>
      </c>
      <c r="E1678" s="1" t="str">
        <f>IFERROR(__xludf.DUMMYFUNCTION("""COMPUTED_VALUE"""),"Solid Sarah@Marco's nlang ako he is very good leader...!!!!")</f>
        <v>Solid Sarah@Marco's nlang ako he is very good leader...!!!!</v>
      </c>
      <c r="F1678" s="1">
        <f>IFERROR(__xludf.DUMMYFUNCTION("""COMPUTED_VALUE"""),24.0)</f>
        <v>24</v>
      </c>
      <c r="G1678" s="1" t="str">
        <f>IFERROR(__xludf.DUMMYFUNCTION("""COMPUTED_VALUE"""),"3 mos")</f>
        <v>3 mos</v>
      </c>
      <c r="H1678" s="1" t="str">
        <f>IFERROR(__xludf.DUMMYFUNCTION("""COMPUTED_VALUE"""),"comment")</f>
        <v>comment</v>
      </c>
      <c r="I1678" s="2" t="str">
        <f>IFERROR(__xludf.DUMMYFUNCTION("""COMPUTED_VALUE"""),"https://www.facebook.com/rapplerdotcom/photos/a.317154781638645/5595372260483511/")</f>
        <v>https://www.facebook.com/rapplerdotcom/photos/a.317154781638645/5595372260483511/</v>
      </c>
      <c r="J1678" s="1" t="str">
        <f>IFERROR(__xludf.DUMMYFUNCTION("""COMPUTED_VALUE"""),"2022-07-04T15:44:55.422Z")</f>
        <v>2022-07-04T15:44:55.422Z</v>
      </c>
      <c r="K1678" s="1"/>
    </row>
    <row r="1679">
      <c r="A1679" s="2" t="str">
        <f>IFERROR(__xludf.DUMMYFUNCTION("""COMPUTED_VALUE"""),"https://www.facebook.com/BabymetalxDesu")</f>
        <v>https://www.facebook.com/BabymetalxDesu</v>
      </c>
      <c r="B1679" s="1" t="str">
        <f>IFERROR(__xludf.DUMMYFUNCTION("""COMPUTED_VALUE"""),"Harry Lagunsad")</f>
        <v>Harry Lagunsad</v>
      </c>
      <c r="C1679" s="1" t="str">
        <f>IFERROR(__xludf.DUMMYFUNCTION("""COMPUTED_VALUE"""),"Harry")</f>
        <v>Harry</v>
      </c>
      <c r="D1679" s="1" t="str">
        <f>IFERROR(__xludf.DUMMYFUNCTION("""COMPUTED_VALUE"""),"Lagunsad")</f>
        <v>Lagunsad</v>
      </c>
      <c r="E1679" s="1" t="str">
        <f>IFERROR(__xludf.DUMMYFUNCTION("""COMPUTED_VALUE"""),"Julio Quian  wla nman nag tatanong")</f>
        <v>Julio Quian  wla nman nag tatanong</v>
      </c>
      <c r="F1679" s="1">
        <f>IFERROR(__xludf.DUMMYFUNCTION("""COMPUTED_VALUE"""),10.0)</f>
        <v>10</v>
      </c>
      <c r="G1679" s="1" t="str">
        <f>IFERROR(__xludf.DUMMYFUNCTION("""COMPUTED_VALUE"""),"3 mos")</f>
        <v>3 mos</v>
      </c>
      <c r="H1679" s="1" t="str">
        <f>IFERROR(__xludf.DUMMYFUNCTION("""COMPUTED_VALUE"""),"reply")</f>
        <v>reply</v>
      </c>
      <c r="I1679" s="2" t="str">
        <f>IFERROR(__xludf.DUMMYFUNCTION("""COMPUTED_VALUE"""),"https://www.facebook.com/rapplerdotcom/photos/a.317154781638645/5595372260483511/")</f>
        <v>https://www.facebook.com/rapplerdotcom/photos/a.317154781638645/5595372260483511/</v>
      </c>
      <c r="J1679" s="1" t="str">
        <f>IFERROR(__xludf.DUMMYFUNCTION("""COMPUTED_VALUE"""),"2022-07-04T15:44:55.423Z")</f>
        <v>2022-07-04T15:44:55.423Z</v>
      </c>
      <c r="K1679" s="1"/>
    </row>
    <row r="1680">
      <c r="A1680" s="2" t="str">
        <f>IFERROR(__xludf.DUMMYFUNCTION("""COMPUTED_VALUE"""),"https://www.facebook.com/kir.aguilar.cabasaan")</f>
        <v>https://www.facebook.com/kir.aguilar.cabasaan</v>
      </c>
      <c r="B1680" s="1" t="str">
        <f>IFERROR(__xludf.DUMMYFUNCTION("""COMPUTED_VALUE"""),"Kir Paulo Aguilar Cabasaan")</f>
        <v>Kir Paulo Aguilar Cabasaan</v>
      </c>
      <c r="C1680" s="1" t="str">
        <f>IFERROR(__xludf.DUMMYFUNCTION("""COMPUTED_VALUE"""),"Kir")</f>
        <v>Kir</v>
      </c>
      <c r="D1680" s="1" t="str">
        <f>IFERROR(__xludf.DUMMYFUNCTION("""COMPUTED_VALUE"""),"Paulo Aguilar Cabasaan")</f>
        <v>Paulo Aguilar Cabasaan</v>
      </c>
      <c r="E1680" s="1" t="str">
        <f>IFERROR(__xludf.DUMMYFUNCTION("""COMPUTED_VALUE"""),"Julio Quian at pano mo naman nasabi?")</f>
        <v>Julio Quian at pano mo naman nasabi?</v>
      </c>
      <c r="F1680" s="1"/>
      <c r="G1680" s="1" t="str">
        <f>IFERROR(__xludf.DUMMYFUNCTION("""COMPUTED_VALUE"""),"3 mos")</f>
        <v>3 mos</v>
      </c>
      <c r="H1680" s="1" t="str">
        <f>IFERROR(__xludf.DUMMYFUNCTION("""COMPUTED_VALUE"""),"reply")</f>
        <v>reply</v>
      </c>
      <c r="I1680" s="2" t="str">
        <f>IFERROR(__xludf.DUMMYFUNCTION("""COMPUTED_VALUE"""),"https://www.facebook.com/rapplerdotcom/photos/a.317154781638645/5595372260483511/")</f>
        <v>https://www.facebook.com/rapplerdotcom/photos/a.317154781638645/5595372260483511/</v>
      </c>
      <c r="J1680" s="1" t="str">
        <f>IFERROR(__xludf.DUMMYFUNCTION("""COMPUTED_VALUE"""),"2022-07-04T15:44:55.423Z")</f>
        <v>2022-07-04T15:44:55.423Z</v>
      </c>
      <c r="K1680" s="1"/>
    </row>
    <row r="1681">
      <c r="A1681" s="2" t="str">
        <f>IFERROR(__xludf.DUMMYFUNCTION("""COMPUTED_VALUE"""),"https://www.facebook.com/fcyrylguray07")</f>
        <v>https://www.facebook.com/fcyrylguray07</v>
      </c>
      <c r="B1681" s="1" t="str">
        <f>IFERROR(__xludf.DUMMYFUNCTION("""COMPUTED_VALUE"""),"Fcyryl Milarpis Guray")</f>
        <v>Fcyryl Milarpis Guray</v>
      </c>
      <c r="C1681" s="1" t="str">
        <f>IFERROR(__xludf.DUMMYFUNCTION("""COMPUTED_VALUE"""),"Fcyryl")</f>
        <v>Fcyryl</v>
      </c>
      <c r="D1681" s="1" t="str">
        <f>IFERROR(__xludf.DUMMYFUNCTION("""COMPUTED_VALUE"""),"Milarpis Guray")</f>
        <v>Milarpis Guray</v>
      </c>
      <c r="E1681" s="1" t="str">
        <f>IFERROR(__xludf.DUMMYFUNCTION("""COMPUTED_VALUE"""),"Julio Quian weak leader kamo sabi ng tatay mo haha")</f>
        <v>Julio Quian weak leader kamo sabi ng tatay mo haha</v>
      </c>
      <c r="F1681" s="1">
        <f>IFERROR(__xludf.DUMMYFUNCTION("""COMPUTED_VALUE"""),1.0)</f>
        <v>1</v>
      </c>
      <c r="G1681" s="1" t="str">
        <f>IFERROR(__xludf.DUMMYFUNCTION("""COMPUTED_VALUE"""),"3 mos")</f>
        <v>3 mos</v>
      </c>
      <c r="H1681" s="1" t="str">
        <f>IFERROR(__xludf.DUMMYFUNCTION("""COMPUTED_VALUE"""),"reply")</f>
        <v>reply</v>
      </c>
      <c r="I1681" s="2" t="str">
        <f>IFERROR(__xludf.DUMMYFUNCTION("""COMPUTED_VALUE"""),"https://www.facebook.com/rapplerdotcom/photos/a.317154781638645/5595372260483511/")</f>
        <v>https://www.facebook.com/rapplerdotcom/photos/a.317154781638645/5595372260483511/</v>
      </c>
      <c r="J1681" s="1" t="str">
        <f>IFERROR(__xludf.DUMMYFUNCTION("""COMPUTED_VALUE"""),"2022-07-04T15:44:55.423Z")</f>
        <v>2022-07-04T15:44:55.423Z</v>
      </c>
      <c r="K1681" s="1"/>
    </row>
    <row r="1682">
      <c r="A1682" s="2" t="str">
        <f>IFERROR(__xludf.DUMMYFUNCTION("""COMPUTED_VALUE"""),"https://www.facebook.com/belen.bosea")</f>
        <v>https://www.facebook.com/belen.bosea</v>
      </c>
      <c r="B1682" s="1" t="str">
        <f>IFERROR(__xludf.DUMMYFUNCTION("""COMPUTED_VALUE"""),"Belen Bosea")</f>
        <v>Belen Bosea</v>
      </c>
      <c r="C1682" s="1" t="str">
        <f>IFERROR(__xludf.DUMMYFUNCTION("""COMPUTED_VALUE"""),"Belen")</f>
        <v>Belen</v>
      </c>
      <c r="D1682" s="1" t="str">
        <f>IFERROR(__xludf.DUMMYFUNCTION("""COMPUTED_VALUE"""),"Bosea")</f>
        <v>Bosea</v>
      </c>
      <c r="E1682" s="1" t="str">
        <f>IFERROR(__xludf.DUMMYFUNCTION("""COMPUTED_VALUE"""),"Julio Quian may naligaw na troll wag pansinin kikita pa yan 😁😂")</f>
        <v>Julio Quian may naligaw na troll wag pansinin kikita pa yan 😁😂</v>
      </c>
      <c r="F1682" s="1">
        <f>IFERROR(__xludf.DUMMYFUNCTION("""COMPUTED_VALUE"""),1.0)</f>
        <v>1</v>
      </c>
      <c r="G1682" s="1" t="str">
        <f>IFERROR(__xludf.DUMMYFUNCTION("""COMPUTED_VALUE"""),"3 mos")</f>
        <v>3 mos</v>
      </c>
      <c r="H1682" s="1" t="str">
        <f>IFERROR(__xludf.DUMMYFUNCTION("""COMPUTED_VALUE"""),"reply")</f>
        <v>reply</v>
      </c>
      <c r="I1682" s="2" t="str">
        <f>IFERROR(__xludf.DUMMYFUNCTION("""COMPUTED_VALUE"""),"https://www.facebook.com/rapplerdotcom/photos/a.317154781638645/5595372260483511/")</f>
        <v>https://www.facebook.com/rapplerdotcom/photos/a.317154781638645/5595372260483511/</v>
      </c>
      <c r="J1682" s="1" t="str">
        <f>IFERROR(__xludf.DUMMYFUNCTION("""COMPUTED_VALUE"""),"2022-07-04T15:44:55.423Z")</f>
        <v>2022-07-04T15:44:55.423Z</v>
      </c>
      <c r="K1682" s="1"/>
    </row>
    <row r="1683">
      <c r="A1683" s="2" t="str">
        <f>IFERROR(__xludf.DUMMYFUNCTION("""COMPUTED_VALUE"""),"https://www.facebook.com/nilo.asas")</f>
        <v>https://www.facebook.com/nilo.asas</v>
      </c>
      <c r="B1683" s="1" t="str">
        <f>IFERROR(__xludf.DUMMYFUNCTION("""COMPUTED_VALUE"""),"Nilo Asas")</f>
        <v>Nilo Asas</v>
      </c>
      <c r="C1683" s="1" t="str">
        <f>IFERROR(__xludf.DUMMYFUNCTION("""COMPUTED_VALUE"""),"Nilo")</f>
        <v>Nilo</v>
      </c>
      <c r="D1683" s="1" t="str">
        <f>IFERROR(__xludf.DUMMYFUNCTION("""COMPUTED_VALUE"""),"Asas")</f>
        <v>Asas</v>
      </c>
      <c r="E1683" s="1" t="str">
        <f>IFERROR(__xludf.DUMMYFUNCTION("""COMPUTED_VALUE"""),"グレー フシャイリル kaya pala pag sumagot hindi maintindihan pa bago bago hehehe")</f>
        <v>グレー フシャイリル kaya pala pag sumagot hindi maintindihan pa bago bago hehehe</v>
      </c>
      <c r="F1683" s="1">
        <f>IFERROR(__xludf.DUMMYFUNCTION("""COMPUTED_VALUE"""),1.0)</f>
        <v>1</v>
      </c>
      <c r="G1683" s="1" t="str">
        <f>IFERROR(__xludf.DUMMYFUNCTION("""COMPUTED_VALUE"""),"3 mos")</f>
        <v>3 mos</v>
      </c>
      <c r="H1683" s="1" t="str">
        <f>IFERROR(__xludf.DUMMYFUNCTION("""COMPUTED_VALUE"""),"reply")</f>
        <v>reply</v>
      </c>
      <c r="I1683" s="2" t="str">
        <f>IFERROR(__xludf.DUMMYFUNCTION("""COMPUTED_VALUE"""),"https://www.facebook.com/rapplerdotcom/photos/a.317154781638645/5595372260483511/")</f>
        <v>https://www.facebook.com/rapplerdotcom/photos/a.317154781638645/5595372260483511/</v>
      </c>
      <c r="J1683" s="1" t="str">
        <f>IFERROR(__xludf.DUMMYFUNCTION("""COMPUTED_VALUE"""),"2022-07-04T15:44:55.423Z")</f>
        <v>2022-07-04T15:44:55.423Z</v>
      </c>
      <c r="K1683" s="1"/>
    </row>
    <row r="1684">
      <c r="A1684" s="2" t="str">
        <f>IFERROR(__xludf.DUMMYFUNCTION("""COMPUTED_VALUE"""),"https://www.facebook.com/cyluh")</f>
        <v>https://www.facebook.com/cyluh</v>
      </c>
      <c r="B1684" s="1" t="str">
        <f>IFERROR(__xludf.DUMMYFUNCTION("""COMPUTED_VALUE"""),"Lucia Miranda Hisona")</f>
        <v>Lucia Miranda Hisona</v>
      </c>
      <c r="C1684" s="1" t="str">
        <f>IFERROR(__xludf.DUMMYFUNCTION("""COMPUTED_VALUE"""),"Lucia")</f>
        <v>Lucia</v>
      </c>
      <c r="D1684" s="1" t="str">
        <f>IFERROR(__xludf.DUMMYFUNCTION("""COMPUTED_VALUE"""),"Miranda Hisona")</f>
        <v>Miranda Hisona</v>
      </c>
      <c r="E1684" s="1" t="str">
        <f>IFERROR(__xludf.DUMMYFUNCTION("""COMPUTED_VALUE"""),"Julio Quian desperate moves kahit wala nagtatanong sumusingit")</f>
        <v>Julio Quian desperate moves kahit wala nagtatanong sumusingit</v>
      </c>
      <c r="F1684" s="1">
        <f>IFERROR(__xludf.DUMMYFUNCTION("""COMPUTED_VALUE"""),2.0)</f>
        <v>2</v>
      </c>
      <c r="G1684" s="1" t="str">
        <f>IFERROR(__xludf.DUMMYFUNCTION("""COMPUTED_VALUE"""),"3 mos")</f>
        <v>3 mos</v>
      </c>
      <c r="H1684" s="1" t="str">
        <f>IFERROR(__xludf.DUMMYFUNCTION("""COMPUTED_VALUE"""),"reply")</f>
        <v>reply</v>
      </c>
      <c r="I1684" s="2" t="str">
        <f>IFERROR(__xludf.DUMMYFUNCTION("""COMPUTED_VALUE"""),"https://www.facebook.com/rapplerdotcom/photos/a.317154781638645/5595372260483511/")</f>
        <v>https://www.facebook.com/rapplerdotcom/photos/a.317154781638645/5595372260483511/</v>
      </c>
      <c r="J1684" s="1" t="str">
        <f>IFERROR(__xludf.DUMMYFUNCTION("""COMPUTED_VALUE"""),"2022-07-04T15:44:55.423Z")</f>
        <v>2022-07-04T15:44:55.423Z</v>
      </c>
      <c r="K1684" s="1"/>
    </row>
    <row r="1685">
      <c r="A1685" s="2" t="str">
        <f>IFERROR(__xludf.DUMMYFUNCTION("""COMPUTED_VALUE"""),"https://www.facebook.com/VictoriaLPoblete")</f>
        <v>https://www.facebook.com/VictoriaLPoblete</v>
      </c>
      <c r="B1685" s="1" t="str">
        <f>IFERROR(__xludf.DUMMYFUNCTION("""COMPUTED_VALUE"""),"Victoria LLamas Poblete")</f>
        <v>Victoria LLamas Poblete</v>
      </c>
      <c r="C1685" s="1" t="str">
        <f>IFERROR(__xludf.DUMMYFUNCTION("""COMPUTED_VALUE"""),"Victoria")</f>
        <v>Victoria</v>
      </c>
      <c r="D1685" s="1" t="str">
        <f>IFERROR(__xludf.DUMMYFUNCTION("""COMPUTED_VALUE"""),"LLamas Poblete")</f>
        <v>LLamas Poblete</v>
      </c>
      <c r="E1685" s="1" t="str">
        <f>IFERROR(__xludf.DUMMYFUNCTION("""COMPUTED_VALUE"""),"Julio Quian Who told you?")</f>
        <v>Julio Quian Who told you?</v>
      </c>
      <c r="F1685" s="1"/>
      <c r="G1685" s="1" t="str">
        <f>IFERROR(__xludf.DUMMYFUNCTION("""COMPUTED_VALUE"""),"3 mos")</f>
        <v>3 mos</v>
      </c>
      <c r="H1685" s="1" t="str">
        <f>IFERROR(__xludf.DUMMYFUNCTION("""COMPUTED_VALUE"""),"reply")</f>
        <v>reply</v>
      </c>
      <c r="I1685" s="2" t="str">
        <f>IFERROR(__xludf.DUMMYFUNCTION("""COMPUTED_VALUE"""),"https://www.facebook.com/rapplerdotcom/photos/a.317154781638645/5595372260483511/")</f>
        <v>https://www.facebook.com/rapplerdotcom/photos/a.317154781638645/5595372260483511/</v>
      </c>
      <c r="J1685" s="1" t="str">
        <f>IFERROR(__xludf.DUMMYFUNCTION("""COMPUTED_VALUE"""),"2022-07-04T15:44:55.423Z")</f>
        <v>2022-07-04T15:44:55.423Z</v>
      </c>
      <c r="K1685" s="1"/>
    </row>
    <row r="1686">
      <c r="A1686" s="2" t="str">
        <f>IFERROR(__xludf.DUMMYFUNCTION("""COMPUTED_VALUE"""),"https://www.facebook.com/julio.quian")</f>
        <v>https://www.facebook.com/julio.quian</v>
      </c>
      <c r="B1686" s="1" t="str">
        <f>IFERROR(__xludf.DUMMYFUNCTION("""COMPUTED_VALUE"""),"Julio Quian")</f>
        <v>Julio Quian</v>
      </c>
      <c r="C1686" s="1" t="str">
        <f>IFERROR(__xludf.DUMMYFUNCTION("""COMPUTED_VALUE"""),"Julio")</f>
        <v>Julio</v>
      </c>
      <c r="D1686" s="1" t="str">
        <f>IFERROR(__xludf.DUMMYFUNCTION("""COMPUTED_VALUE"""),"Quian")</f>
        <v>Quian</v>
      </c>
      <c r="E1686" s="1" t="str">
        <f>IFERROR(__xludf.DUMMYFUNCTION("""COMPUTED_VALUE"""),"Sya pa rin nman ang endorsement ni tatay DIGONG...")</f>
        <v>Sya pa rin nman ang endorsement ni tatay DIGONG...</v>
      </c>
      <c r="F1686" s="1"/>
      <c r="G1686" s="1" t="str">
        <f>IFERROR(__xludf.DUMMYFUNCTION("""COMPUTED_VALUE"""),"3 mos")</f>
        <v>3 mos</v>
      </c>
      <c r="H1686" s="1" t="str">
        <f>IFERROR(__xludf.DUMMYFUNCTION("""COMPUTED_VALUE"""),"reply")</f>
        <v>reply</v>
      </c>
      <c r="I1686" s="2" t="str">
        <f>IFERROR(__xludf.DUMMYFUNCTION("""COMPUTED_VALUE"""),"https://www.facebook.com/rapplerdotcom/photos/a.317154781638645/5595372260483511/")</f>
        <v>https://www.facebook.com/rapplerdotcom/photos/a.317154781638645/5595372260483511/</v>
      </c>
      <c r="J1686" s="1" t="str">
        <f>IFERROR(__xludf.DUMMYFUNCTION("""COMPUTED_VALUE"""),"2022-07-04T15:44:55.423Z")</f>
        <v>2022-07-04T15:44:55.423Z</v>
      </c>
      <c r="K1686" s="1"/>
    </row>
    <row r="1687">
      <c r="A1687" s="2" t="str">
        <f>IFERROR(__xludf.DUMMYFUNCTION("""COMPUTED_VALUE"""),"https://www.facebook.com/ledecia.sendayen.3")</f>
        <v>https://www.facebook.com/ledecia.sendayen.3</v>
      </c>
      <c r="B1687" s="1" t="str">
        <f>IFERROR(__xludf.DUMMYFUNCTION("""COMPUTED_VALUE"""),"Ledecia Sendayen")</f>
        <v>Ledecia Sendayen</v>
      </c>
      <c r="C1687" s="1" t="str">
        <f>IFERROR(__xludf.DUMMYFUNCTION("""COMPUTED_VALUE"""),"Ledecia")</f>
        <v>Ledecia</v>
      </c>
      <c r="D1687" s="1" t="str">
        <f>IFERROR(__xludf.DUMMYFUNCTION("""COMPUTED_VALUE"""),"Sendayen")</f>
        <v>Sendayen</v>
      </c>
      <c r="E1687" s="1" t="str">
        <f>IFERROR(__xludf.DUMMYFUNCTION("""COMPUTED_VALUE"""),"Julio Quian good leader ba ang hindi marunong magbayad ng utang maski a decision was handed since 1997 by SC and supposedly final and executory and he is still denying it.")</f>
        <v>Julio Quian good leader ba ang hindi marunong magbayad ng utang maski a decision was handed since 1997 by SC and supposedly final and executory and he is still denying it.</v>
      </c>
      <c r="F1687" s="1"/>
      <c r="G1687" s="1" t="str">
        <f>IFERROR(__xludf.DUMMYFUNCTION("""COMPUTED_VALUE"""),"3 mos")</f>
        <v>3 mos</v>
      </c>
      <c r="H1687" s="1" t="str">
        <f>IFERROR(__xludf.DUMMYFUNCTION("""COMPUTED_VALUE"""),"reply")</f>
        <v>reply</v>
      </c>
      <c r="I1687" s="2" t="str">
        <f>IFERROR(__xludf.DUMMYFUNCTION("""COMPUTED_VALUE"""),"https://www.facebook.com/rapplerdotcom/photos/a.317154781638645/5595372260483511/")</f>
        <v>https://www.facebook.com/rapplerdotcom/photos/a.317154781638645/5595372260483511/</v>
      </c>
      <c r="J1687" s="1" t="str">
        <f>IFERROR(__xludf.DUMMYFUNCTION("""COMPUTED_VALUE"""),"2022-07-04T15:44:55.423Z")</f>
        <v>2022-07-04T15:44:55.423Z</v>
      </c>
      <c r="K1687" s="1"/>
    </row>
    <row r="1688">
      <c r="A1688" s="2" t="str">
        <f>IFERROR(__xludf.DUMMYFUNCTION("""COMPUTED_VALUE"""),"https://www.facebook.com/loreta.ardaban.3")</f>
        <v>https://www.facebook.com/loreta.ardaban.3</v>
      </c>
      <c r="B1688" s="1" t="str">
        <f>IFERROR(__xludf.DUMMYFUNCTION("""COMPUTED_VALUE"""),"Loreta Ardaban")</f>
        <v>Loreta Ardaban</v>
      </c>
      <c r="C1688" s="1" t="str">
        <f>IFERROR(__xludf.DUMMYFUNCTION("""COMPUTED_VALUE"""),"Loreta")</f>
        <v>Loreta</v>
      </c>
      <c r="D1688" s="1" t="str">
        <f>IFERROR(__xludf.DUMMYFUNCTION("""COMPUTED_VALUE"""),"Ardaban")</f>
        <v>Ardaban</v>
      </c>
      <c r="E1688" s="1" t="str">
        <f>IFERROR(__xludf.DUMMYFUNCTION("""COMPUTED_VALUE"""),"Julio Quian  Vote Wisely sabi ng marami. Bakit sinasabi ito. Kasi may mga tao na ayaw sa isang marangal.Ang gusto marungis. Nabasa ko lang to ito na rin ang paniniwala ko.Na may basehan naman❤️🌸")</f>
        <v>Julio Quian  Vote Wisely sabi ng marami. Bakit sinasabi ito. Kasi may mga tao na ayaw sa isang marangal.Ang gusto marungis. Nabasa ko lang to ito na rin ang paniniwala ko.Na may basehan naman❤️🌸</v>
      </c>
      <c r="F1688" s="1"/>
      <c r="G1688" s="1" t="str">
        <f>IFERROR(__xludf.DUMMYFUNCTION("""COMPUTED_VALUE"""),"3 mos")</f>
        <v>3 mos</v>
      </c>
      <c r="H1688" s="1" t="str">
        <f>IFERROR(__xludf.DUMMYFUNCTION("""COMPUTED_VALUE"""),"reply")</f>
        <v>reply</v>
      </c>
      <c r="I1688" s="2" t="str">
        <f>IFERROR(__xludf.DUMMYFUNCTION("""COMPUTED_VALUE"""),"https://www.facebook.com/rapplerdotcom/photos/a.317154781638645/5595372260483511/")</f>
        <v>https://www.facebook.com/rapplerdotcom/photos/a.317154781638645/5595372260483511/</v>
      </c>
      <c r="J1688" s="1" t="str">
        <f>IFERROR(__xludf.DUMMYFUNCTION("""COMPUTED_VALUE"""),"2022-07-04T15:44:55.423Z")</f>
        <v>2022-07-04T15:44:55.423Z</v>
      </c>
      <c r="K1688" s="1"/>
    </row>
    <row r="1689">
      <c r="A1689" s="2" t="str">
        <f>IFERROR(__xludf.DUMMYFUNCTION("""COMPUTED_VALUE"""),"https://www.facebook.com/profile.php?id=100076940169855")</f>
        <v>https://www.facebook.com/profile.php?id=100076940169855</v>
      </c>
      <c r="B1689" s="1" t="str">
        <f>IFERROR(__xludf.DUMMYFUNCTION("""COMPUTED_VALUE"""),"Abhet Pante")</f>
        <v>Abhet Pante</v>
      </c>
      <c r="C1689" s="1" t="str">
        <f>IFERROR(__xludf.DUMMYFUNCTION("""COMPUTED_VALUE"""),"Abhet")</f>
        <v>Abhet</v>
      </c>
      <c r="D1689" s="1" t="str">
        <f>IFERROR(__xludf.DUMMYFUNCTION("""COMPUTED_VALUE"""),"Pante")</f>
        <v>Pante</v>
      </c>
      <c r="E1689" s="1" t="str">
        <f>IFERROR(__xludf.DUMMYFUNCTION("""COMPUTED_VALUE"""),"tutuo poh yan sa panahon nuon kahit sa pelikula maging bandido sa huli simbahan ang lage nilang sinasandalan mahalaga poh ang simbahan katolika para sa tao nawawalan cla direction sa buhay..dahil sa pera")</f>
        <v>tutuo poh yan sa panahon nuon kahit sa pelikula maging bandido sa huli simbahan ang lage nilang sinasandalan mahalaga poh ang simbahan katolika para sa tao nawawalan cla direction sa buhay..dahil sa pera</v>
      </c>
      <c r="F1689" s="1"/>
      <c r="G1689" s="1" t="str">
        <f>IFERROR(__xludf.DUMMYFUNCTION("""COMPUTED_VALUE"""),"3 mos")</f>
        <v>3 mos</v>
      </c>
      <c r="H1689" s="1" t="str">
        <f>IFERROR(__xludf.DUMMYFUNCTION("""COMPUTED_VALUE"""),"comment")</f>
        <v>comment</v>
      </c>
      <c r="I1689" s="2" t="str">
        <f>IFERROR(__xludf.DUMMYFUNCTION("""COMPUTED_VALUE"""),"https://www.facebook.com/rapplerdotcom/photos/a.317154781638645/5595372260483511/")</f>
        <v>https://www.facebook.com/rapplerdotcom/photos/a.317154781638645/5595372260483511/</v>
      </c>
      <c r="J1689" s="1" t="str">
        <f>IFERROR(__xludf.DUMMYFUNCTION("""COMPUTED_VALUE"""),"2022-07-04T15:44:55.423Z")</f>
        <v>2022-07-04T15:44:55.423Z</v>
      </c>
      <c r="K1689" s="1"/>
    </row>
    <row r="1690">
      <c r="A1690" s="2" t="str">
        <f>IFERROR(__xludf.DUMMYFUNCTION("""COMPUTED_VALUE"""),"https://www.facebook.com/dez.delmundosamson")</f>
        <v>https://www.facebook.com/dez.delmundosamson</v>
      </c>
      <c r="B1690" s="1" t="str">
        <f>IFERROR(__xludf.DUMMYFUNCTION("""COMPUTED_VALUE"""),"Theysee Theearth Samson")</f>
        <v>Theysee Theearth Samson</v>
      </c>
      <c r="C1690" s="1" t="str">
        <f>IFERROR(__xludf.DUMMYFUNCTION("""COMPUTED_VALUE"""),"Theysee")</f>
        <v>Theysee</v>
      </c>
      <c r="D1690" s="1" t="str">
        <f>IFERROR(__xludf.DUMMYFUNCTION("""COMPUTED_VALUE"""),"Theearth Samson")</f>
        <v>Theearth Samson</v>
      </c>
      <c r="E1690" s="1" t="str">
        <f>IFERROR(__xludf.DUMMYFUNCTION("""COMPUTED_VALUE"""),"Padayon ✊ lang, Laban tayo para sa isang #MasRadikalAngMagmahal #IpanaloNa10Ito #AngatAngBabae  #10RobredoPresident  #KikoAngManokKo  #7PangilinanForVicePresident  #MASSKARApatDapatLeniKiko  #TeamRObredoPAngilinan2022  kasamahan para sa Senado, iboto din "&amp;"ng straight, Atty Alex Lacson, Atty Sonny Matula, Dean Chel Diokno, Indigenous Peoples representative Teddy Baguilat, Sen DeLima, Sen Hontiveros, Sen T inrillianes, Sen Gordon at 1Sambayanan Atty Neri Colmenares at Labor Leader Elmer Labog at Luke Espirit"&amp;"u #GobyernongTapatAngatBuhayLahat")</f>
        <v>Padayon ✊ lang, Laban tayo para sa isang #MasRadikalAngMagmahal #IpanaloNa10Ito #AngatAngBabae  #10RobredoPresident  #KikoAngManokKo  #7PangilinanForVicePresident  #MASSKARApatDapatLeniKiko  #TeamRObredoPAngilinan2022  kasamahan para sa Senado, iboto din ng straight, Atty Alex Lacson, Atty Sonny Matula, Dean Chel Diokno, Indigenous Peoples representative Teddy Baguilat, Sen DeLima, Sen Hontiveros, Sen T inrillianes, Sen Gordon at 1Sambayanan Atty Neri Colmenares at Labor Leader Elmer Labog at Luke Espiritu #GobyernongTapatAngatBuhayLahat</v>
      </c>
      <c r="F1690" s="1">
        <f>IFERROR(__xludf.DUMMYFUNCTION("""COMPUTED_VALUE"""),15.0)</f>
        <v>15</v>
      </c>
      <c r="G1690" s="1" t="str">
        <f>IFERROR(__xludf.DUMMYFUNCTION("""COMPUTED_VALUE"""),"3 mos")</f>
        <v>3 mos</v>
      </c>
      <c r="H1690" s="1" t="str">
        <f>IFERROR(__xludf.DUMMYFUNCTION("""COMPUTED_VALUE"""),"comment")</f>
        <v>comment</v>
      </c>
      <c r="I1690" s="2" t="str">
        <f>IFERROR(__xludf.DUMMYFUNCTION("""COMPUTED_VALUE"""),"https://www.facebook.com/rapplerdotcom/photos/a.317154781638645/5595372260483511/")</f>
        <v>https://www.facebook.com/rapplerdotcom/photos/a.317154781638645/5595372260483511/</v>
      </c>
      <c r="J1690" s="1" t="str">
        <f>IFERROR(__xludf.DUMMYFUNCTION("""COMPUTED_VALUE"""),"2022-07-04T15:44:55.423Z")</f>
        <v>2022-07-04T15:44:55.423Z</v>
      </c>
      <c r="K1690" s="1"/>
    </row>
    <row r="1691">
      <c r="A1691" s="2" t="str">
        <f>IFERROR(__xludf.DUMMYFUNCTION("""COMPUTED_VALUE"""),"https://www.facebook.com/rapkarl04")</f>
        <v>https://www.facebook.com/rapkarl04</v>
      </c>
      <c r="B1691" s="1" t="str">
        <f>IFERROR(__xludf.DUMMYFUNCTION("""COMPUTED_VALUE"""),"Ralphs Carlo Centeno")</f>
        <v>Ralphs Carlo Centeno</v>
      </c>
      <c r="C1691" s="1" t="str">
        <f>IFERROR(__xludf.DUMMYFUNCTION("""COMPUTED_VALUE"""),"Ralphs")</f>
        <v>Ralphs</v>
      </c>
      <c r="D1691" s="1" t="str">
        <f>IFERROR(__xludf.DUMMYFUNCTION("""COMPUTED_VALUE"""),"Carlo Centeno")</f>
        <v>Carlo Centeno</v>
      </c>
      <c r="E1691" s="1" t="str">
        <f>IFERROR(__xludf.DUMMYFUNCTION("""COMPUTED_VALUE"""),"Choose a leader for the 🇵🇭  with the following attributes   1. Honesty or Integrity  2. Competence  3. Inspiring leadership  4. Vision for change or platform  5. Moral courage to face challenges")</f>
        <v>Choose a leader for the 🇵🇭  with the following attributes   1. Honesty or Integrity  2. Competence  3. Inspiring leadership  4. Vision for change or platform  5. Moral courage to face challenges</v>
      </c>
      <c r="F1691" s="1"/>
      <c r="G1691" s="1" t="str">
        <f>IFERROR(__xludf.DUMMYFUNCTION("""COMPUTED_VALUE"""),"3 mos")</f>
        <v>3 mos</v>
      </c>
      <c r="H1691" s="1" t="str">
        <f>IFERROR(__xludf.DUMMYFUNCTION("""COMPUTED_VALUE"""),"comment")</f>
        <v>comment</v>
      </c>
      <c r="I1691" s="2" t="str">
        <f>IFERROR(__xludf.DUMMYFUNCTION("""COMPUTED_VALUE"""),"https://www.facebook.com/rapplerdotcom/photos/a.317154781638645/5595372260483511/")</f>
        <v>https://www.facebook.com/rapplerdotcom/photos/a.317154781638645/5595372260483511/</v>
      </c>
      <c r="J1691" s="1" t="str">
        <f>IFERROR(__xludf.DUMMYFUNCTION("""COMPUTED_VALUE"""),"2022-07-04T15:44:55.423Z")</f>
        <v>2022-07-04T15:44:55.423Z</v>
      </c>
      <c r="K1691" s="1"/>
    </row>
    <row r="1692">
      <c r="A1692" s="2" t="str">
        <f>IFERROR(__xludf.DUMMYFUNCTION("""COMPUTED_VALUE"""),"https://www.facebook.com/eduardo.m.lombo")</f>
        <v>https://www.facebook.com/eduardo.m.lombo</v>
      </c>
      <c r="B1692" s="1" t="str">
        <f>IFERROR(__xludf.DUMMYFUNCTION("""COMPUTED_VALUE"""),"Edd Lombo")</f>
        <v>Edd Lombo</v>
      </c>
      <c r="C1692" s="1" t="str">
        <f>IFERROR(__xludf.DUMMYFUNCTION("""COMPUTED_VALUE"""),"Edd")</f>
        <v>Edd</v>
      </c>
      <c r="D1692" s="1" t="str">
        <f>IFERROR(__xludf.DUMMYFUNCTION("""COMPUTED_VALUE"""),"Lombo")</f>
        <v>Lombo</v>
      </c>
      <c r="E1692" s="1" t="str">
        <f>IFERROR(__xludf.DUMMYFUNCTION("""COMPUTED_VALUE"""),"Parents are responsible for the upbringing of their children, not anyone else, what kind of thinking that she has???")</f>
        <v>Parents are responsible for the upbringing of their children, not anyone else, what kind of thinking that she has???</v>
      </c>
      <c r="F1692" s="1">
        <f>IFERROR(__xludf.DUMMYFUNCTION("""COMPUTED_VALUE"""),14.0)</f>
        <v>14</v>
      </c>
      <c r="G1692" s="1" t="str">
        <f>IFERROR(__xludf.DUMMYFUNCTION("""COMPUTED_VALUE"""),"3 mos")</f>
        <v>3 mos</v>
      </c>
      <c r="H1692" s="1" t="str">
        <f>IFERROR(__xludf.DUMMYFUNCTION("""COMPUTED_VALUE"""),"comment")</f>
        <v>comment</v>
      </c>
      <c r="I1692" s="2" t="str">
        <f>IFERROR(__xludf.DUMMYFUNCTION("""COMPUTED_VALUE"""),"https://www.facebook.com/rapplerdotcom/photos/a.317154781638645/5595372260483511/")</f>
        <v>https://www.facebook.com/rapplerdotcom/photos/a.317154781638645/5595372260483511/</v>
      </c>
      <c r="J1692" s="1" t="str">
        <f>IFERROR(__xludf.DUMMYFUNCTION("""COMPUTED_VALUE"""),"2022-07-04T15:44:55.423Z")</f>
        <v>2022-07-04T15:44:55.423Z</v>
      </c>
      <c r="K1692" s="1"/>
    </row>
    <row r="1693">
      <c r="A1693" s="2" t="str">
        <f>IFERROR(__xludf.DUMMYFUNCTION("""COMPUTED_VALUE"""),"https://www.facebook.com/eduardo.m.lombo")</f>
        <v>https://www.facebook.com/eduardo.m.lombo</v>
      </c>
      <c r="B1693" s="1" t="str">
        <f>IFERROR(__xludf.DUMMYFUNCTION("""COMPUTED_VALUE"""),"Edd Lombo")</f>
        <v>Edd Lombo</v>
      </c>
      <c r="C1693" s="1" t="str">
        <f>IFERROR(__xludf.DUMMYFUNCTION("""COMPUTED_VALUE"""),"Edd")</f>
        <v>Edd</v>
      </c>
      <c r="D1693" s="1" t="str">
        <f>IFERROR(__xludf.DUMMYFUNCTION("""COMPUTED_VALUE"""),"Lombo")</f>
        <v>Lombo</v>
      </c>
      <c r="E1693" s="1" t="str">
        <f>IFERROR(__xludf.DUMMYFUNCTION("""COMPUTED_VALUE"""),"Jose Ladiana thanks 😊")</f>
        <v>Jose Ladiana thanks 😊</v>
      </c>
      <c r="F1693" s="1"/>
      <c r="G1693" s="1" t="str">
        <f>IFERROR(__xludf.DUMMYFUNCTION("""COMPUTED_VALUE"""),"3 mos")</f>
        <v>3 mos</v>
      </c>
      <c r="H1693" s="1" t="str">
        <f>IFERROR(__xludf.DUMMYFUNCTION("""COMPUTED_VALUE"""),"reply")</f>
        <v>reply</v>
      </c>
      <c r="I1693" s="2" t="str">
        <f>IFERROR(__xludf.DUMMYFUNCTION("""COMPUTED_VALUE"""),"https://www.facebook.com/rapplerdotcom/photos/a.317154781638645/5595372260483511/")</f>
        <v>https://www.facebook.com/rapplerdotcom/photos/a.317154781638645/5595372260483511/</v>
      </c>
      <c r="J1693" s="1" t="str">
        <f>IFERROR(__xludf.DUMMYFUNCTION("""COMPUTED_VALUE"""),"2022-07-04T15:44:55.423Z")</f>
        <v>2022-07-04T15:44:55.423Z</v>
      </c>
      <c r="K1693" s="1"/>
    </row>
    <row r="1694">
      <c r="A1694" s="2" t="str">
        <f>IFERROR(__xludf.DUMMYFUNCTION("""COMPUTED_VALUE"""),"https://www.facebook.com/profile.php?id=100008200051155")</f>
        <v>https://www.facebook.com/profile.php?id=100008200051155</v>
      </c>
      <c r="B1694" s="1" t="str">
        <f>IFERROR(__xludf.DUMMYFUNCTION("""COMPUTED_VALUE"""),"Colleen Navarro")</f>
        <v>Colleen Navarro</v>
      </c>
      <c r="C1694" s="1" t="str">
        <f>IFERROR(__xludf.DUMMYFUNCTION("""COMPUTED_VALUE"""),"Colleen")</f>
        <v>Colleen</v>
      </c>
      <c r="D1694" s="1" t="str">
        <f>IFERROR(__xludf.DUMMYFUNCTION("""COMPUTED_VALUE"""),"Navarro")</f>
        <v>Navarro</v>
      </c>
      <c r="E1694" s="1" t="str">
        <f>IFERROR(__xludf.DUMMYFUNCTION("""COMPUTED_VALUE"""),"Edd Lombo 🤦‍♀️ ang pinag uusapan kasi ang role ng government, churches, community , the environment..given na po ang role ng parents...Basahin po kasi ninyo ang whole content hindi lang sa highlighted na comments 🤦‍♀️")</f>
        <v>Edd Lombo 🤦‍♀️ ang pinag uusapan kasi ang role ng government, churches, community , the environment..given na po ang role ng parents...Basahin po kasi ninyo ang whole content hindi lang sa highlighted na comments 🤦‍♀️</v>
      </c>
      <c r="F1694" s="1">
        <f>IFERROR(__xludf.DUMMYFUNCTION("""COMPUTED_VALUE"""),6.0)</f>
        <v>6</v>
      </c>
      <c r="G1694" s="1" t="str">
        <f>IFERROR(__xludf.DUMMYFUNCTION("""COMPUTED_VALUE"""),"3 mos")</f>
        <v>3 mos</v>
      </c>
      <c r="H1694" s="1" t="str">
        <f>IFERROR(__xludf.DUMMYFUNCTION("""COMPUTED_VALUE"""),"reply")</f>
        <v>reply</v>
      </c>
      <c r="I1694" s="2" t="str">
        <f>IFERROR(__xludf.DUMMYFUNCTION("""COMPUTED_VALUE"""),"https://www.facebook.com/rapplerdotcom/photos/a.317154781638645/5595372260483511/")</f>
        <v>https://www.facebook.com/rapplerdotcom/photos/a.317154781638645/5595372260483511/</v>
      </c>
      <c r="J1694" s="1" t="str">
        <f>IFERROR(__xludf.DUMMYFUNCTION("""COMPUTED_VALUE"""),"2022-07-04T15:44:55.423Z")</f>
        <v>2022-07-04T15:44:55.423Z</v>
      </c>
      <c r="K1694" s="1"/>
    </row>
    <row r="1695">
      <c r="A1695" s="2" t="str">
        <f>IFERROR(__xludf.DUMMYFUNCTION("""COMPUTED_VALUE"""),"https://www.facebook.com/nonoyofalae")</f>
        <v>https://www.facebook.com/nonoyofalae</v>
      </c>
      <c r="B1695" s="1" t="str">
        <f>IFERROR(__xludf.DUMMYFUNCTION("""COMPUTED_VALUE"""),"Dong C Namo")</f>
        <v>Dong C Namo</v>
      </c>
      <c r="C1695" s="1" t="str">
        <f>IFERROR(__xludf.DUMMYFUNCTION("""COMPUTED_VALUE"""),"Dong")</f>
        <v>Dong</v>
      </c>
      <c r="D1695" s="1" t="str">
        <f>IFERROR(__xludf.DUMMYFUNCTION("""COMPUTED_VALUE"""),"C Namo")</f>
        <v>C Namo</v>
      </c>
      <c r="E1695" s="1" t="str">
        <f>IFERROR(__xludf.DUMMYFUNCTION("""COMPUTED_VALUE"""),"Edd Lombo you are!!! Her thinking is far more better than yours!Minds becomes toxic when it is coupled with hatred!")</f>
        <v>Edd Lombo you are!!! Her thinking is far more better than yours!Minds becomes toxic when it is coupled with hatred!</v>
      </c>
      <c r="F1695" s="1"/>
      <c r="G1695" s="1" t="str">
        <f>IFERROR(__xludf.DUMMYFUNCTION("""COMPUTED_VALUE"""),"3 mos")</f>
        <v>3 mos</v>
      </c>
      <c r="H1695" s="1" t="str">
        <f>IFERROR(__xludf.DUMMYFUNCTION("""COMPUTED_VALUE"""),"reply")</f>
        <v>reply</v>
      </c>
      <c r="I1695" s="2" t="str">
        <f>IFERROR(__xludf.DUMMYFUNCTION("""COMPUTED_VALUE"""),"https://www.facebook.com/rapplerdotcom/photos/a.317154781638645/5595372260483511/")</f>
        <v>https://www.facebook.com/rapplerdotcom/photos/a.317154781638645/5595372260483511/</v>
      </c>
      <c r="J1695" s="1" t="str">
        <f>IFERROR(__xludf.DUMMYFUNCTION("""COMPUTED_VALUE"""),"2022-07-04T15:44:55.423Z")</f>
        <v>2022-07-04T15:44:55.423Z</v>
      </c>
      <c r="K1695" s="1"/>
    </row>
    <row r="1696">
      <c r="A1696" s="2" t="str">
        <f>IFERROR(__xludf.DUMMYFUNCTION("""COMPUTED_VALUE"""),"https://www.facebook.com/kenneth.cauntay")</f>
        <v>https://www.facebook.com/kenneth.cauntay</v>
      </c>
      <c r="B1696" s="1" t="str">
        <f>IFERROR(__xludf.DUMMYFUNCTION("""COMPUTED_VALUE"""),"Kenneth Cauntay")</f>
        <v>Kenneth Cauntay</v>
      </c>
      <c r="C1696" s="1" t="str">
        <f>IFERROR(__xludf.DUMMYFUNCTION("""COMPUTED_VALUE"""),"Kenneth")</f>
        <v>Kenneth</v>
      </c>
      <c r="D1696" s="1" t="str">
        <f>IFERROR(__xludf.DUMMYFUNCTION("""COMPUTED_VALUE"""),"Cauntay")</f>
        <v>Cauntay</v>
      </c>
      <c r="E1696" s="1" t="str">
        <f>IFERROR(__xludf.DUMMYFUNCTION("""COMPUTED_VALUE"""),"Edd Lombo whar kind of thinking do you have😧")</f>
        <v>Edd Lombo whar kind of thinking do you have😧</v>
      </c>
      <c r="F1696" s="1"/>
      <c r="G1696" s="1" t="str">
        <f>IFERROR(__xludf.DUMMYFUNCTION("""COMPUTED_VALUE"""),"3 mos")</f>
        <v>3 mos</v>
      </c>
      <c r="H1696" s="1" t="str">
        <f>IFERROR(__xludf.DUMMYFUNCTION("""COMPUTED_VALUE"""),"reply")</f>
        <v>reply</v>
      </c>
      <c r="I1696" s="2" t="str">
        <f>IFERROR(__xludf.DUMMYFUNCTION("""COMPUTED_VALUE"""),"https://www.facebook.com/rapplerdotcom/photos/a.317154781638645/5595372260483511/")</f>
        <v>https://www.facebook.com/rapplerdotcom/photos/a.317154781638645/5595372260483511/</v>
      </c>
      <c r="J1696" s="1" t="str">
        <f>IFERROR(__xludf.DUMMYFUNCTION("""COMPUTED_VALUE"""),"2022-07-04T15:44:55.423Z")</f>
        <v>2022-07-04T15:44:55.423Z</v>
      </c>
      <c r="K1696" s="1"/>
    </row>
    <row r="1697">
      <c r="A1697" s="2" t="str">
        <f>IFERROR(__xludf.DUMMYFUNCTION("""COMPUTED_VALUE"""),"https://www.facebook.com/eduardo.m.lombo")</f>
        <v>https://www.facebook.com/eduardo.m.lombo</v>
      </c>
      <c r="B1697" s="1" t="str">
        <f>IFERROR(__xludf.DUMMYFUNCTION("""COMPUTED_VALUE"""),"Edd Lombo")</f>
        <v>Edd Lombo</v>
      </c>
      <c r="C1697" s="1" t="str">
        <f>IFERROR(__xludf.DUMMYFUNCTION("""COMPUTED_VALUE"""),"Edd")</f>
        <v>Edd</v>
      </c>
      <c r="D1697" s="1" t="str">
        <f>IFERROR(__xludf.DUMMYFUNCTION("""COMPUTED_VALUE"""),"Lombo")</f>
        <v>Lombo</v>
      </c>
      <c r="E1697" s="1" t="str">
        <f>IFERROR(__xludf.DUMMYFUNCTION("""COMPUTED_VALUE"""),"Kenneth Cauntay do not set standards, we all have our own ways of thinking 😀")</f>
        <v>Kenneth Cauntay do not set standards, we all have our own ways of thinking 😀</v>
      </c>
      <c r="F1697" s="1"/>
      <c r="G1697" s="1" t="str">
        <f>IFERROR(__xludf.DUMMYFUNCTION("""COMPUTED_VALUE"""),"3 mos")</f>
        <v>3 mos</v>
      </c>
      <c r="H1697" s="1" t="str">
        <f>IFERROR(__xludf.DUMMYFUNCTION("""COMPUTED_VALUE"""),"reply")</f>
        <v>reply</v>
      </c>
      <c r="I1697" s="2" t="str">
        <f>IFERROR(__xludf.DUMMYFUNCTION("""COMPUTED_VALUE"""),"https://www.facebook.com/rapplerdotcom/photos/a.317154781638645/5595372260483511/")</f>
        <v>https://www.facebook.com/rapplerdotcom/photos/a.317154781638645/5595372260483511/</v>
      </c>
      <c r="J1697" s="1" t="str">
        <f>IFERROR(__xludf.DUMMYFUNCTION("""COMPUTED_VALUE"""),"2022-07-04T15:44:55.423Z")</f>
        <v>2022-07-04T15:44:55.423Z</v>
      </c>
      <c r="K1697" s="1"/>
    </row>
    <row r="1698">
      <c r="A1698" s="2" t="str">
        <f>IFERROR(__xludf.DUMMYFUNCTION("""COMPUTED_VALUE"""),"https://www.facebook.com/ate.rose.73")</f>
        <v>https://www.facebook.com/ate.rose.73</v>
      </c>
      <c r="B1698" s="1" t="str">
        <f>IFERROR(__xludf.DUMMYFUNCTION("""COMPUTED_VALUE"""),"Rose Rosos")</f>
        <v>Rose Rosos</v>
      </c>
      <c r="C1698" s="1" t="str">
        <f>IFERROR(__xludf.DUMMYFUNCTION("""COMPUTED_VALUE"""),"Rose")</f>
        <v>Rose</v>
      </c>
      <c r="D1698" s="1" t="str">
        <f>IFERROR(__xludf.DUMMYFUNCTION("""COMPUTED_VALUE"""),"Rosos")</f>
        <v>Rosos</v>
      </c>
      <c r="E1698" s="1" t="str">
        <f>IFERROR(__xludf.DUMMYFUNCTION("""COMPUTED_VALUE"""),"Edd Lombo god bless sayo kuya.minsan lawakan po ang pag unawa 🙏🙏")</f>
        <v>Edd Lombo god bless sayo kuya.minsan lawakan po ang pag unawa 🙏🙏</v>
      </c>
      <c r="F1698" s="1"/>
      <c r="G1698" s="1" t="str">
        <f>IFERROR(__xludf.DUMMYFUNCTION("""COMPUTED_VALUE"""),"3 mos")</f>
        <v>3 mos</v>
      </c>
      <c r="H1698" s="1" t="str">
        <f>IFERROR(__xludf.DUMMYFUNCTION("""COMPUTED_VALUE"""),"reply")</f>
        <v>reply</v>
      </c>
      <c r="I1698" s="2" t="str">
        <f>IFERROR(__xludf.DUMMYFUNCTION("""COMPUTED_VALUE"""),"https://www.facebook.com/rapplerdotcom/photos/a.317154781638645/5595372260483511/")</f>
        <v>https://www.facebook.com/rapplerdotcom/photos/a.317154781638645/5595372260483511/</v>
      </c>
      <c r="J1698" s="1" t="str">
        <f>IFERROR(__xludf.DUMMYFUNCTION("""COMPUTED_VALUE"""),"2022-07-04T15:44:55.423Z")</f>
        <v>2022-07-04T15:44:55.423Z</v>
      </c>
      <c r="K1698" s="1"/>
    </row>
    <row r="1699">
      <c r="A1699" s="2" t="str">
        <f>IFERROR(__xludf.DUMMYFUNCTION("""COMPUTED_VALUE"""),"https://www.facebook.com/deanny.magana")</f>
        <v>https://www.facebook.com/deanny.magana</v>
      </c>
      <c r="B1699" s="1" t="str">
        <f>IFERROR(__xludf.DUMMYFUNCTION("""COMPUTED_VALUE"""),"Deanny Magana")</f>
        <v>Deanny Magana</v>
      </c>
      <c r="C1699" s="1" t="str">
        <f>IFERROR(__xludf.DUMMYFUNCTION("""COMPUTED_VALUE"""),"Deanny")</f>
        <v>Deanny</v>
      </c>
      <c r="D1699" s="1" t="str">
        <f>IFERROR(__xludf.DUMMYFUNCTION("""COMPUTED_VALUE"""),"Magana")</f>
        <v>Magana</v>
      </c>
      <c r="E1699" s="1" t="str">
        <f>IFERROR(__xludf.DUMMYFUNCTION("""COMPUTED_VALUE"""),"Edd Lombo environment ay isang factor sa magiging attitude and future nang mga kabataan..ang part nang parent sa upbringing nang mga anak nila e habang maliliit pa ang mga bata..pero pag start nang mga bata sa kanilang pag aaral e hindi na matotokan ang k"&amp;"anilang anak..meaning hindi lang ang parents ang responsible para maging mabuting mamayan and maging maganda ang future nang kanilang anak..")</f>
        <v>Edd Lombo environment ay isang factor sa magiging attitude and future nang mga kabataan..ang part nang parent sa upbringing nang mga anak nila e habang maliliit pa ang mga bata..pero pag start nang mga bata sa kanilang pag aaral e hindi na matotokan ang kanilang anak..meaning hindi lang ang parents ang responsible para maging mabuting mamayan and maging maganda ang future nang kanilang anak..</v>
      </c>
      <c r="F1699" s="1"/>
      <c r="G1699" s="1" t="str">
        <f>IFERROR(__xludf.DUMMYFUNCTION("""COMPUTED_VALUE"""),"3 mos")</f>
        <v>3 mos</v>
      </c>
      <c r="H1699" s="1" t="str">
        <f>IFERROR(__xludf.DUMMYFUNCTION("""COMPUTED_VALUE"""),"reply")</f>
        <v>reply</v>
      </c>
      <c r="I1699" s="2" t="str">
        <f>IFERROR(__xludf.DUMMYFUNCTION("""COMPUTED_VALUE"""),"https://www.facebook.com/rapplerdotcom/photos/a.317154781638645/5595372260483511/")</f>
        <v>https://www.facebook.com/rapplerdotcom/photos/a.317154781638645/5595372260483511/</v>
      </c>
      <c r="J1699" s="1" t="str">
        <f>IFERROR(__xludf.DUMMYFUNCTION("""COMPUTED_VALUE"""),"2022-07-04T15:44:55.423Z")</f>
        <v>2022-07-04T15:44:55.423Z</v>
      </c>
      <c r="K1699" s="1"/>
    </row>
    <row r="1700">
      <c r="A1700" s="2" t="str">
        <f>IFERROR(__xludf.DUMMYFUNCTION("""COMPUTED_VALUE"""),"https://www.facebook.com/deanny.magana")</f>
        <v>https://www.facebook.com/deanny.magana</v>
      </c>
      <c r="B1700" s="1" t="str">
        <f>IFERROR(__xludf.DUMMYFUNCTION("""COMPUTED_VALUE"""),"Deanny Magana")</f>
        <v>Deanny Magana</v>
      </c>
      <c r="C1700" s="1" t="str">
        <f>IFERROR(__xludf.DUMMYFUNCTION("""COMPUTED_VALUE"""),"Deanny")</f>
        <v>Deanny</v>
      </c>
      <c r="D1700" s="1" t="str">
        <f>IFERROR(__xludf.DUMMYFUNCTION("""COMPUTED_VALUE"""),"Magana")</f>
        <v>Magana</v>
      </c>
      <c r="E1700" s="1" t="str">
        <f>IFERROR(__xludf.DUMMYFUNCTION("""COMPUTED_VALUE"""),"Edd Lombo one sided ang thinking and reasoning mo..and besides malayo sa logic..")</f>
        <v>Edd Lombo one sided ang thinking and reasoning mo..and besides malayo sa logic..</v>
      </c>
      <c r="F1700" s="1"/>
      <c r="G1700" s="1" t="str">
        <f>IFERROR(__xludf.DUMMYFUNCTION("""COMPUTED_VALUE"""),"3 mos")</f>
        <v>3 mos</v>
      </c>
      <c r="H1700" s="1" t="str">
        <f>IFERROR(__xludf.DUMMYFUNCTION("""COMPUTED_VALUE"""),"reply")</f>
        <v>reply</v>
      </c>
      <c r="I1700" s="2" t="str">
        <f>IFERROR(__xludf.DUMMYFUNCTION("""COMPUTED_VALUE"""),"https://www.facebook.com/rapplerdotcom/photos/a.317154781638645/5595372260483511/")</f>
        <v>https://www.facebook.com/rapplerdotcom/photos/a.317154781638645/5595372260483511/</v>
      </c>
      <c r="J1700" s="1" t="str">
        <f>IFERROR(__xludf.DUMMYFUNCTION("""COMPUTED_VALUE"""),"2022-07-04T15:44:55.423Z")</f>
        <v>2022-07-04T15:44:55.423Z</v>
      </c>
      <c r="K1700" s="1"/>
    </row>
    <row r="1701">
      <c r="A1701" s="2" t="str">
        <f>IFERROR(__xludf.DUMMYFUNCTION("""COMPUTED_VALUE"""),"https://www.facebook.com/eduardo.m.lombo")</f>
        <v>https://www.facebook.com/eduardo.m.lombo</v>
      </c>
      <c r="B1701" s="1" t="str">
        <f>IFERROR(__xludf.DUMMYFUNCTION("""COMPUTED_VALUE"""),"Edd Lombo")</f>
        <v>Edd Lombo</v>
      </c>
      <c r="C1701" s="1" t="str">
        <f>IFERROR(__xludf.DUMMYFUNCTION("""COMPUTED_VALUE"""),"Edd")</f>
        <v>Edd</v>
      </c>
      <c r="D1701" s="1" t="str">
        <f>IFERROR(__xludf.DUMMYFUNCTION("""COMPUTED_VALUE"""),"Lombo")</f>
        <v>Lombo</v>
      </c>
      <c r="E1701" s="1" t="str">
        <f>IFERROR(__xludf.DUMMYFUNCTION("""COMPUTED_VALUE"""),"Deanny Magana well sorry not in our case, sa case nyo siguro or case to case basis, ang dami ko kc kakilala na nagsilaki ng tama kahit nasa depressed area sila, so what your nanay's saying is not totally agreeable koys, isip isip din.")</f>
        <v>Deanny Magana well sorry not in our case, sa case nyo siguro or case to case basis, ang dami ko kc kakilala na nagsilaki ng tama kahit nasa depressed area sila, so what your nanay's saying is not totally agreeable koys, isip isip din.</v>
      </c>
      <c r="F1701" s="1"/>
      <c r="G1701" s="1" t="str">
        <f>IFERROR(__xludf.DUMMYFUNCTION("""COMPUTED_VALUE"""),"3 mos")</f>
        <v>3 mos</v>
      </c>
      <c r="H1701" s="1" t="str">
        <f>IFERROR(__xludf.DUMMYFUNCTION("""COMPUTED_VALUE"""),"reply")</f>
        <v>reply</v>
      </c>
      <c r="I1701" s="2" t="str">
        <f>IFERROR(__xludf.DUMMYFUNCTION("""COMPUTED_VALUE"""),"https://www.facebook.com/rapplerdotcom/photos/a.317154781638645/5595372260483511/")</f>
        <v>https://www.facebook.com/rapplerdotcom/photos/a.317154781638645/5595372260483511/</v>
      </c>
      <c r="J1701" s="1" t="str">
        <f>IFERROR(__xludf.DUMMYFUNCTION("""COMPUTED_VALUE"""),"2022-07-04T15:44:55.423Z")</f>
        <v>2022-07-04T15:44:55.423Z</v>
      </c>
      <c r="K1701" s="1"/>
    </row>
    <row r="1702">
      <c r="A1702" s="2" t="str">
        <f>IFERROR(__xludf.DUMMYFUNCTION("""COMPUTED_VALUE"""),"https://www.facebook.com/eduardo.m.lombo")</f>
        <v>https://www.facebook.com/eduardo.m.lombo</v>
      </c>
      <c r="B1702" s="1" t="str">
        <f>IFERROR(__xludf.DUMMYFUNCTION("""COMPUTED_VALUE"""),"Edd Lombo")</f>
        <v>Edd Lombo</v>
      </c>
      <c r="C1702" s="1" t="str">
        <f>IFERROR(__xludf.DUMMYFUNCTION("""COMPUTED_VALUE"""),"Edd")</f>
        <v>Edd</v>
      </c>
      <c r="D1702" s="1" t="str">
        <f>IFERROR(__xludf.DUMMYFUNCTION("""COMPUTED_VALUE"""),"Lombo")</f>
        <v>Lombo</v>
      </c>
      <c r="E1702" s="1" t="str">
        <f>IFERROR(__xludf.DUMMYFUNCTION("""COMPUTED_VALUE"""),"Deanny Magana according to you lang, do not set standard 😀")</f>
        <v>Deanny Magana according to you lang, do not set standard 😀</v>
      </c>
      <c r="F1702" s="1"/>
      <c r="G1702" s="1" t="str">
        <f>IFERROR(__xludf.DUMMYFUNCTION("""COMPUTED_VALUE"""),"3 mos")</f>
        <v>3 mos</v>
      </c>
      <c r="H1702" s="1" t="str">
        <f>IFERROR(__xludf.DUMMYFUNCTION("""COMPUTED_VALUE"""),"reply")</f>
        <v>reply</v>
      </c>
      <c r="I1702" s="2" t="str">
        <f>IFERROR(__xludf.DUMMYFUNCTION("""COMPUTED_VALUE"""),"https://www.facebook.com/rapplerdotcom/photos/a.317154781638645/5595372260483511/")</f>
        <v>https://www.facebook.com/rapplerdotcom/photos/a.317154781638645/5595372260483511/</v>
      </c>
      <c r="J1702" s="1" t="str">
        <f>IFERROR(__xludf.DUMMYFUNCTION("""COMPUTED_VALUE"""),"2022-07-04T15:44:55.423Z")</f>
        <v>2022-07-04T15:44:55.423Z</v>
      </c>
      <c r="K1702" s="1"/>
    </row>
    <row r="1703">
      <c r="A1703" s="2" t="str">
        <f>IFERROR(__xludf.DUMMYFUNCTION("""COMPUTED_VALUE"""),"https://www.facebook.com/profile.php?id=100011569547804")</f>
        <v>https://www.facebook.com/profile.php?id=100011569547804</v>
      </c>
      <c r="B1703" s="1" t="str">
        <f>IFERROR(__xludf.DUMMYFUNCTION("""COMPUTED_VALUE"""),"Raged Cua")</f>
        <v>Raged Cua</v>
      </c>
      <c r="C1703" s="1" t="str">
        <f>IFERROR(__xludf.DUMMYFUNCTION("""COMPUTED_VALUE"""),"Raged")</f>
        <v>Raged</v>
      </c>
      <c r="D1703" s="1" t="str">
        <f>IFERROR(__xludf.DUMMYFUNCTION("""COMPUTED_VALUE"""),"Cua")</f>
        <v>Cua</v>
      </c>
      <c r="E1703" s="1" t="str">
        <f>IFERROR(__xludf.DUMMYFUNCTION("""COMPUTED_VALUE"""),"Edd Lombo  Sayang naman yang verse na gamit mo kapatid, Psalms 23:1 kung hindi natin gamitin. 😊"" THE  LORD IS MY SHEPHERD""   Bilang kristyanong katolikong mga magulang, kailangan din po ng moral guidance from the church. 😊")</f>
        <v>Edd Lombo  Sayang naman yang verse na gamit mo kapatid, Psalms 23:1 kung hindi natin gamitin. 😊" THE  LORD IS MY SHEPHERD"   Bilang kristyanong katolikong mga magulang, kailangan din po ng moral guidance from the church. 😊</v>
      </c>
      <c r="F1703" s="1">
        <f>IFERROR(__xludf.DUMMYFUNCTION("""COMPUTED_VALUE"""),1.0)</f>
        <v>1</v>
      </c>
      <c r="G1703" s="1" t="str">
        <f>IFERROR(__xludf.DUMMYFUNCTION("""COMPUTED_VALUE"""),"3 mos")</f>
        <v>3 mos</v>
      </c>
      <c r="H1703" s="1" t="str">
        <f>IFERROR(__xludf.DUMMYFUNCTION("""COMPUTED_VALUE"""),"reply")</f>
        <v>reply</v>
      </c>
      <c r="I1703" s="2" t="str">
        <f>IFERROR(__xludf.DUMMYFUNCTION("""COMPUTED_VALUE"""),"https://www.facebook.com/rapplerdotcom/photos/a.317154781638645/5595372260483511/")</f>
        <v>https://www.facebook.com/rapplerdotcom/photos/a.317154781638645/5595372260483511/</v>
      </c>
      <c r="J1703" s="1" t="str">
        <f>IFERROR(__xludf.DUMMYFUNCTION("""COMPUTED_VALUE"""),"2022-07-04T15:44:55.423Z")</f>
        <v>2022-07-04T15:44:55.423Z</v>
      </c>
      <c r="K1703" s="1"/>
    </row>
    <row r="1704">
      <c r="A1704" s="2" t="str">
        <f>IFERROR(__xludf.DUMMYFUNCTION("""COMPUTED_VALUE"""),"https://www.facebook.com/eduardo.m.lombo")</f>
        <v>https://www.facebook.com/eduardo.m.lombo</v>
      </c>
      <c r="B1704" s="1" t="str">
        <f>IFERROR(__xludf.DUMMYFUNCTION("""COMPUTED_VALUE"""),"Edd Lombo")</f>
        <v>Edd Lombo</v>
      </c>
      <c r="C1704" s="1" t="str">
        <f>IFERROR(__xludf.DUMMYFUNCTION("""COMPUTED_VALUE"""),"Edd")</f>
        <v>Edd</v>
      </c>
      <c r="D1704" s="1" t="str">
        <f>IFERROR(__xludf.DUMMYFUNCTION("""COMPUTED_VALUE"""),"Lombo")</f>
        <v>Lombo</v>
      </c>
      <c r="E1704" s="1" t="str">
        <f>IFERROR(__xludf.DUMMYFUNCTION("""COMPUTED_VALUE"""),"Raged Cua amen to that but we are not always at the church at the end of the day parents and strong family support is the most needed ng mga kabataan, tutukan sila dapat at show a good examples by teaching them the verses in the Bible 😀")</f>
        <v>Raged Cua amen to that but we are not always at the church at the end of the day parents and strong family support is the most needed ng mga kabataan, tutukan sila dapat at show a good examples by teaching them the verses in the Bible 😀</v>
      </c>
      <c r="F1704" s="1"/>
      <c r="G1704" s="1" t="str">
        <f>IFERROR(__xludf.DUMMYFUNCTION("""COMPUTED_VALUE"""),"3 mos")</f>
        <v>3 mos</v>
      </c>
      <c r="H1704" s="1" t="str">
        <f>IFERROR(__xludf.DUMMYFUNCTION("""COMPUTED_VALUE"""),"reply")</f>
        <v>reply</v>
      </c>
      <c r="I1704" s="2" t="str">
        <f>IFERROR(__xludf.DUMMYFUNCTION("""COMPUTED_VALUE"""),"https://www.facebook.com/rapplerdotcom/photos/a.317154781638645/5595372260483511/")</f>
        <v>https://www.facebook.com/rapplerdotcom/photos/a.317154781638645/5595372260483511/</v>
      </c>
      <c r="J1704" s="1" t="str">
        <f>IFERROR(__xludf.DUMMYFUNCTION("""COMPUTED_VALUE"""),"2022-07-04T15:44:55.423Z")</f>
        <v>2022-07-04T15:44:55.423Z</v>
      </c>
      <c r="K1704" s="1"/>
    </row>
    <row r="1705">
      <c r="A1705" s="2" t="str">
        <f>IFERROR(__xludf.DUMMYFUNCTION("""COMPUTED_VALUE"""),"https://www.facebook.com/profile.php?id=100011569547804")</f>
        <v>https://www.facebook.com/profile.php?id=100011569547804</v>
      </c>
      <c r="B1705" s="1" t="str">
        <f>IFERROR(__xludf.DUMMYFUNCTION("""COMPUTED_VALUE"""),"Raged Cua")</f>
        <v>Raged Cua</v>
      </c>
      <c r="C1705" s="1" t="str">
        <f>IFERROR(__xludf.DUMMYFUNCTION("""COMPUTED_VALUE"""),"Raged")</f>
        <v>Raged</v>
      </c>
      <c r="D1705" s="1" t="str">
        <f>IFERROR(__xludf.DUMMYFUNCTION("""COMPUTED_VALUE"""),"Cua")</f>
        <v>Cua</v>
      </c>
      <c r="E1705" s="1" t="str">
        <f>IFERROR(__xludf.DUMMYFUNCTION("""COMPUTED_VALUE"""),"Edd Lombo  Malaki po ang naitutulong ng mga natutunan ng mga magulang sa church for their moral guidance sa kanilang mga anak. 😊")</f>
        <v>Edd Lombo  Malaki po ang naitutulong ng mga natutunan ng mga magulang sa church for their moral guidance sa kanilang mga anak. 😊</v>
      </c>
      <c r="F1705" s="1"/>
      <c r="G1705" s="1" t="str">
        <f>IFERROR(__xludf.DUMMYFUNCTION("""COMPUTED_VALUE"""),"3 mos")</f>
        <v>3 mos</v>
      </c>
      <c r="H1705" s="1" t="str">
        <f>IFERROR(__xludf.DUMMYFUNCTION("""COMPUTED_VALUE"""),"reply")</f>
        <v>reply</v>
      </c>
      <c r="I1705" s="2" t="str">
        <f>IFERROR(__xludf.DUMMYFUNCTION("""COMPUTED_VALUE"""),"https://www.facebook.com/rapplerdotcom/photos/a.317154781638645/5595372260483511/")</f>
        <v>https://www.facebook.com/rapplerdotcom/photos/a.317154781638645/5595372260483511/</v>
      </c>
      <c r="J1705" s="1" t="str">
        <f>IFERROR(__xludf.DUMMYFUNCTION("""COMPUTED_VALUE"""),"2022-07-04T15:44:55.423Z")</f>
        <v>2022-07-04T15:44:55.423Z</v>
      </c>
      <c r="K1705" s="1"/>
    </row>
    <row r="1706">
      <c r="A1706" s="2" t="str">
        <f>IFERROR(__xludf.DUMMYFUNCTION("""COMPUTED_VALUE"""),"https://www.facebook.com/eduardo.m.lombo")</f>
        <v>https://www.facebook.com/eduardo.m.lombo</v>
      </c>
      <c r="B1706" s="1" t="str">
        <f>IFERROR(__xludf.DUMMYFUNCTION("""COMPUTED_VALUE"""),"Edd Lombo")</f>
        <v>Edd Lombo</v>
      </c>
      <c r="C1706" s="1" t="str">
        <f>IFERROR(__xludf.DUMMYFUNCTION("""COMPUTED_VALUE"""),"Edd")</f>
        <v>Edd</v>
      </c>
      <c r="D1706" s="1" t="str">
        <f>IFERROR(__xludf.DUMMYFUNCTION("""COMPUTED_VALUE"""),"Lombo")</f>
        <v>Lombo</v>
      </c>
      <c r="E1706" s="1" t="str">
        <f>IFERROR(__xludf.DUMMYFUNCTION("""COMPUTED_VALUE"""),"Raged Cua they should teach that to their children at home")</f>
        <v>Raged Cua they should teach that to their children at home</v>
      </c>
      <c r="F1706" s="1"/>
      <c r="G1706" s="1" t="str">
        <f>IFERROR(__xludf.DUMMYFUNCTION("""COMPUTED_VALUE"""),"3 mos")</f>
        <v>3 mos</v>
      </c>
      <c r="H1706" s="1" t="str">
        <f>IFERROR(__xludf.DUMMYFUNCTION("""COMPUTED_VALUE"""),"reply")</f>
        <v>reply</v>
      </c>
      <c r="I1706" s="2" t="str">
        <f>IFERROR(__xludf.DUMMYFUNCTION("""COMPUTED_VALUE"""),"https://www.facebook.com/rapplerdotcom/photos/a.317154781638645/5595372260483511/")</f>
        <v>https://www.facebook.com/rapplerdotcom/photos/a.317154781638645/5595372260483511/</v>
      </c>
      <c r="J1706" s="1" t="str">
        <f>IFERROR(__xludf.DUMMYFUNCTION("""COMPUTED_VALUE"""),"2022-07-04T15:44:55.423Z")</f>
        <v>2022-07-04T15:44:55.423Z</v>
      </c>
      <c r="K1706" s="1"/>
    </row>
    <row r="1707">
      <c r="A1707" s="2" t="str">
        <f>IFERROR(__xludf.DUMMYFUNCTION("""COMPUTED_VALUE"""),"https://www.facebook.com/profile.php?id=100011569547804")</f>
        <v>https://www.facebook.com/profile.php?id=100011569547804</v>
      </c>
      <c r="B1707" s="1" t="str">
        <f>IFERROR(__xludf.DUMMYFUNCTION("""COMPUTED_VALUE"""),"Raged Cua")</f>
        <v>Raged Cua</v>
      </c>
      <c r="C1707" s="1" t="str">
        <f>IFERROR(__xludf.DUMMYFUNCTION("""COMPUTED_VALUE"""),"Raged")</f>
        <v>Raged</v>
      </c>
      <c r="D1707" s="1" t="str">
        <f>IFERROR(__xludf.DUMMYFUNCTION("""COMPUTED_VALUE"""),"Cua")</f>
        <v>Cua</v>
      </c>
      <c r="E1707" s="1" t="str">
        <f>IFERROR(__xludf.DUMMYFUNCTION("""COMPUTED_VALUE"""),"Edd Lombo  Bilang kristyano kailangan natin ng kaalaman from the church to guide our children's para hindi maligaw ng landas. 😊")</f>
        <v>Edd Lombo  Bilang kristyano kailangan natin ng kaalaman from the church to guide our children's para hindi maligaw ng landas. 😊</v>
      </c>
      <c r="F1707" s="1">
        <f>IFERROR(__xludf.DUMMYFUNCTION("""COMPUTED_VALUE"""),1.0)</f>
        <v>1</v>
      </c>
      <c r="G1707" s="1" t="str">
        <f>IFERROR(__xludf.DUMMYFUNCTION("""COMPUTED_VALUE"""),"3 mos")</f>
        <v>3 mos</v>
      </c>
      <c r="H1707" s="1" t="str">
        <f>IFERROR(__xludf.DUMMYFUNCTION("""COMPUTED_VALUE"""),"reply")</f>
        <v>reply</v>
      </c>
      <c r="I1707" s="2" t="str">
        <f>IFERROR(__xludf.DUMMYFUNCTION("""COMPUTED_VALUE"""),"https://www.facebook.com/rapplerdotcom/photos/a.317154781638645/5595372260483511/")</f>
        <v>https://www.facebook.com/rapplerdotcom/photos/a.317154781638645/5595372260483511/</v>
      </c>
      <c r="J1707" s="1" t="str">
        <f>IFERROR(__xludf.DUMMYFUNCTION("""COMPUTED_VALUE"""),"2022-07-04T15:44:55.423Z")</f>
        <v>2022-07-04T15:44:55.423Z</v>
      </c>
      <c r="K1707" s="1"/>
    </row>
    <row r="1708">
      <c r="A1708" s="2" t="str">
        <f>IFERROR(__xludf.DUMMYFUNCTION("""COMPUTED_VALUE"""),"https://www.facebook.com/eduardo.m.lombo")</f>
        <v>https://www.facebook.com/eduardo.m.lombo</v>
      </c>
      <c r="B1708" s="1" t="str">
        <f>IFERROR(__xludf.DUMMYFUNCTION("""COMPUTED_VALUE"""),"Edd Lombo")</f>
        <v>Edd Lombo</v>
      </c>
      <c r="C1708" s="1" t="str">
        <f>IFERROR(__xludf.DUMMYFUNCTION("""COMPUTED_VALUE"""),"Edd")</f>
        <v>Edd</v>
      </c>
      <c r="D1708" s="1" t="str">
        <f>IFERROR(__xludf.DUMMYFUNCTION("""COMPUTED_VALUE"""),"Lombo")</f>
        <v>Lombo</v>
      </c>
      <c r="E1708" s="1" t="str">
        <f>IFERROR(__xludf.DUMMYFUNCTION("""COMPUTED_VALUE"""),"Raged Cua perfect ang sinasabi mo kapatid kaya nga dapat isabuhay ng mga magulang ang tinuturo ng simbahan, para maging guide sila ng kanilang mga anak at kabataan in general, and again ""magulang"" plays a major role ang simbahan ay paaralan lang ang pin"&amp;"aka importante after ng simbahan/paaralan, ano na magulang? ok b mga anak nyo jan?")</f>
        <v>Raged Cua perfect ang sinasabi mo kapatid kaya nga dapat isabuhay ng mga magulang ang tinuturo ng simbahan, para maging guide sila ng kanilang mga anak at kabataan in general, and again "magulang" plays a major role ang simbahan ay paaralan lang ang pinaka importante after ng simbahan/paaralan, ano na magulang? ok b mga anak nyo jan?</v>
      </c>
      <c r="F1708" s="1">
        <f>IFERROR(__xludf.DUMMYFUNCTION("""COMPUTED_VALUE"""),2.0)</f>
        <v>2</v>
      </c>
      <c r="G1708" s="1" t="str">
        <f>IFERROR(__xludf.DUMMYFUNCTION("""COMPUTED_VALUE"""),"3 mos")</f>
        <v>3 mos</v>
      </c>
      <c r="H1708" s="1" t="str">
        <f>IFERROR(__xludf.DUMMYFUNCTION("""COMPUTED_VALUE"""),"reply")</f>
        <v>reply</v>
      </c>
      <c r="I1708" s="2" t="str">
        <f>IFERROR(__xludf.DUMMYFUNCTION("""COMPUTED_VALUE"""),"https://www.facebook.com/rapplerdotcom/photos/a.317154781638645/5595372260483511/")</f>
        <v>https://www.facebook.com/rapplerdotcom/photos/a.317154781638645/5595372260483511/</v>
      </c>
      <c r="J1708" s="1" t="str">
        <f>IFERROR(__xludf.DUMMYFUNCTION("""COMPUTED_VALUE"""),"2022-07-04T15:44:55.423Z")</f>
        <v>2022-07-04T15:44:55.423Z</v>
      </c>
      <c r="K1708" s="1"/>
    </row>
    <row r="1709">
      <c r="A1709" s="2" t="str">
        <f>IFERROR(__xludf.DUMMYFUNCTION("""COMPUTED_VALUE"""),"https://www.facebook.com/deanny.magana")</f>
        <v>https://www.facebook.com/deanny.magana</v>
      </c>
      <c r="B1709" s="1" t="str">
        <f>IFERROR(__xludf.DUMMYFUNCTION("""COMPUTED_VALUE"""),"Deanny Magana")</f>
        <v>Deanny Magana</v>
      </c>
      <c r="C1709" s="1" t="str">
        <f>IFERROR(__xludf.DUMMYFUNCTION("""COMPUTED_VALUE"""),"Deanny")</f>
        <v>Deanny</v>
      </c>
      <c r="D1709" s="1" t="str">
        <f>IFERROR(__xludf.DUMMYFUNCTION("""COMPUTED_VALUE"""),"Magana")</f>
        <v>Magana</v>
      </c>
      <c r="E1709" s="1" t="str">
        <f>IFERROR(__xludf.DUMMYFUNCTION("""COMPUTED_VALUE"""),"Edd Lombo ahahahaha..base sa comment mo e totoy ka pa lang..no experience at all..")</f>
        <v>Edd Lombo ahahahaha..base sa comment mo e totoy ka pa lang..no experience at all..</v>
      </c>
      <c r="F1709" s="1"/>
      <c r="G1709" s="1" t="str">
        <f>IFERROR(__xludf.DUMMYFUNCTION("""COMPUTED_VALUE"""),"3 mos")</f>
        <v>3 mos</v>
      </c>
      <c r="H1709" s="1" t="str">
        <f>IFERROR(__xludf.DUMMYFUNCTION("""COMPUTED_VALUE"""),"reply")</f>
        <v>reply</v>
      </c>
      <c r="I1709" s="2" t="str">
        <f>IFERROR(__xludf.DUMMYFUNCTION("""COMPUTED_VALUE"""),"https://www.facebook.com/rapplerdotcom/photos/a.317154781638645/5595372260483511/")</f>
        <v>https://www.facebook.com/rapplerdotcom/photos/a.317154781638645/5595372260483511/</v>
      </c>
      <c r="J1709" s="1" t="str">
        <f>IFERROR(__xludf.DUMMYFUNCTION("""COMPUTED_VALUE"""),"2022-07-04T15:44:55.423Z")</f>
        <v>2022-07-04T15:44:55.423Z</v>
      </c>
      <c r="K1709" s="1"/>
    </row>
    <row r="1710">
      <c r="A1710" s="2" t="str">
        <f>IFERROR(__xludf.DUMMYFUNCTION("""COMPUTED_VALUE"""),"https://www.facebook.com/eduardo.m.lombo")</f>
        <v>https://www.facebook.com/eduardo.m.lombo</v>
      </c>
      <c r="B1710" s="1" t="str">
        <f>IFERROR(__xludf.DUMMYFUNCTION("""COMPUTED_VALUE"""),"Edd Lombo")</f>
        <v>Edd Lombo</v>
      </c>
      <c r="C1710" s="1" t="str">
        <f>IFERROR(__xludf.DUMMYFUNCTION("""COMPUTED_VALUE"""),"Edd")</f>
        <v>Edd</v>
      </c>
      <c r="D1710" s="1" t="str">
        <f>IFERROR(__xludf.DUMMYFUNCTION("""COMPUTED_VALUE"""),"Lombo")</f>
        <v>Lombo</v>
      </c>
      <c r="E1710" s="1" t="str">
        <f>IFERROR(__xludf.DUMMYFUNCTION("""COMPUTED_VALUE"""),"Deanny Magana according to you again 😀 when you will open up your mind, that in this world there are lots of opinions :) grow up totoy 😉")</f>
        <v>Deanny Magana according to you again 😀 when you will open up your mind, that in this world there are lots of opinions :) grow up totoy 😉</v>
      </c>
      <c r="F1710" s="1"/>
      <c r="G1710" s="1" t="str">
        <f>IFERROR(__xludf.DUMMYFUNCTION("""COMPUTED_VALUE"""),"3 mos")</f>
        <v>3 mos</v>
      </c>
      <c r="H1710" s="1" t="str">
        <f>IFERROR(__xludf.DUMMYFUNCTION("""COMPUTED_VALUE"""),"reply")</f>
        <v>reply</v>
      </c>
      <c r="I1710" s="2" t="str">
        <f>IFERROR(__xludf.DUMMYFUNCTION("""COMPUTED_VALUE"""),"https://www.facebook.com/rapplerdotcom/photos/a.317154781638645/5595372260483511/")</f>
        <v>https://www.facebook.com/rapplerdotcom/photos/a.317154781638645/5595372260483511/</v>
      </c>
      <c r="J1710" s="1" t="str">
        <f>IFERROR(__xludf.DUMMYFUNCTION("""COMPUTED_VALUE"""),"2022-07-04T15:44:55.423Z")</f>
        <v>2022-07-04T15:44:55.423Z</v>
      </c>
      <c r="K1710" s="1"/>
    </row>
    <row r="1711">
      <c r="A1711" s="2" t="str">
        <f>IFERROR(__xludf.DUMMYFUNCTION("""COMPUTED_VALUE"""),"https://www.facebook.com/eduardo.m.lombo")</f>
        <v>https://www.facebook.com/eduardo.m.lombo</v>
      </c>
      <c r="B1711" s="1" t="str">
        <f>IFERROR(__xludf.DUMMYFUNCTION("""COMPUTED_VALUE"""),"Edd Lombo")</f>
        <v>Edd Lombo</v>
      </c>
      <c r="C1711" s="1" t="str">
        <f>IFERROR(__xludf.DUMMYFUNCTION("""COMPUTED_VALUE"""),"Edd")</f>
        <v>Edd</v>
      </c>
      <c r="D1711" s="1" t="str">
        <f>IFERROR(__xludf.DUMMYFUNCTION("""COMPUTED_VALUE"""),"Lombo")</f>
        <v>Lombo</v>
      </c>
      <c r="E1711" s="1" t="str">
        <f>IFERROR(__xludf.DUMMYFUNCTION("""COMPUTED_VALUE"""),"Venice Quinto same like you, dont be hypocrite 😀")</f>
        <v>Venice Quinto same like you, dont be hypocrite 😀</v>
      </c>
      <c r="F1711" s="1"/>
      <c r="G1711" s="1" t="str">
        <f>IFERROR(__xludf.DUMMYFUNCTION("""COMPUTED_VALUE"""),"3 mos")</f>
        <v>3 mos</v>
      </c>
      <c r="H1711" s="1" t="str">
        <f>IFERROR(__xludf.DUMMYFUNCTION("""COMPUTED_VALUE"""),"reply")</f>
        <v>reply</v>
      </c>
      <c r="I1711" s="2" t="str">
        <f>IFERROR(__xludf.DUMMYFUNCTION("""COMPUTED_VALUE"""),"https://www.facebook.com/rapplerdotcom/photos/a.317154781638645/5595372260483511/")</f>
        <v>https://www.facebook.com/rapplerdotcom/photos/a.317154781638645/5595372260483511/</v>
      </c>
      <c r="J1711" s="1" t="str">
        <f>IFERROR(__xludf.DUMMYFUNCTION("""COMPUTED_VALUE"""),"2022-07-04T15:44:55.423Z")</f>
        <v>2022-07-04T15:44:55.423Z</v>
      </c>
      <c r="K1711" s="1"/>
    </row>
    <row r="1712">
      <c r="A1712" s="2" t="str">
        <f>IFERROR(__xludf.DUMMYFUNCTION("""COMPUTED_VALUE"""),"https://www.facebook.com/eduardo.m.lombo")</f>
        <v>https://www.facebook.com/eduardo.m.lombo</v>
      </c>
      <c r="B1712" s="1" t="str">
        <f>IFERROR(__xludf.DUMMYFUNCTION("""COMPUTED_VALUE"""),"Edd Lombo")</f>
        <v>Edd Lombo</v>
      </c>
      <c r="C1712" s="1" t="str">
        <f>IFERROR(__xludf.DUMMYFUNCTION("""COMPUTED_VALUE"""),"Edd")</f>
        <v>Edd</v>
      </c>
      <c r="D1712" s="1" t="str">
        <f>IFERROR(__xludf.DUMMYFUNCTION("""COMPUTED_VALUE"""),"Lombo")</f>
        <v>Lombo</v>
      </c>
      <c r="E1712" s="1" t="str">
        <f>IFERROR(__xludf.DUMMYFUNCTION("""COMPUTED_VALUE"""),"Venice Quinto as well as you, and to all of us, so what's the issue? 😀")</f>
        <v>Venice Quinto as well as you, and to all of us, so what's the issue? 😀</v>
      </c>
      <c r="F1712" s="1"/>
      <c r="G1712" s="1" t="str">
        <f>IFERROR(__xludf.DUMMYFUNCTION("""COMPUTED_VALUE"""),"3 mos")</f>
        <v>3 mos</v>
      </c>
      <c r="H1712" s="1" t="str">
        <f>IFERROR(__xludf.DUMMYFUNCTION("""COMPUTED_VALUE"""),"reply")</f>
        <v>reply</v>
      </c>
      <c r="I1712" s="2" t="str">
        <f>IFERROR(__xludf.DUMMYFUNCTION("""COMPUTED_VALUE"""),"https://www.facebook.com/rapplerdotcom/photos/a.317154781638645/5595372260483511/")</f>
        <v>https://www.facebook.com/rapplerdotcom/photos/a.317154781638645/5595372260483511/</v>
      </c>
      <c r="J1712" s="1" t="str">
        <f>IFERROR(__xludf.DUMMYFUNCTION("""COMPUTED_VALUE"""),"2022-07-04T15:44:55.423Z")</f>
        <v>2022-07-04T15:44:55.423Z</v>
      </c>
      <c r="K1712" s="1"/>
    </row>
    <row r="1713">
      <c r="A1713" s="2" t="str">
        <f>IFERROR(__xludf.DUMMYFUNCTION("""COMPUTED_VALUE"""),"https://www.facebook.com/eduardo.m.lombo")</f>
        <v>https://www.facebook.com/eduardo.m.lombo</v>
      </c>
      <c r="B1713" s="1" t="str">
        <f>IFERROR(__xludf.DUMMYFUNCTION("""COMPUTED_VALUE"""),"Edd Lombo")</f>
        <v>Edd Lombo</v>
      </c>
      <c r="C1713" s="1" t="str">
        <f>IFERROR(__xludf.DUMMYFUNCTION("""COMPUTED_VALUE"""),"Edd")</f>
        <v>Edd</v>
      </c>
      <c r="D1713" s="1" t="str">
        <f>IFERROR(__xludf.DUMMYFUNCTION("""COMPUTED_VALUE"""),"Lombo")</f>
        <v>Lombo</v>
      </c>
      <c r="E1713" s="1" t="str">
        <f>IFERROR(__xludf.DUMMYFUNCTION("""COMPUTED_VALUE"""),"Art Ryan Lanete Seachon linawin mo ano issue sa Bible  verse ko, may problema don?")</f>
        <v>Art Ryan Lanete Seachon linawin mo ano issue sa Bible  verse ko, may problema don?</v>
      </c>
      <c r="F1713" s="1"/>
      <c r="G1713" s="1" t="str">
        <f>IFERROR(__xludf.DUMMYFUNCTION("""COMPUTED_VALUE"""),"3 mos")</f>
        <v>3 mos</v>
      </c>
      <c r="H1713" s="1" t="str">
        <f>IFERROR(__xludf.DUMMYFUNCTION("""COMPUTED_VALUE"""),"reply")</f>
        <v>reply</v>
      </c>
      <c r="I1713" s="2" t="str">
        <f>IFERROR(__xludf.DUMMYFUNCTION("""COMPUTED_VALUE"""),"https://www.facebook.com/rapplerdotcom/photos/a.317154781638645/5595372260483511/")</f>
        <v>https://www.facebook.com/rapplerdotcom/photos/a.317154781638645/5595372260483511/</v>
      </c>
      <c r="J1713" s="1" t="str">
        <f>IFERROR(__xludf.DUMMYFUNCTION("""COMPUTED_VALUE"""),"2022-07-04T15:44:55.423Z")</f>
        <v>2022-07-04T15:44:55.423Z</v>
      </c>
      <c r="K1713" s="1"/>
    </row>
    <row r="1714">
      <c r="A1714" s="2" t="str">
        <f>IFERROR(__xludf.DUMMYFUNCTION("""COMPUTED_VALUE"""),"https://www.facebook.com/eduardo.m.lombo")</f>
        <v>https://www.facebook.com/eduardo.m.lombo</v>
      </c>
      <c r="B1714" s="1" t="str">
        <f>IFERROR(__xludf.DUMMYFUNCTION("""COMPUTED_VALUE"""),"Edd Lombo")</f>
        <v>Edd Lombo</v>
      </c>
      <c r="C1714" s="1" t="str">
        <f>IFERROR(__xludf.DUMMYFUNCTION("""COMPUTED_VALUE"""),"Edd")</f>
        <v>Edd</v>
      </c>
      <c r="D1714" s="1" t="str">
        <f>IFERROR(__xludf.DUMMYFUNCTION("""COMPUTED_VALUE"""),"Lombo")</f>
        <v>Lombo</v>
      </c>
      <c r="E1714" s="1" t="str">
        <f>IFERROR(__xludf.DUMMYFUNCTION("""COMPUTED_VALUE"""),"Venice Quinto linis linisan, banal banalan na naman, kelan kayo magiging totoo 😀")</f>
        <v>Venice Quinto linis linisan, banal banalan na naman, kelan kayo magiging totoo 😀</v>
      </c>
      <c r="F1714" s="1"/>
      <c r="G1714" s="1" t="str">
        <f>IFERROR(__xludf.DUMMYFUNCTION("""COMPUTED_VALUE"""),"3 mos")</f>
        <v>3 mos</v>
      </c>
      <c r="H1714" s="1" t="str">
        <f>IFERROR(__xludf.DUMMYFUNCTION("""COMPUTED_VALUE"""),"reply")</f>
        <v>reply</v>
      </c>
      <c r="I1714" s="2" t="str">
        <f>IFERROR(__xludf.DUMMYFUNCTION("""COMPUTED_VALUE"""),"https://www.facebook.com/rapplerdotcom/photos/a.317154781638645/5595372260483511/")</f>
        <v>https://www.facebook.com/rapplerdotcom/photos/a.317154781638645/5595372260483511/</v>
      </c>
      <c r="J1714" s="1" t="str">
        <f>IFERROR(__xludf.DUMMYFUNCTION("""COMPUTED_VALUE"""),"2022-07-04T15:44:55.423Z")</f>
        <v>2022-07-04T15:44:55.423Z</v>
      </c>
      <c r="K1714" s="1"/>
    </row>
    <row r="1715">
      <c r="A1715" s="2" t="str">
        <f>IFERROR(__xludf.DUMMYFUNCTION("""COMPUTED_VALUE"""),"https://www.facebook.com/blackwidow0910")</f>
        <v>https://www.facebook.com/blackwidow0910</v>
      </c>
      <c r="B1715" s="1" t="str">
        <f>IFERROR(__xludf.DUMMYFUNCTION("""COMPUTED_VALUE"""),"Pepper Mint")</f>
        <v>Pepper Mint</v>
      </c>
      <c r="C1715" s="1" t="str">
        <f>IFERROR(__xludf.DUMMYFUNCTION("""COMPUTED_VALUE"""),"Pepper")</f>
        <v>Pepper</v>
      </c>
      <c r="D1715" s="1" t="str">
        <f>IFERROR(__xludf.DUMMYFUNCTION("""COMPUTED_VALUE"""),"Mint")</f>
        <v>Mint</v>
      </c>
      <c r="E1715" s="1" t="str">
        <f>IFERROR(__xludf.DUMMYFUNCTION("""COMPUTED_VALUE"""),"Kaya we have to be UNITED...don't cause division....the Philippines was never united..crab mentality is our downfall..the leader should influence its members  to work together, and together work towards the fulfillment of its goals for the benefit of the "&amp;"country and its people, as a president how would you lead a divided community, a divided country?The leader is the influence, the driving force the motivates its people...but motivates to what? To hate each other? To persecute? To dishonor and to defame? "&amp;"To malign?  Schools, teaches eadership skills...how to be effective leaders..blah blah blah..but, I guess it will just stay in the 4 corners and walls of the classrooms...If the leader cause divisions and factions, the country will fall apart and instead "&amp;"of working for the same goals,the people will work only for their own  self-interests. What is it that we look for a leader? What are the qualities of an effective president? Who is the best person to lead the Philippines? Who?")</f>
        <v>Kaya we have to be UNITED...don't cause division....the Philippines was never united..crab mentality is our downfall..the leader should influence its members  to work together, and together work towards the fulfillment of its goals for the benefit of the country and its people, as a president how would you lead a divided community, a divided country?The leader is the influence, the driving force the motivates its people...but motivates to what? To hate each other? To persecute? To dishonor and to defame? To malign?  Schools, teaches eadership skills...how to be effective leaders..blah blah blah..but, I guess it will just stay in the 4 corners and walls of the classrooms...If the leader cause divisions and factions, the country will fall apart and instead of working for the same goals,the people will work only for their own  self-interests. What is it that we look for a leader? What are the qualities of an effective president? Who is the best person to lead the Philippines? Who?</v>
      </c>
      <c r="F1715" s="1"/>
      <c r="G1715" s="1" t="str">
        <f>IFERROR(__xludf.DUMMYFUNCTION("""COMPUTED_VALUE"""),"3 mos")</f>
        <v>3 mos</v>
      </c>
      <c r="H1715" s="1" t="str">
        <f>IFERROR(__xludf.DUMMYFUNCTION("""COMPUTED_VALUE"""),"comment")</f>
        <v>comment</v>
      </c>
      <c r="I1715" s="2" t="str">
        <f>IFERROR(__xludf.DUMMYFUNCTION("""COMPUTED_VALUE"""),"https://www.facebook.com/rapplerdotcom/photos/a.317154781638645/5595372260483511/")</f>
        <v>https://www.facebook.com/rapplerdotcom/photos/a.317154781638645/5595372260483511/</v>
      </c>
      <c r="J1715" s="1" t="str">
        <f>IFERROR(__xludf.DUMMYFUNCTION("""COMPUTED_VALUE"""),"2022-07-04T15:44:55.423Z")</f>
        <v>2022-07-04T15:44:55.423Z</v>
      </c>
      <c r="K1715" s="1"/>
    </row>
    <row r="1716">
      <c r="A1716" s="2" t="str">
        <f>IFERROR(__xludf.DUMMYFUNCTION("""COMPUTED_VALUE"""),"https://www.facebook.com/jaye.jackson.5")</f>
        <v>https://www.facebook.com/jaye.jackson.5</v>
      </c>
      <c r="B1716" s="1" t="str">
        <f>IFERROR(__xludf.DUMMYFUNCTION("""COMPUTED_VALUE"""),"Julie Agorrilla")</f>
        <v>Julie Agorrilla</v>
      </c>
      <c r="C1716" s="1" t="str">
        <f>IFERROR(__xludf.DUMMYFUNCTION("""COMPUTED_VALUE"""),"Julie")</f>
        <v>Julie</v>
      </c>
      <c r="D1716" s="1" t="str">
        <f>IFERROR(__xludf.DUMMYFUNCTION("""COMPUTED_VALUE"""),"Agorrilla")</f>
        <v>Agorrilla</v>
      </c>
      <c r="E1716" s="1" t="str">
        <f>IFERROR(__xludf.DUMMYFUNCTION("""COMPUTED_VALUE"""),"You have a point. But i think the family has a major role on this.")</f>
        <v>You have a point. But i think the family has a major role on this.</v>
      </c>
      <c r="F1716" s="1"/>
      <c r="G1716" s="1" t="str">
        <f>IFERROR(__xludf.DUMMYFUNCTION("""COMPUTED_VALUE"""),"3 mos")</f>
        <v>3 mos</v>
      </c>
      <c r="H1716" s="1" t="str">
        <f>IFERROR(__xludf.DUMMYFUNCTION("""COMPUTED_VALUE"""),"comment")</f>
        <v>comment</v>
      </c>
      <c r="I1716" s="2" t="str">
        <f>IFERROR(__xludf.DUMMYFUNCTION("""COMPUTED_VALUE"""),"https://www.facebook.com/rapplerdotcom/photos/a.317154781638645/5595372260483511/")</f>
        <v>https://www.facebook.com/rapplerdotcom/photos/a.317154781638645/5595372260483511/</v>
      </c>
      <c r="J1716" s="1" t="str">
        <f>IFERROR(__xludf.DUMMYFUNCTION("""COMPUTED_VALUE"""),"2022-07-04T15:44:55.423Z")</f>
        <v>2022-07-04T15:44:55.423Z</v>
      </c>
      <c r="K1716" s="1"/>
    </row>
    <row r="1717">
      <c r="A1717" s="2" t="str">
        <f>IFERROR(__xludf.DUMMYFUNCTION("""COMPUTED_VALUE"""),"https://www.facebook.com/olracyer.nadneba.3")</f>
        <v>https://www.facebook.com/olracyer.nadneba.3</v>
      </c>
      <c r="B1717" s="1" t="str">
        <f>IFERROR(__xludf.DUMMYFUNCTION("""COMPUTED_VALUE"""),"Olrac Yer Nadneba")</f>
        <v>Olrac Yer Nadneba</v>
      </c>
      <c r="C1717" s="1" t="str">
        <f>IFERROR(__xludf.DUMMYFUNCTION("""COMPUTED_VALUE"""),"Olrac")</f>
        <v>Olrac</v>
      </c>
      <c r="D1717" s="1" t="str">
        <f>IFERROR(__xludf.DUMMYFUNCTION("""COMPUTED_VALUE"""),"Yer Nadneba")</f>
        <v>Yer Nadneba</v>
      </c>
      <c r="E1717" s="1" t="str">
        <f>IFERROR(__xludf.DUMMYFUNCTION("""COMPUTED_VALUE"""),"Wag niyong gawing biro yan dahil pagdating naman ng 2015, hindi lang natin mapapabilis ang biyahe mula Baclaran hanggang Bacoor kundi madadagdagan din tayo ng tinatayong 250,000 na pasahero ang maisasakay kada araw dahil sa LRT Line 1 extension. At pag hi"&amp;"ndi ho nangyari ito, nandiyan po si Secretary Abaya na mangangasiwa ng proyektong to, dalawa na kaming magpapasagasa siguro sa tren.")</f>
        <v>Wag niyong gawing biro yan dahil pagdating naman ng 2015,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1717" s="1"/>
      <c r="G1717" s="1" t="str">
        <f>IFERROR(__xludf.DUMMYFUNCTION("""COMPUTED_VALUE"""),"3 mos")</f>
        <v>3 mos</v>
      </c>
      <c r="H1717" s="1" t="str">
        <f>IFERROR(__xludf.DUMMYFUNCTION("""COMPUTED_VALUE"""),"comment")</f>
        <v>comment</v>
      </c>
      <c r="I1717" s="2" t="str">
        <f>IFERROR(__xludf.DUMMYFUNCTION("""COMPUTED_VALUE"""),"https://www.facebook.com/rapplerdotcom/photos/a.317154781638645/5595372260483511/")</f>
        <v>https://www.facebook.com/rapplerdotcom/photos/a.317154781638645/5595372260483511/</v>
      </c>
      <c r="J1717" s="1" t="str">
        <f>IFERROR(__xludf.DUMMYFUNCTION("""COMPUTED_VALUE"""),"2022-07-04T15:44:55.423Z")</f>
        <v>2022-07-04T15:44:55.423Z</v>
      </c>
      <c r="K1717" s="1"/>
    </row>
    <row r="1718">
      <c r="A1718" s="2" t="str">
        <f>IFERROR(__xludf.DUMMYFUNCTION("""COMPUTED_VALUE"""),"https://www.facebook.com/profile.php?id=100049380352017")</f>
        <v>https://www.facebook.com/profile.php?id=100049380352017</v>
      </c>
      <c r="B1718" s="1" t="str">
        <f>IFERROR(__xludf.DUMMYFUNCTION("""COMPUTED_VALUE"""),"Jose Parada Sarmiento")</f>
        <v>Jose Parada Sarmiento</v>
      </c>
      <c r="C1718" s="1" t="str">
        <f>IFERROR(__xludf.DUMMYFUNCTION("""COMPUTED_VALUE"""),"Jose")</f>
        <v>Jose</v>
      </c>
      <c r="D1718" s="1" t="str">
        <f>IFERROR(__xludf.DUMMYFUNCTION("""COMPUTED_VALUE"""),"Parada Sarmiento")</f>
        <v>Parada Sarmiento</v>
      </c>
      <c r="E1718" s="1" t="str">
        <f>IFERROR(__xludf.DUMMYFUNCTION("""COMPUTED_VALUE"""),"Catholic is consisting in shaping our country. Guardian against human rights abuses and corruption.")</f>
        <v>Catholic is consisting in shaping our country. Guardian against human rights abuses and corruption.</v>
      </c>
      <c r="F1718" s="1">
        <f>IFERROR(__xludf.DUMMYFUNCTION("""COMPUTED_VALUE"""),1.0)</f>
        <v>1</v>
      </c>
      <c r="G1718" s="1" t="str">
        <f>IFERROR(__xludf.DUMMYFUNCTION("""COMPUTED_VALUE"""),"3 mos")</f>
        <v>3 mos</v>
      </c>
      <c r="H1718" s="1" t="str">
        <f>IFERROR(__xludf.DUMMYFUNCTION("""COMPUTED_VALUE"""),"comment")</f>
        <v>comment</v>
      </c>
      <c r="I1718" s="2" t="str">
        <f>IFERROR(__xludf.DUMMYFUNCTION("""COMPUTED_VALUE"""),"https://www.facebook.com/rapplerdotcom/photos/a.317154781638645/5595372260483511/")</f>
        <v>https://www.facebook.com/rapplerdotcom/photos/a.317154781638645/5595372260483511/</v>
      </c>
      <c r="J1718" s="1" t="str">
        <f>IFERROR(__xludf.DUMMYFUNCTION("""COMPUTED_VALUE"""),"2022-07-04T15:44:55.424Z")</f>
        <v>2022-07-04T15:44:55.424Z</v>
      </c>
      <c r="K1718" s="1"/>
    </row>
    <row r="1719">
      <c r="A1719" s="2" t="str">
        <f>IFERROR(__xludf.DUMMYFUNCTION("""COMPUTED_VALUE"""),"https://www.facebook.com/jonathan.biwit")</f>
        <v>https://www.facebook.com/jonathan.biwit</v>
      </c>
      <c r="B1719" s="1" t="str">
        <f>IFERROR(__xludf.DUMMYFUNCTION("""COMPUTED_VALUE"""),"Jonathan D. Biwit")</f>
        <v>Jonathan D. Biwit</v>
      </c>
      <c r="C1719" s="1" t="str">
        <f>IFERROR(__xludf.DUMMYFUNCTION("""COMPUTED_VALUE"""),"Jonathan")</f>
        <v>Jonathan</v>
      </c>
      <c r="D1719" s="1" t="str">
        <f>IFERROR(__xludf.DUMMYFUNCTION("""COMPUTED_VALUE"""),"D. Biwit")</f>
        <v>D. Biwit</v>
      </c>
      <c r="E1719" s="1" t="str">
        <f>IFERROR(__xludf.DUMMYFUNCTION("""COMPUTED_VALUE"""),"Parang napakadali na ngayon sa kabataan ang makipagtalik. Kung di makuha sa santong dasalan, turuang gumamit ng condom.")</f>
        <v>Parang napakadali na ngayon sa kabataan ang makipagtalik. Kung di makuha sa santong dasalan, turuang gumamit ng condom.</v>
      </c>
      <c r="F1719" s="1"/>
      <c r="G1719" s="1" t="str">
        <f>IFERROR(__xludf.DUMMYFUNCTION("""COMPUTED_VALUE"""),"3 mos")</f>
        <v>3 mos</v>
      </c>
      <c r="H1719" s="1" t="str">
        <f>IFERROR(__xludf.DUMMYFUNCTION("""COMPUTED_VALUE"""),"comment")</f>
        <v>comment</v>
      </c>
      <c r="I1719" s="2" t="str">
        <f>IFERROR(__xludf.DUMMYFUNCTION("""COMPUTED_VALUE"""),"https://www.facebook.com/rapplerdotcom/photos/a.317154781638645/5595372260483511/")</f>
        <v>https://www.facebook.com/rapplerdotcom/photos/a.317154781638645/5595372260483511/</v>
      </c>
      <c r="J1719" s="1" t="str">
        <f>IFERROR(__xludf.DUMMYFUNCTION("""COMPUTED_VALUE"""),"2022-07-04T15:44:55.424Z")</f>
        <v>2022-07-04T15:44:55.424Z</v>
      </c>
      <c r="K1719" s="1"/>
    </row>
    <row r="1720">
      <c r="A1720" s="2" t="str">
        <f>IFERROR(__xludf.DUMMYFUNCTION("""COMPUTED_VALUE"""),"https://www.facebook.com/rodelmadrid")</f>
        <v>https://www.facebook.com/rodelmadrid</v>
      </c>
      <c r="B1720" s="1" t="str">
        <f>IFERROR(__xludf.DUMMYFUNCTION("""COMPUTED_VALUE"""),"Rodel Madrid")</f>
        <v>Rodel Madrid</v>
      </c>
      <c r="C1720" s="1" t="str">
        <f>IFERROR(__xludf.DUMMYFUNCTION("""COMPUTED_VALUE"""),"Rodel")</f>
        <v>Rodel</v>
      </c>
      <c r="D1720" s="1" t="str">
        <f>IFERROR(__xludf.DUMMYFUNCTION("""COMPUTED_VALUE"""),"Madrid")</f>
        <v>Madrid</v>
      </c>
      <c r="E1720" s="1" t="str">
        <f>IFERROR(__xludf.DUMMYFUNCTION("""COMPUTED_VALUE"""),"Para. Sa. #GobyernongTapatAngatBuhayLahat #LeniKikoTeam2022 😊😊😊")</f>
        <v>Para. Sa. #GobyernongTapatAngatBuhayLahat #LeniKikoTeam2022 😊😊😊</v>
      </c>
      <c r="F1720" s="1"/>
      <c r="G1720" s="1" t="str">
        <f>IFERROR(__xludf.DUMMYFUNCTION("""COMPUTED_VALUE"""),"3 mos")</f>
        <v>3 mos</v>
      </c>
      <c r="H1720" s="1" t="str">
        <f>IFERROR(__xludf.DUMMYFUNCTION("""COMPUTED_VALUE"""),"comment")</f>
        <v>comment</v>
      </c>
      <c r="I1720" s="2" t="str">
        <f>IFERROR(__xludf.DUMMYFUNCTION("""COMPUTED_VALUE"""),"https://www.facebook.com/rapplerdotcom/photos/a.317154781638645/5595372260483511/")</f>
        <v>https://www.facebook.com/rapplerdotcom/photos/a.317154781638645/5595372260483511/</v>
      </c>
      <c r="J1720" s="1" t="str">
        <f>IFERROR(__xludf.DUMMYFUNCTION("""COMPUTED_VALUE"""),"2022-07-04T15:44:55.424Z")</f>
        <v>2022-07-04T15:44:55.424Z</v>
      </c>
      <c r="K1720" s="1"/>
    </row>
    <row r="1721">
      <c r="A1721" s="2" t="str">
        <f>IFERROR(__xludf.DUMMYFUNCTION("""COMPUTED_VALUE"""),"https://www.facebook.com/herdie.092020")</f>
        <v>https://www.facebook.com/herdie.092020</v>
      </c>
      <c r="B1721" s="1" t="str">
        <f>IFERROR(__xludf.DUMMYFUNCTION("""COMPUTED_VALUE"""),"Eddie Laforteza")</f>
        <v>Eddie Laforteza</v>
      </c>
      <c r="C1721" s="1" t="str">
        <f>IFERROR(__xludf.DUMMYFUNCTION("""COMPUTED_VALUE"""),"Eddie")</f>
        <v>Eddie</v>
      </c>
      <c r="D1721" s="1" t="str">
        <f>IFERROR(__xludf.DUMMYFUNCTION("""COMPUTED_VALUE"""),"Laforteza")</f>
        <v>Laforteza</v>
      </c>
      <c r="E1721" s="1" t="str">
        <f>IFERROR(__xludf.DUMMYFUNCTION("""COMPUTED_VALUE"""),"Correct kasi kung wala kang takot at pananalig sa Diyos, lahat ng taliwas sa kagustuhan at utos niya ang gagawin mo.")</f>
        <v>Correct kasi kung wala kang takot at pananalig sa Diyos, lahat ng taliwas sa kagustuhan at utos niya ang gagawin mo.</v>
      </c>
      <c r="F1721" s="1">
        <f>IFERROR(__xludf.DUMMYFUNCTION("""COMPUTED_VALUE"""),3.0)</f>
        <v>3</v>
      </c>
      <c r="G1721" s="1" t="str">
        <f>IFERROR(__xludf.DUMMYFUNCTION("""COMPUTED_VALUE"""),"3 mos")</f>
        <v>3 mos</v>
      </c>
      <c r="H1721" s="1" t="str">
        <f>IFERROR(__xludf.DUMMYFUNCTION("""COMPUTED_VALUE"""),"comment")</f>
        <v>comment</v>
      </c>
      <c r="I1721" s="2" t="str">
        <f>IFERROR(__xludf.DUMMYFUNCTION("""COMPUTED_VALUE"""),"https://www.facebook.com/rapplerdotcom/photos/a.317154781638645/5595372260483511/")</f>
        <v>https://www.facebook.com/rapplerdotcom/photos/a.317154781638645/5595372260483511/</v>
      </c>
      <c r="J1721" s="1" t="str">
        <f>IFERROR(__xludf.DUMMYFUNCTION("""COMPUTED_VALUE"""),"2022-07-04T15:44:55.424Z")</f>
        <v>2022-07-04T15:44:55.424Z</v>
      </c>
      <c r="K1721" s="1"/>
    </row>
    <row r="1722">
      <c r="A1722" s="2" t="str">
        <f>IFERROR(__xludf.DUMMYFUNCTION("""COMPUTED_VALUE"""),"https://www.facebook.com/melo.napiza.7")</f>
        <v>https://www.facebook.com/melo.napiza.7</v>
      </c>
      <c r="B1722" s="1" t="str">
        <f>IFERROR(__xludf.DUMMYFUNCTION("""COMPUTED_VALUE"""),"Melo Napiza")</f>
        <v>Melo Napiza</v>
      </c>
      <c r="C1722" s="1" t="str">
        <f>IFERROR(__xludf.DUMMYFUNCTION("""COMPUTED_VALUE"""),"Melo")</f>
        <v>Melo</v>
      </c>
      <c r="D1722" s="1" t="str">
        <f>IFERROR(__xludf.DUMMYFUNCTION("""COMPUTED_VALUE"""),"Napiza")</f>
        <v>Napiza</v>
      </c>
      <c r="E1722" s="1" t="str">
        <f>IFERROR(__xludf.DUMMYFUNCTION("""COMPUTED_VALUE"""),", d best talaga mgkaron ng maayos n edukasyon, kya lng napansin nyo ba, yun mga private schools run by the churh (khit anong sekta) ei sobrang MAHAL ng tuition fee..., sana makiisa rin sila s gobyerno at s mga mamamayan, i mean konting preno sana s sobran"&amp;"g mahal ng t.fee..., pr mas maraming maka afford at magkaron ng good and quality education.")</f>
        <v>, d best talaga mgkaron ng maayos n edukasyon, kya lng napansin nyo ba, yun mga private schools run by the churh (khit anong sekta) ei sobrang MAHAL ng tuition fee..., sana makiisa rin sila s gobyerno at s mga mamamayan, i mean konting preno sana s sobrang mahal ng t.fee..., pr mas maraming maka afford at magkaron ng good and quality education.</v>
      </c>
      <c r="F1722" s="1"/>
      <c r="G1722" s="1" t="str">
        <f>IFERROR(__xludf.DUMMYFUNCTION("""COMPUTED_VALUE"""),"3 mos")</f>
        <v>3 mos</v>
      </c>
      <c r="H1722" s="1" t="str">
        <f>IFERROR(__xludf.DUMMYFUNCTION("""COMPUTED_VALUE"""),"comment")</f>
        <v>comment</v>
      </c>
      <c r="I1722" s="2" t="str">
        <f>IFERROR(__xludf.DUMMYFUNCTION("""COMPUTED_VALUE"""),"https://www.facebook.com/rapplerdotcom/photos/a.317154781638645/5595372260483511/")</f>
        <v>https://www.facebook.com/rapplerdotcom/photos/a.317154781638645/5595372260483511/</v>
      </c>
      <c r="J1722" s="1" t="str">
        <f>IFERROR(__xludf.DUMMYFUNCTION("""COMPUTED_VALUE"""),"2022-07-04T15:44:55.424Z")</f>
        <v>2022-07-04T15:44:55.424Z</v>
      </c>
      <c r="K1722" s="1"/>
    </row>
    <row r="1723">
      <c r="A1723" s="2" t="str">
        <f>IFERROR(__xludf.DUMMYFUNCTION("""COMPUTED_VALUE"""),"https://www.facebook.com/lily.maglalang")</f>
        <v>https://www.facebook.com/lily.maglalang</v>
      </c>
      <c r="B1723" s="1" t="str">
        <f>IFERROR(__xludf.DUMMYFUNCTION("""COMPUTED_VALUE"""),"Lily Maglalang")</f>
        <v>Lily Maglalang</v>
      </c>
      <c r="C1723" s="1" t="str">
        <f>IFERROR(__xludf.DUMMYFUNCTION("""COMPUTED_VALUE"""),"Lily")</f>
        <v>Lily</v>
      </c>
      <c r="D1723" s="1" t="str">
        <f>IFERROR(__xludf.DUMMYFUNCTION("""COMPUTED_VALUE"""),"Maglalang")</f>
        <v>Maglalang</v>
      </c>
      <c r="E1723" s="1" t="str">
        <f>IFERROR(__xludf.DUMMYFUNCTION("""COMPUTED_VALUE"""),"Sana po ung mga nag ko comment ay nakikinig mabuti sa mga sinasabi ng bawat kandidato, para maintindihang mabuti ng hindi nalilihis ang mga komento, sana po maunawaan ninyo  ang bawat paliwanag  ng bawat isa")</f>
        <v>Sana po ung mga nag ko comment ay nakikinig mabuti sa mga sinasabi ng bawat kandidato, para maintindihang mabuti ng hindi nalilihis ang mga komento, sana po maunawaan ninyo  ang bawat paliwanag  ng bawat isa</v>
      </c>
      <c r="F1723" s="1">
        <f>IFERROR(__xludf.DUMMYFUNCTION("""COMPUTED_VALUE"""),9.0)</f>
        <v>9</v>
      </c>
      <c r="G1723" s="1" t="str">
        <f>IFERROR(__xludf.DUMMYFUNCTION("""COMPUTED_VALUE"""),"3 mos")</f>
        <v>3 mos</v>
      </c>
      <c r="H1723" s="1" t="str">
        <f>IFERROR(__xludf.DUMMYFUNCTION("""COMPUTED_VALUE"""),"comment")</f>
        <v>comment</v>
      </c>
      <c r="I1723" s="2" t="str">
        <f>IFERROR(__xludf.DUMMYFUNCTION("""COMPUTED_VALUE"""),"https://www.facebook.com/rapplerdotcom/photos/a.317154781638645/5595372260483511/")</f>
        <v>https://www.facebook.com/rapplerdotcom/photos/a.317154781638645/5595372260483511/</v>
      </c>
      <c r="J1723" s="1" t="str">
        <f>IFERROR(__xludf.DUMMYFUNCTION("""COMPUTED_VALUE"""),"2022-07-04T15:44:55.424Z")</f>
        <v>2022-07-04T15:44:55.424Z</v>
      </c>
      <c r="K1723" s="1"/>
    </row>
    <row r="1724">
      <c r="A1724" s="2" t="str">
        <f>IFERROR(__xludf.DUMMYFUNCTION("""COMPUTED_VALUE"""),"https://www.facebook.com/samuel.cajipe.9")</f>
        <v>https://www.facebook.com/samuel.cajipe.9</v>
      </c>
      <c r="B1724" s="1" t="str">
        <f>IFERROR(__xludf.DUMMYFUNCTION("""COMPUTED_VALUE"""),"Sam Cajipe")</f>
        <v>Sam Cajipe</v>
      </c>
      <c r="C1724" s="1" t="str">
        <f>IFERROR(__xludf.DUMMYFUNCTION("""COMPUTED_VALUE"""),"Sam")</f>
        <v>Sam</v>
      </c>
      <c r="D1724" s="1" t="str">
        <f>IFERROR(__xludf.DUMMYFUNCTION("""COMPUTED_VALUE"""),"Cajipe")</f>
        <v>Cajipe</v>
      </c>
      <c r="E1724" s="1" t="str">
        <f>IFERROR(__xludf.DUMMYFUNCTION("""COMPUTED_VALUE"""),"God belief is regarded by the common people as true,  by the wise as false,  and by the rulers as useful.")</f>
        <v>God belief is regarded by the common people as true,  by the wise as false,  and by the rulers as useful.</v>
      </c>
      <c r="F1724" s="1"/>
      <c r="G1724" s="1" t="str">
        <f>IFERROR(__xludf.DUMMYFUNCTION("""COMPUTED_VALUE"""),"3 mos")</f>
        <v>3 mos</v>
      </c>
      <c r="H1724" s="1" t="str">
        <f>IFERROR(__xludf.DUMMYFUNCTION("""COMPUTED_VALUE"""),"comment")</f>
        <v>comment</v>
      </c>
      <c r="I1724" s="2" t="str">
        <f>IFERROR(__xludf.DUMMYFUNCTION("""COMPUTED_VALUE"""),"https://www.facebook.com/rapplerdotcom/photos/a.317154781638645/5595372260483511/")</f>
        <v>https://www.facebook.com/rapplerdotcom/photos/a.317154781638645/5595372260483511/</v>
      </c>
      <c r="J1724" s="1" t="str">
        <f>IFERROR(__xludf.DUMMYFUNCTION("""COMPUTED_VALUE"""),"2022-07-04T15:44:55.424Z")</f>
        <v>2022-07-04T15:44:55.424Z</v>
      </c>
      <c r="K1724" s="1"/>
    </row>
    <row r="1725">
      <c r="A1725" s="2" t="str">
        <f>IFERROR(__xludf.DUMMYFUNCTION("""COMPUTED_VALUE"""),"https://www.facebook.com/bautista.jimmy.98")</f>
        <v>https://www.facebook.com/bautista.jimmy.98</v>
      </c>
      <c r="B1725" s="1" t="str">
        <f>IFERROR(__xludf.DUMMYFUNCTION("""COMPUTED_VALUE"""),"Bautista Jimmy")</f>
        <v>Bautista Jimmy</v>
      </c>
      <c r="C1725" s="1" t="str">
        <f>IFERROR(__xludf.DUMMYFUNCTION("""COMPUTED_VALUE"""),"Bautista")</f>
        <v>Bautista</v>
      </c>
      <c r="D1725" s="1" t="str">
        <f>IFERROR(__xludf.DUMMYFUNCTION("""COMPUTED_VALUE"""),"Jimmy")</f>
        <v>Jimmy</v>
      </c>
      <c r="E1725" s="1" t="str">
        <f>IFERROR(__xludf.DUMMYFUNCTION("""COMPUTED_VALUE"""),"Sam Cajipe nananaig ang katutuhanan..")</f>
        <v>Sam Cajipe nananaig ang katutuhanan..</v>
      </c>
      <c r="F1725" s="1"/>
      <c r="G1725" s="1" t="str">
        <f>IFERROR(__xludf.DUMMYFUNCTION("""COMPUTED_VALUE"""),"3 mos")</f>
        <v>3 mos</v>
      </c>
      <c r="H1725" s="1" t="str">
        <f>IFERROR(__xludf.DUMMYFUNCTION("""COMPUTED_VALUE"""),"reply")</f>
        <v>reply</v>
      </c>
      <c r="I1725" s="2" t="str">
        <f>IFERROR(__xludf.DUMMYFUNCTION("""COMPUTED_VALUE"""),"https://www.facebook.com/rapplerdotcom/photos/a.317154781638645/5595372260483511/")</f>
        <v>https://www.facebook.com/rapplerdotcom/photos/a.317154781638645/5595372260483511/</v>
      </c>
      <c r="J1725" s="1" t="str">
        <f>IFERROR(__xludf.DUMMYFUNCTION("""COMPUTED_VALUE"""),"2022-07-04T15:44:55.424Z")</f>
        <v>2022-07-04T15:44:55.424Z</v>
      </c>
      <c r="K1725" s="1"/>
    </row>
    <row r="1726">
      <c r="A1726" s="2" t="str">
        <f>IFERROR(__xludf.DUMMYFUNCTION("""COMPUTED_VALUE"""),"https://www.facebook.com/patricio.patriciosemilla")</f>
        <v>https://www.facebook.com/patricio.patriciosemilla</v>
      </c>
      <c r="B1726" s="1" t="str">
        <f>IFERROR(__xludf.DUMMYFUNCTION("""COMPUTED_VALUE"""),"Patricio Jera Semilla Jr.")</f>
        <v>Patricio Jera Semilla Jr.</v>
      </c>
      <c r="C1726" s="1" t="str">
        <f>IFERROR(__xludf.DUMMYFUNCTION("""COMPUTED_VALUE"""),"Patricio")</f>
        <v>Patricio</v>
      </c>
      <c r="D1726" s="1" t="str">
        <f>IFERROR(__xludf.DUMMYFUNCTION("""COMPUTED_VALUE"""),"Jera Semilla Jr.")</f>
        <v>Jera Semilla Jr.</v>
      </c>
      <c r="E1726" s="1" t="str">
        <f>IFERROR(__xludf.DUMMYFUNCTION("""COMPUTED_VALUE"""),"But the church is against population control so there is  a conflict of outlook")</f>
        <v>But the church is against population control so there is  a conflict of outlook</v>
      </c>
      <c r="F1726" s="1">
        <f>IFERROR(__xludf.DUMMYFUNCTION("""COMPUTED_VALUE"""),2.0)</f>
        <v>2</v>
      </c>
      <c r="G1726" s="1" t="str">
        <f>IFERROR(__xludf.DUMMYFUNCTION("""COMPUTED_VALUE"""),"3 mos")</f>
        <v>3 mos</v>
      </c>
      <c r="H1726" s="1" t="str">
        <f>IFERROR(__xludf.DUMMYFUNCTION("""COMPUTED_VALUE"""),"comment")</f>
        <v>comment</v>
      </c>
      <c r="I1726" s="2" t="str">
        <f>IFERROR(__xludf.DUMMYFUNCTION("""COMPUTED_VALUE"""),"https://www.facebook.com/rapplerdotcom/photos/a.317154781638645/5595372260483511/")</f>
        <v>https://www.facebook.com/rapplerdotcom/photos/a.317154781638645/5595372260483511/</v>
      </c>
      <c r="J1726" s="1" t="str">
        <f>IFERROR(__xludf.DUMMYFUNCTION("""COMPUTED_VALUE"""),"2022-07-04T15:44:55.424Z")</f>
        <v>2022-07-04T15:44:55.424Z</v>
      </c>
      <c r="K1726" s="1"/>
    </row>
    <row r="1727">
      <c r="A1727" s="2" t="str">
        <f>IFERROR(__xludf.DUMMYFUNCTION("""COMPUTED_VALUE"""),"https://www.facebook.com/profile.php?id=100008200051155")</f>
        <v>https://www.facebook.com/profile.php?id=100008200051155</v>
      </c>
      <c r="B1727" s="1" t="str">
        <f>IFERROR(__xludf.DUMMYFUNCTION("""COMPUTED_VALUE"""),"Colleen Navarro")</f>
        <v>Colleen Navarro</v>
      </c>
      <c r="C1727" s="1" t="str">
        <f>IFERROR(__xludf.DUMMYFUNCTION("""COMPUTED_VALUE"""),"Colleen")</f>
        <v>Colleen</v>
      </c>
      <c r="D1727" s="1" t="str">
        <f>IFERROR(__xludf.DUMMYFUNCTION("""COMPUTED_VALUE"""),"Navarro")</f>
        <v>Navarro</v>
      </c>
      <c r="E1727" s="1" t="str">
        <f>IFERROR(__xludf.DUMMYFUNCTION("""COMPUTED_VALUE"""),"Patricio Jera Semilla Jr.  the church is pro life po, but there is science when it comes to population and the church  acknowledge it now a days compared before .")</f>
        <v>Patricio Jera Semilla Jr.  the church is pro life po, but there is science when it comes to population and the church  acknowledge it now a days compared before .</v>
      </c>
      <c r="F1727" s="1">
        <f>IFERROR(__xludf.DUMMYFUNCTION("""COMPUTED_VALUE"""),1.0)</f>
        <v>1</v>
      </c>
      <c r="G1727" s="1" t="str">
        <f>IFERROR(__xludf.DUMMYFUNCTION("""COMPUTED_VALUE"""),"3 mos")</f>
        <v>3 mos</v>
      </c>
      <c r="H1727" s="1" t="str">
        <f>IFERROR(__xludf.DUMMYFUNCTION("""COMPUTED_VALUE"""),"reply")</f>
        <v>reply</v>
      </c>
      <c r="I1727" s="2" t="str">
        <f>IFERROR(__xludf.DUMMYFUNCTION("""COMPUTED_VALUE"""),"https://www.facebook.com/rapplerdotcom/photos/a.317154781638645/5595372260483511/")</f>
        <v>https://www.facebook.com/rapplerdotcom/photos/a.317154781638645/5595372260483511/</v>
      </c>
      <c r="J1727" s="1" t="str">
        <f>IFERROR(__xludf.DUMMYFUNCTION("""COMPUTED_VALUE"""),"2022-07-04T15:44:55.424Z")</f>
        <v>2022-07-04T15:44:55.424Z</v>
      </c>
      <c r="K1727" s="1"/>
    </row>
    <row r="1728">
      <c r="A1728" s="2" t="str">
        <f>IFERROR(__xludf.DUMMYFUNCTION("""COMPUTED_VALUE"""),"https://www.facebook.com/patricio.patriciosemilla")</f>
        <v>https://www.facebook.com/patricio.patriciosemilla</v>
      </c>
      <c r="B1728" s="1" t="str">
        <f>IFERROR(__xludf.DUMMYFUNCTION("""COMPUTED_VALUE"""),"Patricio Jera Semilla Jr.")</f>
        <v>Patricio Jera Semilla Jr.</v>
      </c>
      <c r="C1728" s="1" t="str">
        <f>IFERROR(__xludf.DUMMYFUNCTION("""COMPUTED_VALUE"""),"Patricio")</f>
        <v>Patricio</v>
      </c>
      <c r="D1728" s="1" t="str">
        <f>IFERROR(__xludf.DUMMYFUNCTION("""COMPUTED_VALUE"""),"Jera Semilla Jr.")</f>
        <v>Jera Semilla Jr.</v>
      </c>
      <c r="E1728" s="1" t="str">
        <f>IFERROR(__xludf.DUMMYFUNCTION("""COMPUTED_VALUE"""),"Colleen Navarro population control is killing of life its only limiting to have children cause our country is not big enough to cater big population compare to other big country")</f>
        <v>Colleen Navarro population control is killing of life its only limiting to have children cause our country is not big enough to cater big population compare to other big country</v>
      </c>
      <c r="F1728" s="1"/>
      <c r="G1728" s="1" t="str">
        <f>IFERROR(__xludf.DUMMYFUNCTION("""COMPUTED_VALUE"""),"3 mos")</f>
        <v>3 mos</v>
      </c>
      <c r="H1728" s="1" t="str">
        <f>IFERROR(__xludf.DUMMYFUNCTION("""COMPUTED_VALUE"""),"reply")</f>
        <v>reply</v>
      </c>
      <c r="I1728" s="2" t="str">
        <f>IFERROR(__xludf.DUMMYFUNCTION("""COMPUTED_VALUE"""),"https://www.facebook.com/rapplerdotcom/photos/a.317154781638645/5595372260483511/")</f>
        <v>https://www.facebook.com/rapplerdotcom/photos/a.317154781638645/5595372260483511/</v>
      </c>
      <c r="J1728" s="1" t="str">
        <f>IFERROR(__xludf.DUMMYFUNCTION("""COMPUTED_VALUE"""),"2022-07-04T15:44:55.424Z")</f>
        <v>2022-07-04T15:44:55.424Z</v>
      </c>
      <c r="K1728" s="1"/>
    </row>
    <row r="1729">
      <c r="A1729" s="2" t="str">
        <f>IFERROR(__xludf.DUMMYFUNCTION("""COMPUTED_VALUE"""),"https://www.facebook.com/profile.php?id=100008200051155")</f>
        <v>https://www.facebook.com/profile.php?id=100008200051155</v>
      </c>
      <c r="B1729" s="1" t="str">
        <f>IFERROR(__xludf.DUMMYFUNCTION("""COMPUTED_VALUE"""),"Colleen Navarro")</f>
        <v>Colleen Navarro</v>
      </c>
      <c r="C1729" s="1" t="str">
        <f>IFERROR(__xludf.DUMMYFUNCTION("""COMPUTED_VALUE"""),"Colleen")</f>
        <v>Colleen</v>
      </c>
      <c r="D1729" s="1" t="str">
        <f>IFERROR(__xludf.DUMMYFUNCTION("""COMPUTED_VALUE"""),"Navarro")</f>
        <v>Navarro</v>
      </c>
      <c r="E1729" s="1" t="str">
        <f>IFERROR(__xludf.DUMMYFUNCTION("""COMPUTED_VALUE"""),"Patricio Jera Semilla Jr.  unfortunately we are in a 3rd world country,  a lot of factors need to consider.  Nariyan  ang hunger, joblessness,  and as you said space to consider to cater sa lahat ng needs.")</f>
        <v>Patricio Jera Semilla Jr.  unfortunately we are in a 3rd world country,  a lot of factors need to consider.  Nariyan  ang hunger, joblessness,  and as you said space to consider to cater sa lahat ng needs.</v>
      </c>
      <c r="F1729" s="1"/>
      <c r="G1729" s="1" t="str">
        <f>IFERROR(__xludf.DUMMYFUNCTION("""COMPUTED_VALUE"""),"3 mos")</f>
        <v>3 mos</v>
      </c>
      <c r="H1729" s="1" t="str">
        <f>IFERROR(__xludf.DUMMYFUNCTION("""COMPUTED_VALUE"""),"reply")</f>
        <v>reply</v>
      </c>
      <c r="I1729" s="2" t="str">
        <f>IFERROR(__xludf.DUMMYFUNCTION("""COMPUTED_VALUE"""),"https://www.facebook.com/rapplerdotcom/photos/a.317154781638645/5595372260483511/")</f>
        <v>https://www.facebook.com/rapplerdotcom/photos/a.317154781638645/5595372260483511/</v>
      </c>
      <c r="J1729" s="1" t="str">
        <f>IFERROR(__xludf.DUMMYFUNCTION("""COMPUTED_VALUE"""),"2022-07-04T15:44:55.424Z")</f>
        <v>2022-07-04T15:44:55.424Z</v>
      </c>
      <c r="K1729" s="1"/>
    </row>
    <row r="1730">
      <c r="A1730" s="2" t="str">
        <f>IFERROR(__xludf.DUMMYFUNCTION("""COMPUTED_VALUE"""),"https://www.facebook.com/chug.mercado")</f>
        <v>https://www.facebook.com/chug.mercado</v>
      </c>
      <c r="B1730" s="1" t="str">
        <f>IFERROR(__xludf.DUMMYFUNCTION("""COMPUTED_VALUE"""),"Chug Mercado")</f>
        <v>Chug Mercado</v>
      </c>
      <c r="C1730" s="1" t="str">
        <f>IFERROR(__xludf.DUMMYFUNCTION("""COMPUTED_VALUE"""),"Chug")</f>
        <v>Chug</v>
      </c>
      <c r="D1730" s="1" t="str">
        <f>IFERROR(__xludf.DUMMYFUNCTION("""COMPUTED_VALUE"""),"Mercado")</f>
        <v>Mercado</v>
      </c>
      <c r="E1730" s="1" t="str">
        <f>IFERROR(__xludf.DUMMYFUNCTION("""COMPUTED_VALUE"""),"Colleen Navarro, what science is that to control population that acknowledge by the church?.be specific..")</f>
        <v>Colleen Navarro, what science is that to control population that acknowledge by the church?.be specific..</v>
      </c>
      <c r="F1730" s="1"/>
      <c r="G1730" s="1" t="str">
        <f>IFERROR(__xludf.DUMMYFUNCTION("""COMPUTED_VALUE"""),"3 mos")</f>
        <v>3 mos</v>
      </c>
      <c r="H1730" s="1" t="str">
        <f>IFERROR(__xludf.DUMMYFUNCTION("""COMPUTED_VALUE"""),"reply")</f>
        <v>reply</v>
      </c>
      <c r="I1730" s="2" t="str">
        <f>IFERROR(__xludf.DUMMYFUNCTION("""COMPUTED_VALUE"""),"https://www.facebook.com/rapplerdotcom/photos/a.317154781638645/5595372260483511/")</f>
        <v>https://www.facebook.com/rapplerdotcom/photos/a.317154781638645/5595372260483511/</v>
      </c>
      <c r="J1730" s="1" t="str">
        <f>IFERROR(__xludf.DUMMYFUNCTION("""COMPUTED_VALUE"""),"2022-07-04T15:44:55.424Z")</f>
        <v>2022-07-04T15:44:55.424Z</v>
      </c>
      <c r="K1730" s="1"/>
    </row>
    <row r="1731">
      <c r="A1731" s="2" t="str">
        <f>IFERROR(__xludf.DUMMYFUNCTION("""COMPUTED_VALUE"""),"https://www.facebook.com/patricio.patriciosemilla")</f>
        <v>https://www.facebook.com/patricio.patriciosemilla</v>
      </c>
      <c r="B1731" s="1" t="str">
        <f>IFERROR(__xludf.DUMMYFUNCTION("""COMPUTED_VALUE"""),"Patricio Jera Semilla Jr.")</f>
        <v>Patricio Jera Semilla Jr.</v>
      </c>
      <c r="C1731" s="1" t="str">
        <f>IFERROR(__xludf.DUMMYFUNCTION("""COMPUTED_VALUE"""),"Patricio")</f>
        <v>Patricio</v>
      </c>
      <c r="D1731" s="1" t="str">
        <f>IFERROR(__xludf.DUMMYFUNCTION("""COMPUTED_VALUE"""),"Jera Semilla Jr.")</f>
        <v>Jera Semilla Jr.</v>
      </c>
      <c r="E1731" s="1" t="str">
        <f>IFERROR(__xludf.DUMMYFUNCTION("""COMPUTED_VALUE"""),"Colleen Navarro as far as I know the Catholic Church was against population control cause it will diminish their income form various sacraments administered")</f>
        <v>Colleen Navarro as far as I know the Catholic Church was against population control cause it will diminish their income form various sacraments administered</v>
      </c>
      <c r="F1731" s="1"/>
      <c r="G1731" s="1" t="str">
        <f>IFERROR(__xludf.DUMMYFUNCTION("""COMPUTED_VALUE"""),"3 mos")</f>
        <v>3 mos</v>
      </c>
      <c r="H1731" s="1" t="str">
        <f>IFERROR(__xludf.DUMMYFUNCTION("""COMPUTED_VALUE"""),"reply")</f>
        <v>reply</v>
      </c>
      <c r="I1731" s="2" t="str">
        <f>IFERROR(__xludf.DUMMYFUNCTION("""COMPUTED_VALUE"""),"https://www.facebook.com/rapplerdotcom/photos/a.317154781638645/5595372260483511/")</f>
        <v>https://www.facebook.com/rapplerdotcom/photos/a.317154781638645/5595372260483511/</v>
      </c>
      <c r="J1731" s="1" t="str">
        <f>IFERROR(__xludf.DUMMYFUNCTION("""COMPUTED_VALUE"""),"2022-07-04T15:44:55.424Z")</f>
        <v>2022-07-04T15:44:55.424Z</v>
      </c>
      <c r="K1731" s="1"/>
    </row>
    <row r="1732">
      <c r="A1732" s="2" t="str">
        <f>IFERROR(__xludf.DUMMYFUNCTION("""COMPUTED_VALUE"""),"https://www.facebook.com/leilani.roxas")</f>
        <v>https://www.facebook.com/leilani.roxas</v>
      </c>
      <c r="B1732" s="1" t="str">
        <f>IFERROR(__xludf.DUMMYFUNCTION("""COMPUTED_VALUE"""),"Leilani Roxas")</f>
        <v>Leilani Roxas</v>
      </c>
      <c r="C1732" s="1" t="str">
        <f>IFERROR(__xludf.DUMMYFUNCTION("""COMPUTED_VALUE"""),"Leilani")</f>
        <v>Leilani</v>
      </c>
      <c r="D1732" s="1" t="str">
        <f>IFERROR(__xludf.DUMMYFUNCTION("""COMPUTED_VALUE"""),"Roxas")</f>
        <v>Roxas</v>
      </c>
      <c r="E1732" s="1" t="str">
        <f>IFERROR(__xludf.DUMMYFUNCTION("""COMPUTED_VALUE"""),"AGREE!     Moralidad ang nawawala na sa mga tao lalu sa mga kabataan. Bale wala nmn yang PG rating kung abala nmn ang magulang para sa laman tiyan.")</f>
        <v>AGREE!     Moralidad ang nawawala na sa mga tao lalu sa mga kabataan. Bale wala nmn yang PG rating kung abala nmn ang magulang para sa laman tiyan.</v>
      </c>
      <c r="F1732" s="1"/>
      <c r="G1732" s="1" t="str">
        <f>IFERROR(__xludf.DUMMYFUNCTION("""COMPUTED_VALUE"""),"3 mos")</f>
        <v>3 mos</v>
      </c>
      <c r="H1732" s="1" t="str">
        <f>IFERROR(__xludf.DUMMYFUNCTION("""COMPUTED_VALUE"""),"comment")</f>
        <v>comment</v>
      </c>
      <c r="I1732" s="2" t="str">
        <f>IFERROR(__xludf.DUMMYFUNCTION("""COMPUTED_VALUE"""),"https://www.facebook.com/rapplerdotcom/photos/a.317154781638645/5595372260483511/")</f>
        <v>https://www.facebook.com/rapplerdotcom/photos/a.317154781638645/5595372260483511/</v>
      </c>
      <c r="J1732" s="1" t="str">
        <f>IFERROR(__xludf.DUMMYFUNCTION("""COMPUTED_VALUE"""),"2022-07-04T15:44:55.424Z")</f>
        <v>2022-07-04T15:44:55.424Z</v>
      </c>
      <c r="K1732" s="1"/>
    </row>
    <row r="1733">
      <c r="A1733" s="2" t="str">
        <f>IFERROR(__xludf.DUMMYFUNCTION("""COMPUTED_VALUE"""),"https://www.facebook.com/victoriano.pimentel.980")</f>
        <v>https://www.facebook.com/victoriano.pimentel.980</v>
      </c>
      <c r="B1733" s="1" t="str">
        <f>IFERROR(__xludf.DUMMYFUNCTION("""COMPUTED_VALUE"""),"Vic Pimentel")</f>
        <v>Vic Pimentel</v>
      </c>
      <c r="C1733" s="1" t="str">
        <f>IFERROR(__xludf.DUMMYFUNCTION("""COMPUTED_VALUE"""),"Vic")</f>
        <v>Vic</v>
      </c>
      <c r="D1733" s="1" t="str">
        <f>IFERROR(__xludf.DUMMYFUNCTION("""COMPUTED_VALUE"""),"Pimentel")</f>
        <v>Pimentel</v>
      </c>
      <c r="E1733" s="1" t="str">
        <f>IFERROR(__xludf.DUMMYFUNCTION("""COMPUTED_VALUE"""),"CBCP watch ur steps. Ur being manipolated.")</f>
        <v>CBCP watch ur steps. Ur being manipolated.</v>
      </c>
      <c r="F1733" s="1"/>
      <c r="G1733" s="1" t="str">
        <f>IFERROR(__xludf.DUMMYFUNCTION("""COMPUTED_VALUE"""),"3 mos")</f>
        <v>3 mos</v>
      </c>
      <c r="H1733" s="1" t="str">
        <f>IFERROR(__xludf.DUMMYFUNCTION("""COMPUTED_VALUE"""),"comment")</f>
        <v>comment</v>
      </c>
      <c r="I1733" s="2" t="str">
        <f>IFERROR(__xludf.DUMMYFUNCTION("""COMPUTED_VALUE"""),"https://www.facebook.com/rapplerdotcom/photos/a.317154781638645/5595372260483511/")</f>
        <v>https://www.facebook.com/rapplerdotcom/photos/a.317154781638645/5595372260483511/</v>
      </c>
      <c r="J1733" s="1" t="str">
        <f>IFERROR(__xludf.DUMMYFUNCTION("""COMPUTED_VALUE"""),"2022-07-04T15:44:55.424Z")</f>
        <v>2022-07-04T15:44:55.424Z</v>
      </c>
      <c r="K1733" s="1"/>
    </row>
    <row r="1734">
      <c r="A1734" s="2" t="str">
        <f>IFERROR(__xludf.DUMMYFUNCTION("""COMPUTED_VALUE"""),"https://www.facebook.com/icarro1821")</f>
        <v>https://www.facebook.com/icarro1821</v>
      </c>
      <c r="B1734" s="1" t="str">
        <f>IFERROR(__xludf.DUMMYFUNCTION("""COMPUTED_VALUE"""),"Rick DG")</f>
        <v>Rick DG</v>
      </c>
      <c r="C1734" s="1" t="str">
        <f>IFERROR(__xludf.DUMMYFUNCTION("""COMPUTED_VALUE"""),"Rick")</f>
        <v>Rick</v>
      </c>
      <c r="D1734" s="1" t="str">
        <f>IFERROR(__xludf.DUMMYFUNCTION("""COMPUTED_VALUE"""),"DG")</f>
        <v>DG</v>
      </c>
      <c r="E1734" s="1" t="str">
        <f>IFERROR(__xludf.DUMMYFUNCTION("""COMPUTED_VALUE"""),"Hindi ba dapat sa TAHANAN yan.")</f>
        <v>Hindi ba dapat sa TAHANAN yan.</v>
      </c>
      <c r="F1734" s="1">
        <f>IFERROR(__xludf.DUMMYFUNCTION("""COMPUTED_VALUE"""),3.0)</f>
        <v>3</v>
      </c>
      <c r="G1734" s="1" t="str">
        <f>IFERROR(__xludf.DUMMYFUNCTION("""COMPUTED_VALUE"""),"3 mos")</f>
        <v>3 mos</v>
      </c>
      <c r="H1734" s="1" t="str">
        <f>IFERROR(__xludf.DUMMYFUNCTION("""COMPUTED_VALUE"""),"comment")</f>
        <v>comment</v>
      </c>
      <c r="I1734" s="2" t="str">
        <f>IFERROR(__xludf.DUMMYFUNCTION("""COMPUTED_VALUE"""),"https://www.facebook.com/rapplerdotcom/photos/a.317154781638645/5595372260483511/")</f>
        <v>https://www.facebook.com/rapplerdotcom/photos/a.317154781638645/5595372260483511/</v>
      </c>
      <c r="J1734" s="1" t="str">
        <f>IFERROR(__xludf.DUMMYFUNCTION("""COMPUTED_VALUE"""),"2022-07-04T15:44:55.424Z")</f>
        <v>2022-07-04T15:44:55.424Z</v>
      </c>
      <c r="K1734" s="1"/>
    </row>
    <row r="1735">
      <c r="A1735" s="2" t="str">
        <f>IFERROR(__xludf.DUMMYFUNCTION("""COMPUTED_VALUE"""),"https://www.facebook.com/profile.php?id=100012286893622")</f>
        <v>https://www.facebook.com/profile.php?id=100012286893622</v>
      </c>
      <c r="B1735" s="1" t="str">
        <f>IFERROR(__xludf.DUMMYFUNCTION("""COMPUTED_VALUE"""),"Reyfol James Garcia")</f>
        <v>Reyfol James Garcia</v>
      </c>
      <c r="C1735" s="1" t="str">
        <f>IFERROR(__xludf.DUMMYFUNCTION("""COMPUTED_VALUE"""),"Reyfol")</f>
        <v>Reyfol</v>
      </c>
      <c r="D1735" s="1" t="str">
        <f>IFERROR(__xludf.DUMMYFUNCTION("""COMPUTED_VALUE"""),"James Garcia")</f>
        <v>James Garcia</v>
      </c>
      <c r="E1735" s="1" t="str">
        <f>IFERROR(__xludf.DUMMYFUNCTION("""COMPUTED_VALUE"""),"Rick DG kasali na ang parents sa community. at IMO yung parents pa ang reason bakit nagkaganyan.")</f>
        <v>Rick DG kasali na ang parents sa community. at IMO yung parents pa ang reason bakit nagkaganyan.</v>
      </c>
      <c r="F1735" s="1"/>
      <c r="G1735" s="1" t="str">
        <f>IFERROR(__xludf.DUMMYFUNCTION("""COMPUTED_VALUE"""),"3 mos")</f>
        <v>3 mos</v>
      </c>
      <c r="H1735" s="1" t="str">
        <f>IFERROR(__xludf.DUMMYFUNCTION("""COMPUTED_VALUE"""),"reply")</f>
        <v>reply</v>
      </c>
      <c r="I1735" s="2" t="str">
        <f>IFERROR(__xludf.DUMMYFUNCTION("""COMPUTED_VALUE"""),"https://www.facebook.com/rapplerdotcom/photos/a.317154781638645/5595372260483511/")</f>
        <v>https://www.facebook.com/rapplerdotcom/photos/a.317154781638645/5595372260483511/</v>
      </c>
      <c r="J1735" s="1" t="str">
        <f>IFERROR(__xludf.DUMMYFUNCTION("""COMPUTED_VALUE"""),"2022-07-04T15:44:55.424Z")</f>
        <v>2022-07-04T15:44:55.424Z</v>
      </c>
      <c r="K1735" s="1"/>
    </row>
    <row r="1736">
      <c r="A1736" s="2" t="str">
        <f>IFERROR(__xludf.DUMMYFUNCTION("""COMPUTED_VALUE"""),"https://www.facebook.com/ttanchanco")</f>
        <v>https://www.facebook.com/ttanchanco</v>
      </c>
      <c r="B1736" s="1" t="str">
        <f>IFERROR(__xludf.DUMMYFUNCTION("""COMPUTED_VALUE"""),"Timothy Alvin Tanchanco")</f>
        <v>Timothy Alvin Tanchanco</v>
      </c>
      <c r="C1736" s="1" t="str">
        <f>IFERROR(__xludf.DUMMYFUNCTION("""COMPUTED_VALUE"""),"Timothy")</f>
        <v>Timothy</v>
      </c>
      <c r="D1736" s="1" t="str">
        <f>IFERROR(__xludf.DUMMYFUNCTION("""COMPUTED_VALUE"""),"Alvin Tanchanco")</f>
        <v>Alvin Tanchanco</v>
      </c>
      <c r="E1736" s="1" t="str">
        <f>IFERROR(__xludf.DUMMYFUNCTION("""COMPUTED_VALUE"""),"Rick DG Kung tingin mo yan lang nag iisang lugar na dapat magturo niyan, mali ka. It takes a community to raise a child.")</f>
        <v>Rick DG Kung tingin mo yan lang nag iisang lugar na dapat magturo niyan, mali ka. It takes a community to raise a child.</v>
      </c>
      <c r="F1736" s="1">
        <f>IFERROR(__xludf.DUMMYFUNCTION("""COMPUTED_VALUE"""),8.0)</f>
        <v>8</v>
      </c>
      <c r="G1736" s="1" t="str">
        <f>IFERROR(__xludf.DUMMYFUNCTION("""COMPUTED_VALUE"""),"3 mos")</f>
        <v>3 mos</v>
      </c>
      <c r="H1736" s="1" t="str">
        <f>IFERROR(__xludf.DUMMYFUNCTION("""COMPUTED_VALUE"""),"reply")</f>
        <v>reply</v>
      </c>
      <c r="I1736" s="2" t="str">
        <f>IFERROR(__xludf.DUMMYFUNCTION("""COMPUTED_VALUE"""),"https://www.facebook.com/rapplerdotcom/photos/a.317154781638645/5595372260483511/")</f>
        <v>https://www.facebook.com/rapplerdotcom/photos/a.317154781638645/5595372260483511/</v>
      </c>
      <c r="J1736" s="1" t="str">
        <f>IFERROR(__xludf.DUMMYFUNCTION("""COMPUTED_VALUE"""),"2022-07-04T15:44:55.424Z")</f>
        <v>2022-07-04T15:44:55.424Z</v>
      </c>
      <c r="K1736" s="1"/>
    </row>
    <row r="1737">
      <c r="A1737" s="2" t="str">
        <f>IFERROR(__xludf.DUMMYFUNCTION("""COMPUTED_VALUE"""),"https://www.facebook.com/icarro1821")</f>
        <v>https://www.facebook.com/icarro1821</v>
      </c>
      <c r="B1737" s="1" t="str">
        <f>IFERROR(__xludf.DUMMYFUNCTION("""COMPUTED_VALUE"""),"Rick DG")</f>
        <v>Rick DG</v>
      </c>
      <c r="C1737" s="1" t="str">
        <f>IFERROR(__xludf.DUMMYFUNCTION("""COMPUTED_VALUE"""),"Rick")</f>
        <v>Rick</v>
      </c>
      <c r="D1737" s="1" t="str">
        <f>IFERROR(__xludf.DUMMYFUNCTION("""COMPUTED_VALUE"""),"DG")</f>
        <v>DG</v>
      </c>
      <c r="E1737" s="1" t="str">
        <f>IFERROR(__xludf.DUMMYFUNCTION("""COMPUTED_VALUE"""),"Reyfol James Garcia so binubuntis nila anak nila.. grabe")</f>
        <v>Reyfol James Garcia so binubuntis nila anak nila.. grabe</v>
      </c>
      <c r="F1737" s="1"/>
      <c r="G1737" s="1" t="str">
        <f>IFERROR(__xludf.DUMMYFUNCTION("""COMPUTED_VALUE"""),"3 mos")</f>
        <v>3 mos</v>
      </c>
      <c r="H1737" s="1" t="str">
        <f>IFERROR(__xludf.DUMMYFUNCTION("""COMPUTED_VALUE"""),"reply")</f>
        <v>reply</v>
      </c>
      <c r="I1737" s="2" t="str">
        <f>IFERROR(__xludf.DUMMYFUNCTION("""COMPUTED_VALUE"""),"https://www.facebook.com/rapplerdotcom/photos/a.317154781638645/5595372260483511/")</f>
        <v>https://www.facebook.com/rapplerdotcom/photos/a.317154781638645/5595372260483511/</v>
      </c>
      <c r="J1737" s="1" t="str">
        <f>IFERROR(__xludf.DUMMYFUNCTION("""COMPUTED_VALUE"""),"2022-07-04T15:44:55.424Z")</f>
        <v>2022-07-04T15:44:55.424Z</v>
      </c>
      <c r="K1737" s="1"/>
    </row>
    <row r="1738">
      <c r="A1738" s="2" t="str">
        <f>IFERROR(__xludf.DUMMYFUNCTION("""COMPUTED_VALUE"""),"https://www.facebook.com/icarro1821")</f>
        <v>https://www.facebook.com/icarro1821</v>
      </c>
      <c r="B1738" s="1" t="str">
        <f>IFERROR(__xludf.DUMMYFUNCTION("""COMPUTED_VALUE"""),"Rick DG")</f>
        <v>Rick DG</v>
      </c>
      <c r="C1738" s="1" t="str">
        <f>IFERROR(__xludf.DUMMYFUNCTION("""COMPUTED_VALUE"""),"Rick")</f>
        <v>Rick</v>
      </c>
      <c r="D1738" s="1" t="str">
        <f>IFERROR(__xludf.DUMMYFUNCTION("""COMPUTED_VALUE"""),"DG")</f>
        <v>DG</v>
      </c>
      <c r="E1738" s="1" t="str">
        <f>IFERROR(__xludf.DUMMYFUNCTION("""COMPUTED_VALUE"""),"Timothy Alvin Tanchanco ganyan na ba kahirap magturo sa bata ng tamang asal? Saang lugar ba yang inyo granehan yan")</f>
        <v>Timothy Alvin Tanchanco ganyan na ba kahirap magturo sa bata ng tamang asal? Saang lugar ba yang inyo granehan yan</v>
      </c>
      <c r="F1738" s="1"/>
      <c r="G1738" s="1" t="str">
        <f>IFERROR(__xludf.DUMMYFUNCTION("""COMPUTED_VALUE"""),"3 mos")</f>
        <v>3 mos</v>
      </c>
      <c r="H1738" s="1" t="str">
        <f>IFERROR(__xludf.DUMMYFUNCTION("""COMPUTED_VALUE"""),"reply")</f>
        <v>reply</v>
      </c>
      <c r="I1738" s="2" t="str">
        <f>IFERROR(__xludf.DUMMYFUNCTION("""COMPUTED_VALUE"""),"https://www.facebook.com/rapplerdotcom/photos/a.317154781638645/5595372260483511/")</f>
        <v>https://www.facebook.com/rapplerdotcom/photos/a.317154781638645/5595372260483511/</v>
      </c>
      <c r="J1738" s="1" t="str">
        <f>IFERROR(__xludf.DUMMYFUNCTION("""COMPUTED_VALUE"""),"2022-07-04T15:44:55.424Z")</f>
        <v>2022-07-04T15:44:55.424Z</v>
      </c>
      <c r="K1738" s="1"/>
    </row>
    <row r="1739">
      <c r="A1739" s="2" t="str">
        <f>IFERROR(__xludf.DUMMYFUNCTION("""COMPUTED_VALUE"""),"https://www.facebook.com/profile.php?id=100012286893622")</f>
        <v>https://www.facebook.com/profile.php?id=100012286893622</v>
      </c>
      <c r="B1739" s="1" t="str">
        <f>IFERROR(__xludf.DUMMYFUNCTION("""COMPUTED_VALUE"""),"Reyfol James Garcia")</f>
        <v>Reyfol James Garcia</v>
      </c>
      <c r="C1739" s="1" t="str">
        <f>IFERROR(__xludf.DUMMYFUNCTION("""COMPUTED_VALUE"""),"Reyfol")</f>
        <v>Reyfol</v>
      </c>
      <c r="D1739" s="1" t="str">
        <f>IFERROR(__xludf.DUMMYFUNCTION("""COMPUTED_VALUE"""),"James Garcia")</f>
        <v>James Garcia</v>
      </c>
      <c r="E1739" s="1" t="str">
        <f>IFERROR(__xludf.DUMMYFUNCTION("""COMPUTED_VALUE"""),"Rick DG what I mean is family problem.")</f>
        <v>Rick DG what I mean is family problem.</v>
      </c>
      <c r="F1739" s="1"/>
      <c r="G1739" s="1" t="str">
        <f>IFERROR(__xludf.DUMMYFUNCTION("""COMPUTED_VALUE"""),"3 mos")</f>
        <v>3 mos</v>
      </c>
      <c r="H1739" s="1" t="str">
        <f>IFERROR(__xludf.DUMMYFUNCTION("""COMPUTED_VALUE"""),"reply")</f>
        <v>reply</v>
      </c>
      <c r="I1739" s="2" t="str">
        <f>IFERROR(__xludf.DUMMYFUNCTION("""COMPUTED_VALUE"""),"https://www.facebook.com/rapplerdotcom/photos/a.317154781638645/5595372260483511/")</f>
        <v>https://www.facebook.com/rapplerdotcom/photos/a.317154781638645/5595372260483511/</v>
      </c>
      <c r="J1739" s="1" t="str">
        <f>IFERROR(__xludf.DUMMYFUNCTION("""COMPUTED_VALUE"""),"2022-07-04T15:44:55.424Z")</f>
        <v>2022-07-04T15:44:55.424Z</v>
      </c>
      <c r="K1739" s="1"/>
    </row>
    <row r="1740">
      <c r="A1740" s="2" t="str">
        <f>IFERROR(__xludf.DUMMYFUNCTION("""COMPUTED_VALUE"""),"https://www.facebook.com/icarro1821")</f>
        <v>https://www.facebook.com/icarro1821</v>
      </c>
      <c r="B1740" s="1" t="str">
        <f>IFERROR(__xludf.DUMMYFUNCTION("""COMPUTED_VALUE"""),"Rick DG")</f>
        <v>Rick DG</v>
      </c>
      <c r="C1740" s="1" t="str">
        <f>IFERROR(__xludf.DUMMYFUNCTION("""COMPUTED_VALUE"""),"Rick")</f>
        <v>Rick</v>
      </c>
      <c r="D1740" s="1" t="str">
        <f>IFERROR(__xludf.DUMMYFUNCTION("""COMPUTED_VALUE"""),"DG")</f>
        <v>DG</v>
      </c>
      <c r="E1740" s="1" t="str">
        <f>IFERROR(__xludf.DUMMYFUNCTION("""COMPUTED_VALUE"""),"Reyfol James Garcia so dapat kasama magulang sa school ng matuto din.")</f>
        <v>Reyfol James Garcia so dapat kasama magulang sa school ng matuto din.</v>
      </c>
      <c r="F1740" s="1"/>
      <c r="G1740" s="1" t="str">
        <f>IFERROR(__xludf.DUMMYFUNCTION("""COMPUTED_VALUE"""),"3 mos")</f>
        <v>3 mos</v>
      </c>
      <c r="H1740" s="1" t="str">
        <f>IFERROR(__xludf.DUMMYFUNCTION("""COMPUTED_VALUE"""),"reply")</f>
        <v>reply</v>
      </c>
      <c r="I1740" s="2" t="str">
        <f>IFERROR(__xludf.DUMMYFUNCTION("""COMPUTED_VALUE"""),"https://www.facebook.com/rapplerdotcom/photos/a.317154781638645/5595372260483511/")</f>
        <v>https://www.facebook.com/rapplerdotcom/photos/a.317154781638645/5595372260483511/</v>
      </c>
      <c r="J1740" s="1" t="str">
        <f>IFERROR(__xludf.DUMMYFUNCTION("""COMPUTED_VALUE"""),"2022-07-04T15:44:55.424Z")</f>
        <v>2022-07-04T15:44:55.424Z</v>
      </c>
      <c r="K1740" s="1"/>
    </row>
    <row r="1741">
      <c r="A1741" s="2" t="str">
        <f>IFERROR(__xludf.DUMMYFUNCTION("""COMPUTED_VALUE"""),"https://www.facebook.com/ttanchanco")</f>
        <v>https://www.facebook.com/ttanchanco</v>
      </c>
      <c r="B1741" s="1" t="str">
        <f>IFERROR(__xludf.DUMMYFUNCTION("""COMPUTED_VALUE"""),"Timothy Alvin Tanchanco")</f>
        <v>Timothy Alvin Tanchanco</v>
      </c>
      <c r="C1741" s="1" t="str">
        <f>IFERROR(__xludf.DUMMYFUNCTION("""COMPUTED_VALUE"""),"Timothy")</f>
        <v>Timothy</v>
      </c>
      <c r="D1741" s="1" t="str">
        <f>IFERROR(__xludf.DUMMYFUNCTION("""COMPUTED_VALUE"""),"Alvin Tanchanco")</f>
        <v>Alvin Tanchanco</v>
      </c>
      <c r="E1741" s="1" t="str">
        <f>IFERROR(__xludf.DUMMYFUNCTION("""COMPUTED_VALUE"""),"Rick DG Di mo talaga naiintindihan sinabi ko")</f>
        <v>Rick DG Di mo talaga naiintindihan sinabi ko</v>
      </c>
      <c r="F1741" s="1"/>
      <c r="G1741" s="1" t="str">
        <f>IFERROR(__xludf.DUMMYFUNCTION("""COMPUTED_VALUE"""),"3 mos")</f>
        <v>3 mos</v>
      </c>
      <c r="H1741" s="1" t="str">
        <f>IFERROR(__xludf.DUMMYFUNCTION("""COMPUTED_VALUE"""),"reply")</f>
        <v>reply</v>
      </c>
      <c r="I1741" s="2" t="str">
        <f>IFERROR(__xludf.DUMMYFUNCTION("""COMPUTED_VALUE"""),"https://www.facebook.com/rapplerdotcom/photos/a.317154781638645/5595372260483511/")</f>
        <v>https://www.facebook.com/rapplerdotcom/photos/a.317154781638645/5595372260483511/</v>
      </c>
      <c r="J1741" s="1" t="str">
        <f>IFERROR(__xludf.DUMMYFUNCTION("""COMPUTED_VALUE"""),"2022-07-04T15:44:55.424Z")</f>
        <v>2022-07-04T15:44:55.424Z</v>
      </c>
      <c r="K1741" s="1"/>
    </row>
    <row r="1742">
      <c r="A1742" s="2" t="str">
        <f>IFERROR(__xludf.DUMMYFUNCTION("""COMPUTED_VALUE"""),"https://www.facebook.com/profile.php?id=100012286893622")</f>
        <v>https://www.facebook.com/profile.php?id=100012286893622</v>
      </c>
      <c r="B1742" s="1" t="str">
        <f>IFERROR(__xludf.DUMMYFUNCTION("""COMPUTED_VALUE"""),"Reyfol James Garcia")</f>
        <v>Reyfol James Garcia</v>
      </c>
      <c r="C1742" s="1" t="str">
        <f>IFERROR(__xludf.DUMMYFUNCTION("""COMPUTED_VALUE"""),"Reyfol")</f>
        <v>Reyfol</v>
      </c>
      <c r="D1742" s="1" t="str">
        <f>IFERROR(__xludf.DUMMYFUNCTION("""COMPUTED_VALUE"""),"James Garcia")</f>
        <v>James Garcia</v>
      </c>
      <c r="E1742" s="1" t="str">
        <f>IFERROR(__xludf.DUMMYFUNCTION("""COMPUTED_VALUE"""),"Timothy Alvin Tanchanco agree. kahit pa tinuruan ng tama ng mga magulang. Mas malaki pa rin ang  impluwensya ng community.")</f>
        <v>Timothy Alvin Tanchanco agree. kahit pa tinuruan ng tama ng mga magulang. Mas malaki pa rin ang  impluwensya ng community.</v>
      </c>
      <c r="F1742" s="1">
        <f>IFERROR(__xludf.DUMMYFUNCTION("""COMPUTED_VALUE"""),2.0)</f>
        <v>2</v>
      </c>
      <c r="G1742" s="1" t="str">
        <f>IFERROR(__xludf.DUMMYFUNCTION("""COMPUTED_VALUE"""),"3 mos")</f>
        <v>3 mos</v>
      </c>
      <c r="H1742" s="1" t="str">
        <f>IFERROR(__xludf.DUMMYFUNCTION("""COMPUTED_VALUE"""),"reply")</f>
        <v>reply</v>
      </c>
      <c r="I1742" s="2" t="str">
        <f>IFERROR(__xludf.DUMMYFUNCTION("""COMPUTED_VALUE"""),"https://www.facebook.com/rapplerdotcom/photos/a.317154781638645/5595372260483511/")</f>
        <v>https://www.facebook.com/rapplerdotcom/photos/a.317154781638645/5595372260483511/</v>
      </c>
      <c r="J1742" s="1" t="str">
        <f>IFERROR(__xludf.DUMMYFUNCTION("""COMPUTED_VALUE"""),"2022-07-04T15:44:55.424Z")</f>
        <v>2022-07-04T15:44:55.424Z</v>
      </c>
      <c r="K1742" s="1"/>
    </row>
    <row r="1743">
      <c r="A1743" s="2" t="str">
        <f>IFERROR(__xludf.DUMMYFUNCTION("""COMPUTED_VALUE"""),"https://www.facebook.com/profile.php?id=100012286893622")</f>
        <v>https://www.facebook.com/profile.php?id=100012286893622</v>
      </c>
      <c r="B1743" s="1" t="str">
        <f>IFERROR(__xludf.DUMMYFUNCTION("""COMPUTED_VALUE"""),"Reyfol James Garcia")</f>
        <v>Reyfol James Garcia</v>
      </c>
      <c r="C1743" s="1" t="str">
        <f>IFERROR(__xludf.DUMMYFUNCTION("""COMPUTED_VALUE"""),"Reyfol")</f>
        <v>Reyfol</v>
      </c>
      <c r="D1743" s="1" t="str">
        <f>IFERROR(__xludf.DUMMYFUNCTION("""COMPUTED_VALUE"""),"James Garcia")</f>
        <v>James Garcia</v>
      </c>
      <c r="E1743" s="1" t="str">
        <f>IFERROR(__xludf.DUMMYFUNCTION("""COMPUTED_VALUE"""),"Rick DG ewan ko ba sayu.")</f>
        <v>Rick DG ewan ko ba sayu.</v>
      </c>
      <c r="F1743" s="1">
        <f>IFERROR(__xludf.DUMMYFUNCTION("""COMPUTED_VALUE"""),3.0)</f>
        <v>3</v>
      </c>
      <c r="G1743" s="1" t="str">
        <f>IFERROR(__xludf.DUMMYFUNCTION("""COMPUTED_VALUE"""),"3 mos")</f>
        <v>3 mos</v>
      </c>
      <c r="H1743" s="1" t="str">
        <f>IFERROR(__xludf.DUMMYFUNCTION("""COMPUTED_VALUE"""),"reply")</f>
        <v>reply</v>
      </c>
      <c r="I1743" s="2" t="str">
        <f>IFERROR(__xludf.DUMMYFUNCTION("""COMPUTED_VALUE"""),"https://www.facebook.com/rapplerdotcom/photos/a.317154781638645/5595372260483511/")</f>
        <v>https://www.facebook.com/rapplerdotcom/photos/a.317154781638645/5595372260483511/</v>
      </c>
      <c r="J1743" s="1" t="str">
        <f>IFERROR(__xludf.DUMMYFUNCTION("""COMPUTED_VALUE"""),"2022-07-04T15:44:55.424Z")</f>
        <v>2022-07-04T15:44:55.424Z</v>
      </c>
      <c r="K1743" s="1"/>
    </row>
    <row r="1744">
      <c r="A1744" s="2" t="str">
        <f>IFERROR(__xludf.DUMMYFUNCTION("""COMPUTED_VALUE"""),"https://www.facebook.com/ann070694")</f>
        <v>https://www.facebook.com/ann070694</v>
      </c>
      <c r="B1744" s="1" t="str">
        <f>IFERROR(__xludf.DUMMYFUNCTION("""COMPUTED_VALUE"""),"Ana Alfonso")</f>
        <v>Ana Alfonso</v>
      </c>
      <c r="C1744" s="1" t="str">
        <f>IFERROR(__xludf.DUMMYFUNCTION("""COMPUTED_VALUE"""),"Ana")</f>
        <v>Ana</v>
      </c>
      <c r="D1744" s="1" t="str">
        <f>IFERROR(__xludf.DUMMYFUNCTION("""COMPUTED_VALUE"""),"Alfonso")</f>
        <v>Alfonso</v>
      </c>
      <c r="E1744" s="1" t="str">
        <f>IFERROR(__xludf.DUMMYFUNCTION("""COMPUTED_VALUE"""),"Rick DG katanga mo grabe.")</f>
        <v>Rick DG katanga mo grabe.</v>
      </c>
      <c r="F1744" s="1"/>
      <c r="G1744" s="1" t="str">
        <f>IFERROR(__xludf.DUMMYFUNCTION("""COMPUTED_VALUE"""),"3 mos")</f>
        <v>3 mos</v>
      </c>
      <c r="H1744" s="1" t="str">
        <f>IFERROR(__xludf.DUMMYFUNCTION("""COMPUTED_VALUE"""),"reply")</f>
        <v>reply</v>
      </c>
      <c r="I1744" s="2" t="str">
        <f>IFERROR(__xludf.DUMMYFUNCTION("""COMPUTED_VALUE"""),"https://www.facebook.com/rapplerdotcom/photos/a.317154781638645/5595372260483511/")</f>
        <v>https://www.facebook.com/rapplerdotcom/photos/a.317154781638645/5595372260483511/</v>
      </c>
      <c r="J1744" s="1" t="str">
        <f>IFERROR(__xludf.DUMMYFUNCTION("""COMPUTED_VALUE"""),"2022-07-04T15:44:55.424Z")</f>
        <v>2022-07-04T15:44:55.424Z</v>
      </c>
      <c r="K1744" s="1"/>
    </row>
    <row r="1745">
      <c r="A1745" s="2" t="str">
        <f>IFERROR(__xludf.DUMMYFUNCTION("""COMPUTED_VALUE"""),"https://www.facebook.com/cyrilljoy.baldera.3")</f>
        <v>https://www.facebook.com/cyrilljoy.baldera.3</v>
      </c>
      <c r="B1745" s="1" t="str">
        <f>IFERROR(__xludf.DUMMYFUNCTION("""COMPUTED_VALUE"""),"Cyrill Joy Baldera")</f>
        <v>Cyrill Joy Baldera</v>
      </c>
      <c r="C1745" s="1" t="str">
        <f>IFERROR(__xludf.DUMMYFUNCTION("""COMPUTED_VALUE"""),"Cyrill")</f>
        <v>Cyrill</v>
      </c>
      <c r="D1745" s="1" t="str">
        <f>IFERROR(__xludf.DUMMYFUNCTION("""COMPUTED_VALUE"""),"Joy Baldera")</f>
        <v>Joy Baldera</v>
      </c>
      <c r="E1745" s="1" t="str">
        <f>IFERROR(__xludf.DUMMYFUNCTION("""COMPUTED_VALUE"""),"Rick DG  do u think everyone is blessed to have a good parents? Kaya nga it’s a big help lang ang sinabi niya she didn’t say buong sole responsibility.")</f>
        <v>Rick DG  do u think everyone is blessed to have a good parents? Kaya nga it’s a big help lang ang sinabi niya she didn’t say buong sole responsibility.</v>
      </c>
      <c r="F1745" s="1"/>
      <c r="G1745" s="1" t="str">
        <f>IFERROR(__xludf.DUMMYFUNCTION("""COMPUTED_VALUE"""),"3 mos")</f>
        <v>3 mos</v>
      </c>
      <c r="H1745" s="1" t="str">
        <f>IFERROR(__xludf.DUMMYFUNCTION("""COMPUTED_VALUE"""),"reply")</f>
        <v>reply</v>
      </c>
      <c r="I1745" s="2" t="str">
        <f>IFERROR(__xludf.DUMMYFUNCTION("""COMPUTED_VALUE"""),"https://www.facebook.com/rapplerdotcom/photos/a.317154781638645/5595372260483511/")</f>
        <v>https://www.facebook.com/rapplerdotcom/photos/a.317154781638645/5595372260483511/</v>
      </c>
      <c r="J1745" s="1" t="str">
        <f>IFERROR(__xludf.DUMMYFUNCTION("""COMPUTED_VALUE"""),"2022-07-04T15:44:55.424Z")</f>
        <v>2022-07-04T15:44:55.424Z</v>
      </c>
      <c r="K1745" s="1"/>
    </row>
    <row r="1746">
      <c r="A1746" s="2" t="str">
        <f>IFERROR(__xludf.DUMMYFUNCTION("""COMPUTED_VALUE"""),"https://www.facebook.com/icarro1821")</f>
        <v>https://www.facebook.com/icarro1821</v>
      </c>
      <c r="B1746" s="1" t="str">
        <f>IFERROR(__xludf.DUMMYFUNCTION("""COMPUTED_VALUE"""),"Rick DG")</f>
        <v>Rick DG</v>
      </c>
      <c r="C1746" s="1" t="str">
        <f>IFERROR(__xludf.DUMMYFUNCTION("""COMPUTED_VALUE"""),"Rick")</f>
        <v>Rick</v>
      </c>
      <c r="D1746" s="1" t="str">
        <f>IFERROR(__xludf.DUMMYFUNCTION("""COMPUTED_VALUE"""),"DG")</f>
        <v>DG</v>
      </c>
      <c r="E1746" s="1" t="str">
        <f>IFERROR(__xludf.DUMMYFUNCTION("""COMPUTED_VALUE"""),"Cyrill Joy Baldera pakitagalog nga")</f>
        <v>Cyrill Joy Baldera pakitagalog nga</v>
      </c>
      <c r="F1746" s="1"/>
      <c r="G1746" s="1" t="str">
        <f>IFERROR(__xludf.DUMMYFUNCTION("""COMPUTED_VALUE"""),"3 mos")</f>
        <v>3 mos</v>
      </c>
      <c r="H1746" s="1" t="str">
        <f>IFERROR(__xludf.DUMMYFUNCTION("""COMPUTED_VALUE"""),"reply")</f>
        <v>reply</v>
      </c>
      <c r="I1746" s="2" t="str">
        <f>IFERROR(__xludf.DUMMYFUNCTION("""COMPUTED_VALUE"""),"https://www.facebook.com/rapplerdotcom/photos/a.317154781638645/5595372260483511/")</f>
        <v>https://www.facebook.com/rapplerdotcom/photos/a.317154781638645/5595372260483511/</v>
      </c>
      <c r="J1746" s="1" t="str">
        <f>IFERROR(__xludf.DUMMYFUNCTION("""COMPUTED_VALUE"""),"2022-07-04T15:44:55.424Z")</f>
        <v>2022-07-04T15:44:55.424Z</v>
      </c>
      <c r="K1746" s="1"/>
    </row>
    <row r="1747">
      <c r="A1747" s="2" t="str">
        <f>IFERROR(__xludf.DUMMYFUNCTION("""COMPUTED_VALUE"""),"https://www.facebook.com/phoebe.delara.1")</f>
        <v>https://www.facebook.com/phoebe.delara.1</v>
      </c>
      <c r="B1747" s="1" t="str">
        <f>IFERROR(__xludf.DUMMYFUNCTION("""COMPUTED_VALUE"""),"Fi Bi")</f>
        <v>Fi Bi</v>
      </c>
      <c r="C1747" s="1" t="str">
        <f>IFERROR(__xludf.DUMMYFUNCTION("""COMPUTED_VALUE"""),"Fi")</f>
        <v>Fi</v>
      </c>
      <c r="D1747" s="1" t="str">
        <f>IFERROR(__xludf.DUMMYFUNCTION("""COMPUTED_VALUE"""),"Bi")</f>
        <v>Bi</v>
      </c>
      <c r="E1747" s="1" t="str">
        <f>IFERROR(__xludf.DUMMYFUNCTION("""COMPUTED_VALUE"""),"Rick DG Hindi nmn po lahat s tahanan natututunan, lumalabas din po ksi ang lahat. so community, church and government if magtutulungan atleast may significance n pwdeng mangyari..")</f>
        <v>Rick DG Hindi nmn po lahat s tahanan natututunan, lumalabas din po ksi ang lahat. so community, church and government if magtutulungan atleast may significance n pwdeng mangyari..</v>
      </c>
      <c r="F1747" s="1">
        <f>IFERROR(__xludf.DUMMYFUNCTION("""COMPUTED_VALUE"""),1.0)</f>
        <v>1</v>
      </c>
      <c r="G1747" s="1" t="str">
        <f>IFERROR(__xludf.DUMMYFUNCTION("""COMPUTED_VALUE"""),"3 mos")</f>
        <v>3 mos</v>
      </c>
      <c r="H1747" s="1" t="str">
        <f>IFERROR(__xludf.DUMMYFUNCTION("""COMPUTED_VALUE"""),"reply")</f>
        <v>reply</v>
      </c>
      <c r="I1747" s="2" t="str">
        <f>IFERROR(__xludf.DUMMYFUNCTION("""COMPUTED_VALUE"""),"https://www.facebook.com/rapplerdotcom/photos/a.317154781638645/5595372260483511/")</f>
        <v>https://www.facebook.com/rapplerdotcom/photos/a.317154781638645/5595372260483511/</v>
      </c>
      <c r="J1747" s="1" t="str">
        <f>IFERROR(__xludf.DUMMYFUNCTION("""COMPUTED_VALUE"""),"2022-07-04T15:44:55.424Z")</f>
        <v>2022-07-04T15:44:55.424Z</v>
      </c>
      <c r="K1747" s="1"/>
    </row>
    <row r="1748">
      <c r="A1748" s="2" t="str">
        <f>IFERROR(__xludf.DUMMYFUNCTION("""COMPUTED_VALUE"""),"https://www.facebook.com/icarro1821")</f>
        <v>https://www.facebook.com/icarro1821</v>
      </c>
      <c r="B1748" s="1" t="str">
        <f>IFERROR(__xludf.DUMMYFUNCTION("""COMPUTED_VALUE"""),"Rick DG")</f>
        <v>Rick DG</v>
      </c>
      <c r="C1748" s="1" t="str">
        <f>IFERROR(__xludf.DUMMYFUNCTION("""COMPUTED_VALUE"""),"Rick")</f>
        <v>Rick</v>
      </c>
      <c r="D1748" s="1" t="str">
        <f>IFERROR(__xludf.DUMMYFUNCTION("""COMPUTED_VALUE"""),"DG")</f>
        <v>DG</v>
      </c>
      <c r="E1748" s="1" t="str">
        <f>IFERROR(__xludf.DUMMYFUNCTION("""COMPUTED_VALUE"""),"ʚĩɞ Fi Bi ʚĩɞ so coparent ang simbahan at gobyerno?")</f>
        <v>ʚĩɞ Fi Bi ʚĩɞ so coparent ang simbahan at gobyerno?</v>
      </c>
      <c r="F1748" s="1"/>
      <c r="G1748" s="1" t="str">
        <f>IFERROR(__xludf.DUMMYFUNCTION("""COMPUTED_VALUE"""),"3 mos")</f>
        <v>3 mos</v>
      </c>
      <c r="H1748" s="1" t="str">
        <f>IFERROR(__xludf.DUMMYFUNCTION("""COMPUTED_VALUE"""),"reply")</f>
        <v>reply</v>
      </c>
      <c r="I1748" s="2" t="str">
        <f>IFERROR(__xludf.DUMMYFUNCTION("""COMPUTED_VALUE"""),"https://www.facebook.com/rapplerdotcom/photos/a.317154781638645/5595372260483511/")</f>
        <v>https://www.facebook.com/rapplerdotcom/photos/a.317154781638645/5595372260483511/</v>
      </c>
      <c r="J1748" s="1" t="str">
        <f>IFERROR(__xludf.DUMMYFUNCTION("""COMPUTED_VALUE"""),"2022-07-04T15:44:55.424Z")</f>
        <v>2022-07-04T15:44:55.424Z</v>
      </c>
      <c r="K1748" s="1"/>
    </row>
    <row r="1749">
      <c r="A1749" s="2" t="str">
        <f>IFERROR(__xludf.DUMMYFUNCTION("""COMPUTED_VALUE"""),"https://www.facebook.com/phoebe.delara.1")</f>
        <v>https://www.facebook.com/phoebe.delara.1</v>
      </c>
      <c r="B1749" s="1" t="str">
        <f>IFERROR(__xludf.DUMMYFUNCTION("""COMPUTED_VALUE"""),"Fi Bi")</f>
        <v>Fi Bi</v>
      </c>
      <c r="C1749" s="1" t="str">
        <f>IFERROR(__xludf.DUMMYFUNCTION("""COMPUTED_VALUE"""),"Fi")</f>
        <v>Fi</v>
      </c>
      <c r="D1749" s="1" t="str">
        <f>IFERROR(__xludf.DUMMYFUNCTION("""COMPUTED_VALUE"""),"Bi")</f>
        <v>Bi</v>
      </c>
      <c r="E1749" s="1" t="str">
        <f>IFERROR(__xludf.DUMMYFUNCTION("""COMPUTED_VALUE"""),"Rick DG sir Im into a teenage pregnancy. I have a wonderful and supportive parents. di nagkulang saan mang bagay. But since impulsiveness and curiosity plus the peer factor sinubukan ko un.. Kaya sir hindi lamang s loob ng tahanan natutunan lahat..")</f>
        <v>Rick DG sir Im into a teenage pregnancy. I have a wonderful and supportive parents. di nagkulang saan mang bagay. But since impulsiveness and curiosity plus the peer factor sinubukan ko un.. Kaya sir hindi lamang s loob ng tahanan natutunan lahat..</v>
      </c>
      <c r="F1749" s="1">
        <f>IFERROR(__xludf.DUMMYFUNCTION("""COMPUTED_VALUE"""),1.0)</f>
        <v>1</v>
      </c>
      <c r="G1749" s="1" t="str">
        <f>IFERROR(__xludf.DUMMYFUNCTION("""COMPUTED_VALUE"""),"3 mos")</f>
        <v>3 mos</v>
      </c>
      <c r="H1749" s="1" t="str">
        <f>IFERROR(__xludf.DUMMYFUNCTION("""COMPUTED_VALUE"""),"reply")</f>
        <v>reply</v>
      </c>
      <c r="I1749" s="2" t="str">
        <f>IFERROR(__xludf.DUMMYFUNCTION("""COMPUTED_VALUE"""),"https://www.facebook.com/rapplerdotcom/photos/a.317154781638645/5595372260483511/")</f>
        <v>https://www.facebook.com/rapplerdotcom/photos/a.317154781638645/5595372260483511/</v>
      </c>
      <c r="J1749" s="1" t="str">
        <f>IFERROR(__xludf.DUMMYFUNCTION("""COMPUTED_VALUE"""),"2022-07-04T15:44:55.424Z")</f>
        <v>2022-07-04T15:44:55.424Z</v>
      </c>
      <c r="K1749" s="1"/>
    </row>
    <row r="1750">
      <c r="A1750" s="2" t="str">
        <f>IFERROR(__xludf.DUMMYFUNCTION("""COMPUTED_VALUE"""),"https://www.facebook.com/BimBirimBimBim")</f>
        <v>https://www.facebook.com/BimBirimBimBim</v>
      </c>
      <c r="B1750" s="1" t="str">
        <f>IFERROR(__xludf.DUMMYFUNCTION("""COMPUTED_VALUE"""),"Bim Rodriguez")</f>
        <v>Bim Rodriguez</v>
      </c>
      <c r="C1750" s="1" t="str">
        <f>IFERROR(__xludf.DUMMYFUNCTION("""COMPUTED_VALUE"""),"Bim")</f>
        <v>Bim</v>
      </c>
      <c r="D1750" s="1" t="str">
        <f>IFERROR(__xludf.DUMMYFUNCTION("""COMPUTED_VALUE"""),"Rodriguez")</f>
        <v>Rodriguez</v>
      </c>
      <c r="E1750" s="1" t="str">
        <f>IFERROR(__xludf.DUMMYFUNCTION("""COMPUTED_VALUE"""),"Reyfol James Garcia every citizen is a part of community. It's a general term. Mapakasama mo pa pamilya mo o hinde.")</f>
        <v>Reyfol James Garcia every citizen is a part of community. It's a general term. Mapakasama mo pa pamilya mo o hinde.</v>
      </c>
      <c r="F1750" s="1">
        <f>IFERROR(__xludf.DUMMYFUNCTION("""COMPUTED_VALUE"""),1.0)</f>
        <v>1</v>
      </c>
      <c r="G1750" s="1" t="str">
        <f>IFERROR(__xludf.DUMMYFUNCTION("""COMPUTED_VALUE"""),"3 mos")</f>
        <v>3 mos</v>
      </c>
      <c r="H1750" s="1" t="str">
        <f>IFERROR(__xludf.DUMMYFUNCTION("""COMPUTED_VALUE"""),"reply")</f>
        <v>reply</v>
      </c>
      <c r="I1750" s="2" t="str">
        <f>IFERROR(__xludf.DUMMYFUNCTION("""COMPUTED_VALUE"""),"https://www.facebook.com/rapplerdotcom/photos/a.317154781638645/5595372260483511/")</f>
        <v>https://www.facebook.com/rapplerdotcom/photos/a.317154781638645/5595372260483511/</v>
      </c>
      <c r="J1750" s="1" t="str">
        <f>IFERROR(__xludf.DUMMYFUNCTION("""COMPUTED_VALUE"""),"2022-07-04T15:44:55.424Z")</f>
        <v>2022-07-04T15:44:55.424Z</v>
      </c>
      <c r="K1750" s="1"/>
    </row>
    <row r="1751">
      <c r="A1751" s="2" t="str">
        <f>IFERROR(__xludf.DUMMYFUNCTION("""COMPUTED_VALUE"""),"https://www.facebook.com/HaruldStories")</f>
        <v>https://www.facebook.com/HaruldStories</v>
      </c>
      <c r="B1751" s="1" t="str">
        <f>IFERROR(__xludf.DUMMYFUNCTION("""COMPUTED_VALUE"""),"Haruld Gabilan")</f>
        <v>Haruld Gabilan</v>
      </c>
      <c r="C1751" s="1" t="str">
        <f>IFERROR(__xludf.DUMMYFUNCTION("""COMPUTED_VALUE"""),"Haruld")</f>
        <v>Haruld</v>
      </c>
      <c r="D1751" s="1" t="str">
        <f>IFERROR(__xludf.DUMMYFUNCTION("""COMPUTED_VALUE"""),"Gabilan")</f>
        <v>Gabilan</v>
      </c>
      <c r="E1751" s="1" t="str">
        <f>IFERROR(__xludf.DUMMYFUNCTION("""COMPUTED_VALUE"""),"answers are still the medium of difference why acceptance to the development strategy into the needs in possible why problems are questions but support reaction.. in what ways?!!👍")</f>
        <v>answers are still the medium of difference why acceptance to the development strategy into the needs in possible why problems are questions but support reaction.. in what ways?!!👍</v>
      </c>
      <c r="F1751" s="1"/>
      <c r="G1751" s="1" t="str">
        <f>IFERROR(__xludf.DUMMYFUNCTION("""COMPUTED_VALUE"""),"3 mos")</f>
        <v>3 mos</v>
      </c>
      <c r="H1751" s="1" t="str">
        <f>IFERROR(__xludf.DUMMYFUNCTION("""COMPUTED_VALUE"""),"comment")</f>
        <v>comment</v>
      </c>
      <c r="I1751" s="2" t="str">
        <f>IFERROR(__xludf.DUMMYFUNCTION("""COMPUTED_VALUE"""),"https://www.facebook.com/rapplerdotcom/photos/a.317154781638645/5595372260483511/")</f>
        <v>https://www.facebook.com/rapplerdotcom/photos/a.317154781638645/5595372260483511/</v>
      </c>
      <c r="J1751" s="1" t="str">
        <f>IFERROR(__xludf.DUMMYFUNCTION("""COMPUTED_VALUE"""),"2022-07-04T15:44:55.424Z")</f>
        <v>2022-07-04T15:44:55.424Z</v>
      </c>
      <c r="K1751" s="1"/>
    </row>
    <row r="1752">
      <c r="A1752" s="2" t="str">
        <f>IFERROR(__xludf.DUMMYFUNCTION("""COMPUTED_VALUE"""),"https://www.facebook.com/profile.php?id=100000429193684")</f>
        <v>https://www.facebook.com/profile.php?id=100000429193684</v>
      </c>
      <c r="B1752" s="1" t="str">
        <f>IFERROR(__xludf.DUMMYFUNCTION("""COMPUTED_VALUE"""),"Harold Valdez Grande Jr")</f>
        <v>Harold Valdez Grande Jr</v>
      </c>
      <c r="C1752" s="1" t="str">
        <f>IFERROR(__xludf.DUMMYFUNCTION("""COMPUTED_VALUE"""),"Harold")</f>
        <v>Harold</v>
      </c>
      <c r="D1752" s="1" t="str">
        <f>IFERROR(__xludf.DUMMYFUNCTION("""COMPUTED_VALUE"""),"Valdez Grande Jr")</f>
        <v>Valdez Grande Jr</v>
      </c>
      <c r="E1752" s="1" t="str">
        <f>IFERROR(__xludf.DUMMYFUNCTION("""COMPUTED_VALUE"""),"Battlecry ng UNITEAM yan madam “PAGKAKAISA”")</f>
        <v>Battlecry ng UNITEAM yan madam “PAGKAKAISA”</v>
      </c>
      <c r="F1752" s="1">
        <f>IFERROR(__xludf.DUMMYFUNCTION("""COMPUTED_VALUE"""),4.0)</f>
        <v>4</v>
      </c>
      <c r="G1752" s="1" t="str">
        <f>IFERROR(__xludf.DUMMYFUNCTION("""COMPUTED_VALUE"""),"3 mos")</f>
        <v>3 mos</v>
      </c>
      <c r="H1752" s="1" t="str">
        <f>IFERROR(__xludf.DUMMYFUNCTION("""COMPUTED_VALUE"""),"comment")</f>
        <v>comment</v>
      </c>
      <c r="I1752" s="2" t="str">
        <f>IFERROR(__xludf.DUMMYFUNCTION("""COMPUTED_VALUE"""),"https://www.facebook.com/rapplerdotcom/photos/a.317154781638645/5595372260483511/")</f>
        <v>https://www.facebook.com/rapplerdotcom/photos/a.317154781638645/5595372260483511/</v>
      </c>
      <c r="J1752" s="1" t="str">
        <f>IFERROR(__xludf.DUMMYFUNCTION("""COMPUTED_VALUE"""),"2022-07-04T15:44:55.424Z")</f>
        <v>2022-07-04T15:44:55.424Z</v>
      </c>
      <c r="K1752" s="1"/>
    </row>
    <row r="1753">
      <c r="A1753" s="2" t="str">
        <f>IFERROR(__xludf.DUMMYFUNCTION("""COMPUTED_VALUE"""),"https://www.facebook.com/eva.jimenez.39794895")</f>
        <v>https://www.facebook.com/eva.jimenez.39794895</v>
      </c>
      <c r="B1753" s="1" t="str">
        <f>IFERROR(__xludf.DUMMYFUNCTION("""COMPUTED_VALUE"""),"Eva Jimenez")</f>
        <v>Eva Jimenez</v>
      </c>
      <c r="C1753" s="1" t="str">
        <f>IFERROR(__xludf.DUMMYFUNCTION("""COMPUTED_VALUE"""),"Eva")</f>
        <v>Eva</v>
      </c>
      <c r="D1753" s="1" t="str">
        <f>IFERROR(__xludf.DUMMYFUNCTION("""COMPUTED_VALUE"""),"Jimenez")</f>
        <v>Jimenez</v>
      </c>
      <c r="E1753" s="1" t="str">
        <f>IFERROR(__xludf.DUMMYFUNCTION("""COMPUTED_VALUE"""),"Churh daw,")</f>
        <v>Churh daw,</v>
      </c>
      <c r="F1753" s="1"/>
      <c r="G1753" s="1" t="str">
        <f>IFERROR(__xludf.DUMMYFUNCTION("""COMPUTED_VALUE"""),"3 mos")</f>
        <v>3 mos</v>
      </c>
      <c r="H1753" s="1" t="str">
        <f>IFERROR(__xludf.DUMMYFUNCTION("""COMPUTED_VALUE"""),"comment")</f>
        <v>comment</v>
      </c>
      <c r="I1753" s="2" t="str">
        <f>IFERROR(__xludf.DUMMYFUNCTION("""COMPUTED_VALUE"""),"https://www.facebook.com/rapplerdotcom/photos/a.317154781638645/5595372260483511/")</f>
        <v>https://www.facebook.com/rapplerdotcom/photos/a.317154781638645/5595372260483511/</v>
      </c>
      <c r="J1753" s="1" t="str">
        <f>IFERROR(__xludf.DUMMYFUNCTION("""COMPUTED_VALUE"""),"2022-07-04T15:44:55.424Z")</f>
        <v>2022-07-04T15:44:55.424Z</v>
      </c>
      <c r="K1753" s="1"/>
    </row>
    <row r="1754">
      <c r="A1754" s="2" t="str">
        <f>IFERROR(__xludf.DUMMYFUNCTION("""COMPUTED_VALUE"""),"https://www.facebook.com/profile.php?id=100073772812583")</f>
        <v>https://www.facebook.com/profile.php?id=100073772812583</v>
      </c>
      <c r="B1754" s="1" t="str">
        <f>IFERROR(__xludf.DUMMYFUNCTION("""COMPUTED_VALUE"""),"Justine Cortez")</f>
        <v>Justine Cortez</v>
      </c>
      <c r="C1754" s="1" t="str">
        <f>IFERROR(__xludf.DUMMYFUNCTION("""COMPUTED_VALUE"""),"Justine")</f>
        <v>Justine</v>
      </c>
      <c r="D1754" s="1" t="str">
        <f>IFERROR(__xludf.DUMMYFUNCTION("""COMPUTED_VALUE"""),"Cortez")</f>
        <v>Cortez</v>
      </c>
      <c r="E1754" s="1" t="str">
        <f>IFERROR(__xludf.DUMMYFUNCTION("""COMPUTED_VALUE"""),"Doon ako sa mabait 🎶 Doon ako sa magaling 🎶 JV EJERCITO 🎶🎶🎶  Basa lang walang kanta ah 😁")</f>
        <v>Doon ako sa mabait 🎶 Doon ako sa magaling 🎶 JV EJERCITO 🎶🎶🎶  Basa lang walang kanta ah 😁</v>
      </c>
      <c r="F1754" s="1">
        <f>IFERROR(__xludf.DUMMYFUNCTION("""COMPUTED_VALUE"""),2.0)</f>
        <v>2</v>
      </c>
      <c r="G1754" s="1" t="str">
        <f>IFERROR(__xludf.DUMMYFUNCTION("""COMPUTED_VALUE"""),"3 mos")</f>
        <v>3 mos</v>
      </c>
      <c r="H1754" s="1" t="str">
        <f>IFERROR(__xludf.DUMMYFUNCTION("""COMPUTED_VALUE"""),"comment")</f>
        <v>comment</v>
      </c>
      <c r="I1754" s="2" t="str">
        <f>IFERROR(__xludf.DUMMYFUNCTION("""COMPUTED_VALUE"""),"https://www.facebook.com/rapplerdotcom/photos/a.317154781638645/5595372260483511/")</f>
        <v>https://www.facebook.com/rapplerdotcom/photos/a.317154781638645/5595372260483511/</v>
      </c>
      <c r="J1754" s="1" t="str">
        <f>IFERROR(__xludf.DUMMYFUNCTION("""COMPUTED_VALUE"""),"2022-07-04T15:44:55.424Z")</f>
        <v>2022-07-04T15:44:55.424Z</v>
      </c>
      <c r="K1754" s="1"/>
    </row>
    <row r="1755">
      <c r="A1755" s="2" t="str">
        <f>IFERROR(__xludf.DUMMYFUNCTION("""COMPUTED_VALUE"""),"https://www.facebook.com/manuel.cero.750")</f>
        <v>https://www.facebook.com/manuel.cero.750</v>
      </c>
      <c r="B1755" s="1" t="str">
        <f>IFERROR(__xludf.DUMMYFUNCTION("""COMPUTED_VALUE"""),"Manuel Cero")</f>
        <v>Manuel Cero</v>
      </c>
      <c r="C1755" s="1" t="str">
        <f>IFERROR(__xludf.DUMMYFUNCTION("""COMPUTED_VALUE"""),"Manuel")</f>
        <v>Manuel</v>
      </c>
      <c r="D1755" s="1" t="str">
        <f>IFERROR(__xludf.DUMMYFUNCTION("""COMPUTED_VALUE"""),"Cero")</f>
        <v>Cero</v>
      </c>
      <c r="E1755" s="1" t="str">
        <f>IFERROR(__xludf.DUMMYFUNCTION("""COMPUTED_VALUE"""),"Ugali na Tama korekkkkkk")</f>
        <v>Ugali na Tama korekkkkkk</v>
      </c>
      <c r="F1755" s="1"/>
      <c r="G1755" s="1" t="str">
        <f>IFERROR(__xludf.DUMMYFUNCTION("""COMPUTED_VALUE"""),"3 mos")</f>
        <v>3 mos</v>
      </c>
      <c r="H1755" s="1" t="str">
        <f>IFERROR(__xludf.DUMMYFUNCTION("""COMPUTED_VALUE"""),"comment")</f>
        <v>comment</v>
      </c>
      <c r="I1755" s="2" t="str">
        <f>IFERROR(__xludf.DUMMYFUNCTION("""COMPUTED_VALUE"""),"https://www.facebook.com/rapplerdotcom/photos/a.317154781638645/5595372260483511/")</f>
        <v>https://www.facebook.com/rapplerdotcom/photos/a.317154781638645/5595372260483511/</v>
      </c>
      <c r="J1755" s="1" t="str">
        <f>IFERROR(__xludf.DUMMYFUNCTION("""COMPUTED_VALUE"""),"2022-07-04T15:44:55.424Z")</f>
        <v>2022-07-04T15:44:55.424Z</v>
      </c>
      <c r="K1755" s="1"/>
    </row>
    <row r="1756">
      <c r="A1756" s="2" t="str">
        <f>IFERROR(__xludf.DUMMYFUNCTION("""COMPUTED_VALUE"""),"https://www.facebook.com/rhey.olan.3")</f>
        <v>https://www.facebook.com/rhey.olan.3</v>
      </c>
      <c r="B1756" s="1" t="str">
        <f>IFERROR(__xludf.DUMMYFUNCTION("""COMPUTED_VALUE"""),"Reynaldo Tegio Olan")</f>
        <v>Reynaldo Tegio Olan</v>
      </c>
      <c r="C1756" s="1" t="str">
        <f>IFERROR(__xludf.DUMMYFUNCTION("""COMPUTED_VALUE"""),"Reynaldo")</f>
        <v>Reynaldo</v>
      </c>
      <c r="D1756" s="1" t="str">
        <f>IFERROR(__xludf.DUMMYFUNCTION("""COMPUTED_VALUE"""),"Tegio Olan")</f>
        <v>Tegio Olan</v>
      </c>
      <c r="E1756" s="1" t="str">
        <f>IFERROR(__xludf.DUMMYFUNCTION("""COMPUTED_VALUE"""),"Madami nang nagsav nyan😂 nasa tao Nayan")</f>
        <v>Madami nang nagsav nyan😂 nasa tao Nayan</v>
      </c>
      <c r="F1756" s="1"/>
      <c r="G1756" s="1" t="str">
        <f>IFERROR(__xludf.DUMMYFUNCTION("""COMPUTED_VALUE"""),"3 mos")</f>
        <v>3 mos</v>
      </c>
      <c r="H1756" s="1" t="str">
        <f>IFERROR(__xludf.DUMMYFUNCTION("""COMPUTED_VALUE"""),"comment")</f>
        <v>comment</v>
      </c>
      <c r="I1756" s="2" t="str">
        <f>IFERROR(__xludf.DUMMYFUNCTION("""COMPUTED_VALUE"""),"https://www.facebook.com/rapplerdotcom/photos/a.317154781638645/5595372260483511/")</f>
        <v>https://www.facebook.com/rapplerdotcom/photos/a.317154781638645/5595372260483511/</v>
      </c>
      <c r="J1756" s="1" t="str">
        <f>IFERROR(__xludf.DUMMYFUNCTION("""COMPUTED_VALUE"""),"2022-07-04T15:44:55.424Z")</f>
        <v>2022-07-04T15:44:55.424Z</v>
      </c>
      <c r="K1756" s="1"/>
    </row>
    <row r="1757">
      <c r="A1757" s="2" t="str">
        <f>IFERROR(__xludf.DUMMYFUNCTION("""COMPUTED_VALUE"""),"https://www.facebook.com/cezar.borja.96")</f>
        <v>https://www.facebook.com/cezar.borja.96</v>
      </c>
      <c r="B1757" s="1" t="str">
        <f>IFERROR(__xludf.DUMMYFUNCTION("""COMPUTED_VALUE"""),"Cezar Borja")</f>
        <v>Cezar Borja</v>
      </c>
      <c r="C1757" s="1" t="str">
        <f>IFERROR(__xludf.DUMMYFUNCTION("""COMPUTED_VALUE"""),"Cezar")</f>
        <v>Cezar</v>
      </c>
      <c r="D1757" s="1" t="str">
        <f>IFERROR(__xludf.DUMMYFUNCTION("""COMPUTED_VALUE"""),"Borja")</f>
        <v>Borja</v>
      </c>
      <c r="E1757" s="1" t="str">
        <f>IFERROR(__xludf.DUMMYFUNCTION("""COMPUTED_VALUE"""),"Tama po")</f>
        <v>Tama po</v>
      </c>
      <c r="F1757" s="1"/>
      <c r="G1757" s="1" t="str">
        <f>IFERROR(__xludf.DUMMYFUNCTION("""COMPUTED_VALUE"""),"3 mos")</f>
        <v>3 mos</v>
      </c>
      <c r="H1757" s="1" t="str">
        <f>IFERROR(__xludf.DUMMYFUNCTION("""COMPUTED_VALUE"""),"comment")</f>
        <v>comment</v>
      </c>
      <c r="I1757" s="2" t="str">
        <f>IFERROR(__xludf.DUMMYFUNCTION("""COMPUTED_VALUE"""),"https://www.facebook.com/rapplerdotcom/photos/a.317154781638645/5595372260483511/")</f>
        <v>https://www.facebook.com/rapplerdotcom/photos/a.317154781638645/5595372260483511/</v>
      </c>
      <c r="J1757" s="1" t="str">
        <f>IFERROR(__xludf.DUMMYFUNCTION("""COMPUTED_VALUE"""),"2022-07-04T15:44:55.425Z")</f>
        <v>2022-07-04T15:44:55.425Z</v>
      </c>
      <c r="K1757" s="1"/>
    </row>
    <row r="1758">
      <c r="A1758" s="2" t="str">
        <f>IFERROR(__xludf.DUMMYFUNCTION("""COMPUTED_VALUE"""),"https://www.facebook.com/inday.jayme.5")</f>
        <v>https://www.facebook.com/inday.jayme.5</v>
      </c>
      <c r="B1758" s="1" t="str">
        <f>IFERROR(__xludf.DUMMYFUNCTION("""COMPUTED_VALUE"""),"Inday Jayme")</f>
        <v>Inday Jayme</v>
      </c>
      <c r="C1758" s="1" t="str">
        <f>IFERROR(__xludf.DUMMYFUNCTION("""COMPUTED_VALUE"""),"Inday")</f>
        <v>Inday</v>
      </c>
      <c r="D1758" s="1" t="str">
        <f>IFERROR(__xludf.DUMMYFUNCTION("""COMPUTED_VALUE"""),"Jayme")</f>
        <v>Jayme</v>
      </c>
      <c r="E1758" s="1" t="str">
        <f>IFERROR(__xludf.DUMMYFUNCTION("""COMPUTED_VALUE"""),"Malakas ang Loob")</f>
        <v>Malakas ang Loob</v>
      </c>
      <c r="F1758" s="1"/>
      <c r="G1758" s="1" t="str">
        <f>IFERROR(__xludf.DUMMYFUNCTION("""COMPUTED_VALUE"""),"3 mos")</f>
        <v>3 mos</v>
      </c>
      <c r="H1758" s="1" t="str">
        <f>IFERROR(__xludf.DUMMYFUNCTION("""COMPUTED_VALUE"""),"comment")</f>
        <v>comment</v>
      </c>
      <c r="I1758" s="2" t="str">
        <f>IFERROR(__xludf.DUMMYFUNCTION("""COMPUTED_VALUE"""),"https://www.facebook.com/rapplerdotcom/photos/a.317154781638645/5595372260483511/")</f>
        <v>https://www.facebook.com/rapplerdotcom/photos/a.317154781638645/5595372260483511/</v>
      </c>
      <c r="J1758" s="1" t="str">
        <f>IFERROR(__xludf.DUMMYFUNCTION("""COMPUTED_VALUE"""),"2022-07-04T15:44:55.425Z")</f>
        <v>2022-07-04T15:44:55.425Z</v>
      </c>
      <c r="K1758" s="1"/>
    </row>
    <row r="1759">
      <c r="A1759" s="2" t="str">
        <f>IFERROR(__xludf.DUMMYFUNCTION("""COMPUTED_VALUE"""),"https://www.facebook.com/profile.php?id=100067656224446")</f>
        <v>https://www.facebook.com/profile.php?id=100067656224446</v>
      </c>
      <c r="B1759" s="1" t="str">
        <f>IFERROR(__xludf.DUMMYFUNCTION("""COMPUTED_VALUE"""),"Dave Ramos")</f>
        <v>Dave Ramos</v>
      </c>
      <c r="C1759" s="1" t="str">
        <f>IFERROR(__xludf.DUMMYFUNCTION("""COMPUTED_VALUE"""),"Dave")</f>
        <v>Dave</v>
      </c>
      <c r="D1759" s="1" t="str">
        <f>IFERROR(__xludf.DUMMYFUNCTION("""COMPUTED_VALUE"""),"Ramos")</f>
        <v>Ramos</v>
      </c>
      <c r="E1759" s="1" t="str">
        <f>IFERROR(__xludf.DUMMYFUNCTION("""COMPUTED_VALUE"""),"My President. We will make her win this May 2022.🌸🌸")</f>
        <v>My President. We will make her win this May 2022.🌸🌸</v>
      </c>
      <c r="F1759" s="1"/>
      <c r="G1759" s="1" t="str">
        <f>IFERROR(__xludf.DUMMYFUNCTION("""COMPUTED_VALUE"""),"3 mos")</f>
        <v>3 mos</v>
      </c>
      <c r="H1759" s="1" t="str">
        <f>IFERROR(__xludf.DUMMYFUNCTION("""COMPUTED_VALUE"""),"comment")</f>
        <v>comment</v>
      </c>
      <c r="I1759" s="2" t="str">
        <f>IFERROR(__xludf.DUMMYFUNCTION("""COMPUTED_VALUE"""),"https://www.facebook.com/rapplerdotcom/photos/a.317154781638645/5595372260483511/")</f>
        <v>https://www.facebook.com/rapplerdotcom/photos/a.317154781638645/5595372260483511/</v>
      </c>
      <c r="J1759" s="1" t="str">
        <f>IFERROR(__xludf.DUMMYFUNCTION("""COMPUTED_VALUE"""),"2022-07-04T15:44:55.425Z")</f>
        <v>2022-07-04T15:44:55.425Z</v>
      </c>
      <c r="K1759" s="1"/>
    </row>
    <row r="1760">
      <c r="A1760" s="2" t="str">
        <f>IFERROR(__xludf.DUMMYFUNCTION("""COMPUTED_VALUE"""),"https://www.facebook.com/pamilyado")</f>
        <v>https://www.facebook.com/pamilyado</v>
      </c>
      <c r="B1760" s="1" t="str">
        <f>IFERROR(__xludf.DUMMYFUNCTION("""COMPUTED_VALUE"""),"El Hombre")</f>
        <v>El Hombre</v>
      </c>
      <c r="C1760" s="1" t="str">
        <f>IFERROR(__xludf.DUMMYFUNCTION("""COMPUTED_VALUE"""),"El")</f>
        <v>El</v>
      </c>
      <c r="D1760" s="1" t="str">
        <f>IFERROR(__xludf.DUMMYFUNCTION("""COMPUTED_VALUE"""),"Hombre")</f>
        <v>Hombre</v>
      </c>
      <c r="E1760" s="1" t="str">
        <f>IFERROR(__xludf.DUMMYFUNCTION("""COMPUTED_VALUE"""),"Importante ang faith to solve this problem - Manny Pacquiao")</f>
        <v>Importante ang faith to solve this problem - Manny Pacquiao</v>
      </c>
      <c r="F1760" s="1"/>
      <c r="G1760" s="1" t="str">
        <f>IFERROR(__xludf.DUMMYFUNCTION("""COMPUTED_VALUE"""),"3 mos")</f>
        <v>3 mos</v>
      </c>
      <c r="H1760" s="1" t="str">
        <f>IFERROR(__xludf.DUMMYFUNCTION("""COMPUTED_VALUE"""),"comment")</f>
        <v>comment</v>
      </c>
      <c r="I1760" s="2" t="str">
        <f>IFERROR(__xludf.DUMMYFUNCTION("""COMPUTED_VALUE"""),"https://www.facebook.com/rapplerdotcom/photos/a.317154781638645/5595372260483511/")</f>
        <v>https://www.facebook.com/rapplerdotcom/photos/a.317154781638645/5595372260483511/</v>
      </c>
      <c r="J1760" s="1" t="str">
        <f>IFERROR(__xludf.DUMMYFUNCTION("""COMPUTED_VALUE"""),"2022-07-04T15:44:55.425Z")</f>
        <v>2022-07-04T15:44:55.425Z</v>
      </c>
      <c r="K1760" s="1"/>
    </row>
    <row r="1761">
      <c r="A1761" s="2" t="str">
        <f>IFERROR(__xludf.DUMMYFUNCTION("""COMPUTED_VALUE"""),"https://www.facebook.com/profile.php?id=100078937432698")</f>
        <v>https://www.facebook.com/profile.php?id=100078937432698</v>
      </c>
      <c r="B1761" s="1" t="str">
        <f>IFERROR(__xludf.DUMMYFUNCTION("""COMPUTED_VALUE"""),"Rose Busa")</f>
        <v>Rose Busa</v>
      </c>
      <c r="C1761" s="1" t="str">
        <f>IFERROR(__xludf.DUMMYFUNCTION("""COMPUTED_VALUE"""),"Rose")</f>
        <v>Rose</v>
      </c>
      <c r="D1761" s="1" t="str">
        <f>IFERROR(__xludf.DUMMYFUNCTION("""COMPUTED_VALUE"""),"Busa")</f>
        <v>Busa</v>
      </c>
      <c r="E1761" s="1" t="str">
        <f>IFERROR(__xludf.DUMMYFUNCTION("""COMPUTED_VALUE"""),"❤💚✌")</f>
        <v>❤💚✌</v>
      </c>
      <c r="F1761" s="1"/>
      <c r="G1761" s="1" t="str">
        <f>IFERROR(__xludf.DUMMYFUNCTION("""COMPUTED_VALUE"""),"3 mos")</f>
        <v>3 mos</v>
      </c>
      <c r="H1761" s="1" t="str">
        <f>IFERROR(__xludf.DUMMYFUNCTION("""COMPUTED_VALUE"""),"comment")</f>
        <v>comment</v>
      </c>
      <c r="I1761" s="2" t="str">
        <f>IFERROR(__xludf.DUMMYFUNCTION("""COMPUTED_VALUE"""),"https://www.facebook.com/rapplerdotcom/photos/a.317154781638645/5595372260483511/")</f>
        <v>https://www.facebook.com/rapplerdotcom/photos/a.317154781638645/5595372260483511/</v>
      </c>
      <c r="J1761" s="1" t="str">
        <f>IFERROR(__xludf.DUMMYFUNCTION("""COMPUTED_VALUE"""),"2022-07-04T15:44:55.425Z")</f>
        <v>2022-07-04T15:44:55.425Z</v>
      </c>
      <c r="K1761" s="1"/>
    </row>
    <row r="1762">
      <c r="A1762" s="2" t="str">
        <f>IFERROR(__xludf.DUMMYFUNCTION("""COMPUTED_VALUE"""),"https://www.facebook.com/michelle.v.gomonit")</f>
        <v>https://www.facebook.com/michelle.v.gomonit</v>
      </c>
      <c r="B1762" s="1" t="str">
        <f>IFERROR(__xludf.DUMMYFUNCTION("""COMPUTED_VALUE"""),"Michelle Jumicath Vale Gomonit")</f>
        <v>Michelle Jumicath Vale Gomonit</v>
      </c>
      <c r="C1762" s="1" t="str">
        <f>IFERROR(__xludf.DUMMYFUNCTION("""COMPUTED_VALUE"""),"Michelle")</f>
        <v>Michelle</v>
      </c>
      <c r="D1762" s="1" t="str">
        <f>IFERROR(__xludf.DUMMYFUNCTION("""COMPUTED_VALUE"""),"Jumicath Vale Gomonit")</f>
        <v>Jumicath Vale Gomonit</v>
      </c>
      <c r="E1762" s="1" t="str">
        <f>IFERROR(__xludf.DUMMYFUNCTION("""COMPUTED_VALUE"""),"PRAYERS AND FAITH TO GOD are the best weapon para sa atin lahat..")</f>
        <v>PRAYERS AND FAITH TO GOD are the best weapon para sa atin lahat..</v>
      </c>
      <c r="F1762" s="1"/>
      <c r="G1762" s="1" t="str">
        <f>IFERROR(__xludf.DUMMYFUNCTION("""COMPUTED_VALUE"""),"3 mos")</f>
        <v>3 mos</v>
      </c>
      <c r="H1762" s="1" t="str">
        <f>IFERROR(__xludf.DUMMYFUNCTION("""COMPUTED_VALUE"""),"comment")</f>
        <v>comment</v>
      </c>
      <c r="I1762" s="2" t="str">
        <f>IFERROR(__xludf.DUMMYFUNCTION("""COMPUTED_VALUE"""),"https://www.facebook.com/rapplerdotcom/photos/a.317154781638645/5595372260483511/")</f>
        <v>https://www.facebook.com/rapplerdotcom/photos/a.317154781638645/5595372260483511/</v>
      </c>
      <c r="J1762" s="1" t="str">
        <f>IFERROR(__xludf.DUMMYFUNCTION("""COMPUTED_VALUE"""),"2022-07-04T15:44:55.425Z")</f>
        <v>2022-07-04T15:44:55.425Z</v>
      </c>
      <c r="K1762" s="1"/>
    </row>
    <row r="1763">
      <c r="A1763" s="2" t="str">
        <f>IFERROR(__xludf.DUMMYFUNCTION("""COMPUTED_VALUE"""),"https://www.facebook.com/icmayordo")</f>
        <v>https://www.facebook.com/icmayordo</v>
      </c>
      <c r="B1763" s="1" t="str">
        <f>IFERROR(__xludf.DUMMYFUNCTION("""COMPUTED_VALUE"""),"Ian Christopher Mayordo")</f>
        <v>Ian Christopher Mayordo</v>
      </c>
      <c r="C1763" s="1" t="str">
        <f>IFERROR(__xludf.DUMMYFUNCTION("""COMPUTED_VALUE"""),"Ian")</f>
        <v>Ian</v>
      </c>
      <c r="D1763" s="1" t="str">
        <f>IFERROR(__xludf.DUMMYFUNCTION("""COMPUTED_VALUE"""),"Christopher Mayordo")</f>
        <v>Christopher Mayordo</v>
      </c>
      <c r="E1763" s="1" t="str">
        <f>IFERROR(__xludf.DUMMYFUNCTION("""COMPUTED_VALUE"""),"Edi tipaklong!")</f>
        <v>Edi tipaklong!</v>
      </c>
      <c r="F1763" s="1"/>
      <c r="G1763" s="1" t="str">
        <f>IFERROR(__xludf.DUMMYFUNCTION("""COMPUTED_VALUE"""),"3 mos")</f>
        <v>3 mos</v>
      </c>
      <c r="H1763" s="1" t="str">
        <f>IFERROR(__xludf.DUMMYFUNCTION("""COMPUTED_VALUE"""),"comment")</f>
        <v>comment</v>
      </c>
      <c r="I1763" s="2" t="str">
        <f>IFERROR(__xludf.DUMMYFUNCTION("""COMPUTED_VALUE"""),"https://www.facebook.com/rapplerdotcom/photos/a.317154781638645/5595372260483511/")</f>
        <v>https://www.facebook.com/rapplerdotcom/photos/a.317154781638645/5595372260483511/</v>
      </c>
      <c r="J1763" s="1" t="str">
        <f>IFERROR(__xludf.DUMMYFUNCTION("""COMPUTED_VALUE"""),"2022-07-04T15:44:55.425Z")</f>
        <v>2022-07-04T15:44:55.425Z</v>
      </c>
      <c r="K1763" s="1"/>
    </row>
    <row r="1764">
      <c r="A1764" s="2" t="str">
        <f>IFERROR(__xludf.DUMMYFUNCTION("""COMPUTED_VALUE"""),"https://www.facebook.com/eveloren.gulla")</f>
        <v>https://www.facebook.com/eveloren.gulla</v>
      </c>
      <c r="B1764" s="1" t="str">
        <f>IFERROR(__xludf.DUMMYFUNCTION("""COMPUTED_VALUE"""),"Ree Yah")</f>
        <v>Ree Yah</v>
      </c>
      <c r="C1764" s="1" t="str">
        <f>IFERROR(__xludf.DUMMYFUNCTION("""COMPUTED_VALUE"""),"Ree")</f>
        <v>Ree</v>
      </c>
      <c r="D1764" s="1" t="str">
        <f>IFERROR(__xludf.DUMMYFUNCTION("""COMPUTED_VALUE"""),"Yah")</f>
        <v>Yah</v>
      </c>
      <c r="E1764" s="1" t="str">
        <f>IFERROR(__xludf.DUMMYFUNCTION("""COMPUTED_VALUE"""),"Basta mag pray lang madam :)")</f>
        <v>Basta mag pray lang madam :)</v>
      </c>
      <c r="F1764" s="1"/>
      <c r="G1764" s="1" t="str">
        <f>IFERROR(__xludf.DUMMYFUNCTION("""COMPUTED_VALUE"""),"3 mos")</f>
        <v>3 mos</v>
      </c>
      <c r="H1764" s="1" t="str">
        <f>IFERROR(__xludf.DUMMYFUNCTION("""COMPUTED_VALUE"""),"comment")</f>
        <v>comment</v>
      </c>
      <c r="I1764" s="2" t="str">
        <f>IFERROR(__xludf.DUMMYFUNCTION("""COMPUTED_VALUE"""),"https://www.facebook.com/rapplerdotcom/photos/a.317154781638645/5595372260483511/")</f>
        <v>https://www.facebook.com/rapplerdotcom/photos/a.317154781638645/5595372260483511/</v>
      </c>
      <c r="J1764" s="1" t="str">
        <f>IFERROR(__xludf.DUMMYFUNCTION("""COMPUTED_VALUE"""),"2022-07-04T15:44:55.425Z")</f>
        <v>2022-07-04T15:44:55.425Z</v>
      </c>
      <c r="K1764" s="1"/>
    </row>
    <row r="1765">
      <c r="A1765" s="2" t="str">
        <f>IFERROR(__xludf.DUMMYFUNCTION("""COMPUTED_VALUE"""),"https://www.facebook.com/schezo12")</f>
        <v>https://www.facebook.com/schezo12</v>
      </c>
      <c r="B1765" s="1" t="str">
        <f>IFERROR(__xludf.DUMMYFUNCTION("""COMPUTED_VALUE"""),"Abd Shakur Indasan Amilhamja")</f>
        <v>Abd Shakur Indasan Amilhamja</v>
      </c>
      <c r="C1765" s="1" t="str">
        <f>IFERROR(__xludf.DUMMYFUNCTION("""COMPUTED_VALUE"""),"Abd")</f>
        <v>Abd</v>
      </c>
      <c r="D1765" s="1" t="str">
        <f>IFERROR(__xludf.DUMMYFUNCTION("""COMPUTED_VALUE"""),"Shakur Indasan Amilhamja")</f>
        <v>Shakur Indasan Amilhamja</v>
      </c>
      <c r="E1765" s="1" t="str">
        <f>IFERROR(__xludf.DUMMYFUNCTION("""COMPUTED_VALUE"""),"Amen🤥🤚")</f>
        <v>Amen🤥🤚</v>
      </c>
      <c r="F1765" s="1"/>
      <c r="G1765" s="1" t="str">
        <f>IFERROR(__xludf.DUMMYFUNCTION("""COMPUTED_VALUE"""),"3 mos")</f>
        <v>3 mos</v>
      </c>
      <c r="H1765" s="1" t="str">
        <f>IFERROR(__xludf.DUMMYFUNCTION("""COMPUTED_VALUE"""),"comment")</f>
        <v>comment</v>
      </c>
      <c r="I1765" s="2" t="str">
        <f>IFERROR(__xludf.DUMMYFUNCTION("""COMPUTED_VALUE"""),"https://www.facebook.com/rapplerdotcom/photos/a.317154781638645/5595372260483511/")</f>
        <v>https://www.facebook.com/rapplerdotcom/photos/a.317154781638645/5595372260483511/</v>
      </c>
      <c r="J1765" s="1" t="str">
        <f>IFERROR(__xludf.DUMMYFUNCTION("""COMPUTED_VALUE"""),"2022-07-04T15:44:55.425Z")</f>
        <v>2022-07-04T15:44:55.425Z</v>
      </c>
      <c r="K1765" s="1"/>
    </row>
    <row r="1766">
      <c r="A1766" s="2" t="str">
        <f>IFERROR(__xludf.DUMMYFUNCTION("""COMPUTED_VALUE"""),"https://www.facebook.com/ferdinandferdinandzein")</f>
        <v>https://www.facebook.com/ferdinandferdinandzein</v>
      </c>
      <c r="B1766" s="1" t="str">
        <f>IFERROR(__xludf.DUMMYFUNCTION("""COMPUTED_VALUE"""),"Zein Zein")</f>
        <v>Zein Zein</v>
      </c>
      <c r="C1766" s="1" t="str">
        <f>IFERROR(__xludf.DUMMYFUNCTION("""COMPUTED_VALUE"""),"Zein")</f>
        <v>Zein</v>
      </c>
      <c r="D1766" s="1" t="str">
        <f>IFERROR(__xludf.DUMMYFUNCTION("""COMPUTED_VALUE"""),"Zein")</f>
        <v>Zein</v>
      </c>
      <c r="E1766" s="1" t="str">
        <f>IFERROR(__xludf.DUMMYFUNCTION("""COMPUTED_VALUE"""),"Amen")</f>
        <v>Amen</v>
      </c>
      <c r="F1766" s="1"/>
      <c r="G1766" s="1" t="str">
        <f>IFERROR(__xludf.DUMMYFUNCTION("""COMPUTED_VALUE"""),"3 mos")</f>
        <v>3 mos</v>
      </c>
      <c r="H1766" s="1" t="str">
        <f>IFERROR(__xludf.DUMMYFUNCTION("""COMPUTED_VALUE"""),"comment")</f>
        <v>comment</v>
      </c>
      <c r="I1766" s="2" t="str">
        <f>IFERROR(__xludf.DUMMYFUNCTION("""COMPUTED_VALUE"""),"https://www.facebook.com/rapplerdotcom/photos/a.317154781638645/5595372260483511/")</f>
        <v>https://www.facebook.com/rapplerdotcom/photos/a.317154781638645/5595372260483511/</v>
      </c>
      <c r="J1766" s="1" t="str">
        <f>IFERROR(__xludf.DUMMYFUNCTION("""COMPUTED_VALUE"""),"2022-07-04T15:44:55.425Z")</f>
        <v>2022-07-04T15:44:55.425Z</v>
      </c>
      <c r="K1766" s="1"/>
    </row>
    <row r="1767">
      <c r="A1767" s="2" t="str">
        <f>IFERROR(__xludf.DUMMYFUNCTION("""COMPUTED_VALUE"""),"https://www.facebook.com/ed.saenz")</f>
        <v>https://www.facebook.com/ed.saenz</v>
      </c>
      <c r="B1767" s="1" t="str">
        <f>IFERROR(__xludf.DUMMYFUNCTION("""COMPUTED_VALUE"""),"E.G. Saenz")</f>
        <v>E.G. Saenz</v>
      </c>
      <c r="C1767" s="1" t="str">
        <f>IFERROR(__xludf.DUMMYFUNCTION("""COMPUTED_VALUE"""),"E.G.")</f>
        <v>E.G.</v>
      </c>
      <c r="D1767" s="1" t="str">
        <f>IFERROR(__xludf.DUMMYFUNCTION("""COMPUTED_VALUE"""),"Saenz")</f>
        <v>Saenz</v>
      </c>
      <c r="E1767" s="1" t="str">
        <f>IFERROR(__xludf.DUMMYFUNCTION("""COMPUTED_VALUE"""),"Hay naku wala yan kay Junior... solusyon sa teenage pregnancy... Unity!")</f>
        <v>Hay naku wala yan kay Junior... solusyon sa teenage pregnancy... Unity!</v>
      </c>
      <c r="F1767" s="1">
        <f>IFERROR(__xludf.DUMMYFUNCTION("""COMPUTED_VALUE"""),2.0)</f>
        <v>2</v>
      </c>
      <c r="G1767" s="1" t="str">
        <f>IFERROR(__xludf.DUMMYFUNCTION("""COMPUTED_VALUE"""),"3 mos")</f>
        <v>3 mos</v>
      </c>
      <c r="H1767" s="1" t="str">
        <f>IFERROR(__xludf.DUMMYFUNCTION("""COMPUTED_VALUE"""),"comment")</f>
        <v>comment</v>
      </c>
      <c r="I1767" s="2" t="str">
        <f>IFERROR(__xludf.DUMMYFUNCTION("""COMPUTED_VALUE"""),"https://www.facebook.com/rapplerdotcom/photos/a.317154781638645/5595372260483511/")</f>
        <v>https://www.facebook.com/rapplerdotcom/photos/a.317154781638645/5595372260483511/</v>
      </c>
      <c r="J1767" s="1" t="str">
        <f>IFERROR(__xludf.DUMMYFUNCTION("""COMPUTED_VALUE"""),"2022-07-04T15:44:55.425Z")</f>
        <v>2022-07-04T15:44:55.425Z</v>
      </c>
      <c r="K1767" s="1"/>
    </row>
    <row r="1768">
      <c r="A1768" s="2" t="str">
        <f>IFERROR(__xludf.DUMMYFUNCTION("""COMPUTED_VALUE"""),"https://www.facebook.com/edwin.portillo.100")</f>
        <v>https://www.facebook.com/edwin.portillo.100</v>
      </c>
      <c r="B1768" s="1" t="str">
        <f>IFERROR(__xludf.DUMMYFUNCTION("""COMPUTED_VALUE"""),"Edwin Portillo")</f>
        <v>Edwin Portillo</v>
      </c>
      <c r="C1768" s="1" t="str">
        <f>IFERROR(__xludf.DUMMYFUNCTION("""COMPUTED_VALUE"""),"Edwin")</f>
        <v>Edwin</v>
      </c>
      <c r="D1768" s="1" t="str">
        <f>IFERROR(__xludf.DUMMYFUNCTION("""COMPUTED_VALUE"""),"Portillo")</f>
        <v>Portillo</v>
      </c>
      <c r="E1768" s="1" t="str">
        <f>IFERROR(__xludf.DUMMYFUNCTION("""COMPUTED_VALUE"""),"ito yung may maliwang na mensahe at pamamaraan ng salitang unity,  HINDI UNI-THIEVES ni narcos jr. at sara!  ang layo kaya ng pinagkaiba nun! 😅😂🤣")</f>
        <v>ito yung may maliwang na mensahe at pamamaraan ng salitang unity,  HINDI UNI-THIEVES ni narcos jr. at sara!  ang layo kaya ng pinagkaiba nun! 😅😂🤣</v>
      </c>
      <c r="F1768" s="1">
        <f>IFERROR(__xludf.DUMMYFUNCTION("""COMPUTED_VALUE"""),3.0)</f>
        <v>3</v>
      </c>
      <c r="G1768" s="1" t="str">
        <f>IFERROR(__xludf.DUMMYFUNCTION("""COMPUTED_VALUE"""),"3 mos")</f>
        <v>3 mos</v>
      </c>
      <c r="H1768" s="1" t="str">
        <f>IFERROR(__xludf.DUMMYFUNCTION("""COMPUTED_VALUE"""),"comment")</f>
        <v>comment</v>
      </c>
      <c r="I1768" s="2" t="str">
        <f>IFERROR(__xludf.DUMMYFUNCTION("""COMPUTED_VALUE"""),"https://www.facebook.com/rapplerdotcom/photos/a.317154781638645/5595372260483511/")</f>
        <v>https://www.facebook.com/rapplerdotcom/photos/a.317154781638645/5595372260483511/</v>
      </c>
      <c r="J1768" s="1" t="str">
        <f>IFERROR(__xludf.DUMMYFUNCTION("""COMPUTED_VALUE"""),"2022-07-04T15:44:55.425Z")</f>
        <v>2022-07-04T15:44:55.425Z</v>
      </c>
      <c r="K1768" s="1"/>
    </row>
    <row r="1769">
      <c r="A1769" s="2" t="str">
        <f>IFERROR(__xludf.DUMMYFUNCTION("""COMPUTED_VALUE"""),"https://www.facebook.com/rohan2009")</f>
        <v>https://www.facebook.com/rohan2009</v>
      </c>
      <c r="B1769" s="1" t="str">
        <f>IFERROR(__xludf.DUMMYFUNCTION("""COMPUTED_VALUE"""),"Nan Nan")</f>
        <v>Nan Nan</v>
      </c>
      <c r="C1769" s="1" t="str">
        <f>IFERROR(__xludf.DUMMYFUNCTION("""COMPUTED_VALUE"""),"Nan")</f>
        <v>Nan</v>
      </c>
      <c r="D1769" s="1" t="str">
        <f>IFERROR(__xludf.DUMMYFUNCTION("""COMPUTED_VALUE"""),"Nan")</f>
        <v>Nan</v>
      </c>
      <c r="E1769" s="1" t="str">
        <f>IFERROR(__xludf.DUMMYFUNCTION("""COMPUTED_VALUE"""),"Nag gagamitan lang kayo ng Simbahan😕")</f>
        <v>Nag gagamitan lang kayo ng Simbahan😕</v>
      </c>
      <c r="F1769" s="1">
        <f>IFERROR(__xludf.DUMMYFUNCTION("""COMPUTED_VALUE"""),4.0)</f>
        <v>4</v>
      </c>
      <c r="G1769" s="1" t="str">
        <f>IFERROR(__xludf.DUMMYFUNCTION("""COMPUTED_VALUE"""),"3 mos")</f>
        <v>3 mos</v>
      </c>
      <c r="H1769" s="1" t="str">
        <f>IFERROR(__xludf.DUMMYFUNCTION("""COMPUTED_VALUE"""),"comment")</f>
        <v>comment</v>
      </c>
      <c r="I1769" s="2" t="str">
        <f>IFERROR(__xludf.DUMMYFUNCTION("""COMPUTED_VALUE"""),"https://www.facebook.com/rapplerdotcom/photos/a.317154781638645/5595372260483511/")</f>
        <v>https://www.facebook.com/rapplerdotcom/photos/a.317154781638645/5595372260483511/</v>
      </c>
      <c r="J1769" s="1" t="str">
        <f>IFERROR(__xludf.DUMMYFUNCTION("""COMPUTED_VALUE"""),"2022-07-04T15:44:55.425Z")</f>
        <v>2022-07-04T15:44:55.425Z</v>
      </c>
      <c r="K1769" s="1"/>
    </row>
    <row r="1770">
      <c r="A1770" s="2" t="str">
        <f>IFERROR(__xludf.DUMMYFUNCTION("""COMPUTED_VALUE"""),"https://www.facebook.com/jerome.sebedorio")</f>
        <v>https://www.facebook.com/jerome.sebedorio</v>
      </c>
      <c r="B1770" s="1" t="str">
        <f>IFERROR(__xludf.DUMMYFUNCTION("""COMPUTED_VALUE"""),"Jerome Sebedorio")</f>
        <v>Jerome Sebedorio</v>
      </c>
      <c r="C1770" s="1" t="str">
        <f>IFERROR(__xludf.DUMMYFUNCTION("""COMPUTED_VALUE"""),"Jerome")</f>
        <v>Jerome</v>
      </c>
      <c r="D1770" s="1" t="str">
        <f>IFERROR(__xludf.DUMMYFUNCTION("""COMPUTED_VALUE"""),"Sebedorio")</f>
        <v>Sebedorio</v>
      </c>
      <c r="E1770" s="1" t="str">
        <f>IFERROR(__xludf.DUMMYFUNCTION("""COMPUTED_VALUE"""),"Nan Nan atleast si Jesus ang Diyos hindi si quiboloy❤️💚✌️")</f>
        <v>Nan Nan atleast si Jesus ang Diyos hindi si quiboloy❤️💚✌️</v>
      </c>
      <c r="F1770" s="1"/>
      <c r="G1770" s="1" t="str">
        <f>IFERROR(__xludf.DUMMYFUNCTION("""COMPUTED_VALUE"""),"3 mos")</f>
        <v>3 mos</v>
      </c>
      <c r="H1770" s="1" t="str">
        <f>IFERROR(__xludf.DUMMYFUNCTION("""COMPUTED_VALUE"""),"reply")</f>
        <v>reply</v>
      </c>
      <c r="I1770" s="2" t="str">
        <f>IFERROR(__xludf.DUMMYFUNCTION("""COMPUTED_VALUE"""),"https://www.facebook.com/rapplerdotcom/photos/a.317154781638645/5595372260483511/")</f>
        <v>https://www.facebook.com/rapplerdotcom/photos/a.317154781638645/5595372260483511/</v>
      </c>
      <c r="J1770" s="1" t="str">
        <f>IFERROR(__xludf.DUMMYFUNCTION("""COMPUTED_VALUE"""),"2022-07-04T15:44:55.425Z")</f>
        <v>2022-07-04T15:44:55.425Z</v>
      </c>
      <c r="K1770" s="1"/>
    </row>
    <row r="1771">
      <c r="A1771" s="2" t="str">
        <f>IFERROR(__xludf.DUMMYFUNCTION("""COMPUTED_VALUE"""),"https://www.facebook.com/cyrilljoy.baldera.3")</f>
        <v>https://www.facebook.com/cyrilljoy.baldera.3</v>
      </c>
      <c r="B1771" s="1" t="str">
        <f>IFERROR(__xludf.DUMMYFUNCTION("""COMPUTED_VALUE"""),"Cyrill Joy Baldera")</f>
        <v>Cyrill Joy Baldera</v>
      </c>
      <c r="C1771" s="1" t="str">
        <f>IFERROR(__xludf.DUMMYFUNCTION("""COMPUTED_VALUE"""),"Cyrill")</f>
        <v>Cyrill</v>
      </c>
      <c r="D1771" s="1" t="str">
        <f>IFERROR(__xludf.DUMMYFUNCTION("""COMPUTED_VALUE"""),"Joy Baldera")</f>
        <v>Joy Baldera</v>
      </c>
      <c r="E1771" s="1" t="str">
        <f>IFERROR(__xludf.DUMMYFUNCTION("""COMPUTED_VALUE"""),"Nan Nan  atleast hindi si Quiboloy na wanted sa US😊")</f>
        <v>Nan Nan  atleast hindi si Quiboloy na wanted sa US😊</v>
      </c>
      <c r="F1771" s="1"/>
      <c r="G1771" s="1" t="str">
        <f>IFERROR(__xludf.DUMMYFUNCTION("""COMPUTED_VALUE"""),"3 mos")</f>
        <v>3 mos</v>
      </c>
      <c r="H1771" s="1" t="str">
        <f>IFERROR(__xludf.DUMMYFUNCTION("""COMPUTED_VALUE"""),"reply")</f>
        <v>reply</v>
      </c>
      <c r="I1771" s="2" t="str">
        <f>IFERROR(__xludf.DUMMYFUNCTION("""COMPUTED_VALUE"""),"https://www.facebook.com/rapplerdotcom/photos/a.317154781638645/5595372260483511/")</f>
        <v>https://www.facebook.com/rapplerdotcom/photos/a.317154781638645/5595372260483511/</v>
      </c>
      <c r="J1771" s="1" t="str">
        <f>IFERROR(__xludf.DUMMYFUNCTION("""COMPUTED_VALUE"""),"2022-07-04T15:44:55.425Z")</f>
        <v>2022-07-04T15:44:55.425Z</v>
      </c>
      <c r="K1771" s="1"/>
    </row>
    <row r="1772">
      <c r="A1772" s="2" t="str">
        <f>IFERROR(__xludf.DUMMYFUNCTION("""COMPUTED_VALUE"""),"https://www.facebook.com/emilyanne.viar.50")</f>
        <v>https://www.facebook.com/emilyanne.viar.50</v>
      </c>
      <c r="B1772" s="1" t="str">
        <f>IFERROR(__xludf.DUMMYFUNCTION("""COMPUTED_VALUE"""),"Emily Anne Viar")</f>
        <v>Emily Anne Viar</v>
      </c>
      <c r="C1772" s="1" t="str">
        <f>IFERROR(__xludf.DUMMYFUNCTION("""COMPUTED_VALUE"""),"Emily")</f>
        <v>Emily</v>
      </c>
      <c r="D1772" s="1" t="str">
        <f>IFERROR(__xludf.DUMMYFUNCTION("""COMPUTED_VALUE"""),"Anne Viar")</f>
        <v>Anne Viar</v>
      </c>
      <c r="E1772" s="1" t="str">
        <f>IFERROR(__xludf.DUMMYFUNCTION("""COMPUTED_VALUE"""),"kuya Louigie Bautista Santos tama bang husgahan ninyo ang nasa kabilang partido? to be prank hindi kayo patas")</f>
        <v>kuya Louigie Bautista Santos tama bang husgahan ninyo ang nasa kabilang partido? to be prank hindi kayo patas</v>
      </c>
      <c r="F1772" s="1"/>
      <c r="G1772" s="1" t="str">
        <f>IFERROR(__xludf.DUMMYFUNCTION("""COMPUTED_VALUE"""),"3 mos")</f>
        <v>3 mos</v>
      </c>
      <c r="H1772" s="1" t="str">
        <f>IFERROR(__xludf.DUMMYFUNCTION("""COMPUTED_VALUE"""),"comment")</f>
        <v>comment</v>
      </c>
      <c r="I1772" s="2" t="str">
        <f>IFERROR(__xludf.DUMMYFUNCTION("""COMPUTED_VALUE"""),"https://www.facebook.com/rapplerdotcom/photos/a.317154781638645/5595372260483511/")</f>
        <v>https://www.facebook.com/rapplerdotcom/photos/a.317154781638645/5595372260483511/</v>
      </c>
      <c r="J1772" s="1" t="str">
        <f>IFERROR(__xludf.DUMMYFUNCTION("""COMPUTED_VALUE"""),"2022-07-04T15:44:55.425Z")</f>
        <v>2022-07-04T15:44:55.425Z</v>
      </c>
      <c r="K1772" s="1"/>
    </row>
    <row r="1773">
      <c r="A1773" s="2" t="str">
        <f>IFERROR(__xludf.DUMMYFUNCTION("""COMPUTED_VALUE"""),"https://www.facebook.com/wagakopre123")</f>
        <v>https://www.facebook.com/wagakopre123</v>
      </c>
      <c r="B1773" s="1" t="str">
        <f>IFERROR(__xludf.DUMMYFUNCTION("""COMPUTED_VALUE"""),"Summers Philip")</f>
        <v>Summers Philip</v>
      </c>
      <c r="C1773" s="1" t="str">
        <f>IFERROR(__xludf.DUMMYFUNCTION("""COMPUTED_VALUE"""),"Summers")</f>
        <v>Summers</v>
      </c>
      <c r="D1773" s="1" t="str">
        <f>IFERROR(__xludf.DUMMYFUNCTION("""COMPUTED_VALUE"""),"Philip")</f>
        <v>Philip</v>
      </c>
      <c r="E1773" s="1" t="str">
        <f>IFERROR(__xludf.DUMMYFUNCTION("""COMPUTED_VALUE"""),"Eto yung example sa kanta ng Yano!! Banal na Aso Santong Kabayo")</f>
        <v>Eto yung example sa kanta ng Yano!! Banal na Aso Santong Kabayo</v>
      </c>
      <c r="F1773" s="1"/>
      <c r="G1773" s="1" t="str">
        <f>IFERROR(__xludf.DUMMYFUNCTION("""COMPUTED_VALUE"""),"3 mos")</f>
        <v>3 mos</v>
      </c>
      <c r="H1773" s="1" t="str">
        <f>IFERROR(__xludf.DUMMYFUNCTION("""COMPUTED_VALUE"""),"comment")</f>
        <v>comment</v>
      </c>
      <c r="I1773" s="2" t="str">
        <f>IFERROR(__xludf.DUMMYFUNCTION("""COMPUTED_VALUE"""),"https://www.facebook.com/rapplerdotcom/photos/a.317154781638645/5595372260483511/")</f>
        <v>https://www.facebook.com/rapplerdotcom/photos/a.317154781638645/5595372260483511/</v>
      </c>
      <c r="J1773" s="1" t="str">
        <f>IFERROR(__xludf.DUMMYFUNCTION("""COMPUTED_VALUE"""),"2022-07-04T15:44:55.425Z")</f>
        <v>2022-07-04T15:44:55.425Z</v>
      </c>
      <c r="K1773" s="1"/>
    </row>
    <row r="1774">
      <c r="A1774" s="2" t="str">
        <f>IFERROR(__xludf.DUMMYFUNCTION("""COMPUTED_VALUE"""),"https://www.facebook.com/mussulleni.vega")</f>
        <v>https://www.facebook.com/mussulleni.vega</v>
      </c>
      <c r="B1774" s="1" t="str">
        <f>IFERROR(__xludf.DUMMYFUNCTION("""COMPUTED_VALUE"""),"Mussulleni Vega")</f>
        <v>Mussulleni Vega</v>
      </c>
      <c r="C1774" s="1" t="str">
        <f>IFERROR(__xludf.DUMMYFUNCTION("""COMPUTED_VALUE"""),"Mussulleni")</f>
        <v>Mussulleni</v>
      </c>
      <c r="D1774" s="1" t="str">
        <f>IFERROR(__xludf.DUMMYFUNCTION("""COMPUTED_VALUE"""),"Vega")</f>
        <v>Vega</v>
      </c>
      <c r="E1774" s="1" t="str">
        <f>IFERROR(__xludf.DUMMYFUNCTION("""COMPUTED_VALUE"""),"Mga obispo na taliwas din ang utak kaya kasama kau")</f>
        <v>Mga obispo na taliwas din ang utak kaya kasama kau</v>
      </c>
      <c r="F1774" s="1"/>
      <c r="G1774" s="1" t="str">
        <f>IFERROR(__xludf.DUMMYFUNCTION("""COMPUTED_VALUE"""),"3 mos")</f>
        <v>3 mos</v>
      </c>
      <c r="H1774" s="1" t="str">
        <f>IFERROR(__xludf.DUMMYFUNCTION("""COMPUTED_VALUE"""),"comment")</f>
        <v>comment</v>
      </c>
      <c r="I1774" s="2" t="str">
        <f>IFERROR(__xludf.DUMMYFUNCTION("""COMPUTED_VALUE"""),"https://www.facebook.com/rapplerdotcom/photos/a.317154781638645/5595372260483511/")</f>
        <v>https://www.facebook.com/rapplerdotcom/photos/a.317154781638645/5595372260483511/</v>
      </c>
      <c r="J1774" s="1" t="str">
        <f>IFERROR(__xludf.DUMMYFUNCTION("""COMPUTED_VALUE"""),"2022-07-04T15:44:55.425Z")</f>
        <v>2022-07-04T15:44:55.425Z</v>
      </c>
      <c r="K1774" s="1"/>
    </row>
    <row r="1775">
      <c r="A1775" s="2" t="str">
        <f>IFERROR(__xludf.DUMMYFUNCTION("""COMPUTED_VALUE"""),"https://www.facebook.com/jasperg5")</f>
        <v>https://www.facebook.com/jasperg5</v>
      </c>
      <c r="B1775" s="1" t="str">
        <f>IFERROR(__xludf.DUMMYFUNCTION("""COMPUTED_VALUE"""),"Jasper Ian Lopez Gonzales")</f>
        <v>Jasper Ian Lopez Gonzales</v>
      </c>
      <c r="C1775" s="1" t="str">
        <f>IFERROR(__xludf.DUMMYFUNCTION("""COMPUTED_VALUE"""),"Jasper")</f>
        <v>Jasper</v>
      </c>
      <c r="D1775" s="1" t="str">
        <f>IFERROR(__xludf.DUMMYFUNCTION("""COMPUTED_VALUE"""),"Ian Lopez Gonzales")</f>
        <v>Ian Lopez Gonzales</v>
      </c>
      <c r="E1775" s="1" t="str">
        <f>IFERROR(__xludf.DUMMYFUNCTION("""COMPUTED_VALUE"""),"Makulay ang teleserye dito sa channel ni VP.")</f>
        <v>Makulay ang teleserye dito sa channel ni VP.</v>
      </c>
      <c r="F1775" s="1">
        <f>IFERROR(__xludf.DUMMYFUNCTION("""COMPUTED_VALUE"""),1.0)</f>
        <v>1</v>
      </c>
      <c r="G1775" s="1" t="str">
        <f>IFERROR(__xludf.DUMMYFUNCTION("""COMPUTED_VALUE"""),"3 mos")</f>
        <v>3 mos</v>
      </c>
      <c r="H1775" s="1" t="str">
        <f>IFERROR(__xludf.DUMMYFUNCTION("""COMPUTED_VALUE"""),"comment")</f>
        <v>comment</v>
      </c>
      <c r="I1775" s="2" t="str">
        <f>IFERROR(__xludf.DUMMYFUNCTION("""COMPUTED_VALUE"""),"https://www.facebook.com/rapplerdotcom/photos/a.317154781638645/5595372260483511/")</f>
        <v>https://www.facebook.com/rapplerdotcom/photos/a.317154781638645/5595372260483511/</v>
      </c>
      <c r="J1775" s="1" t="str">
        <f>IFERROR(__xludf.DUMMYFUNCTION("""COMPUTED_VALUE"""),"2022-07-04T15:44:55.425Z")</f>
        <v>2022-07-04T15:44:55.425Z</v>
      </c>
      <c r="K1775" s="1"/>
    </row>
    <row r="1776">
      <c r="A1776" s="2" t="str">
        <f>IFERROR(__xludf.DUMMYFUNCTION("""COMPUTED_VALUE"""),"https://www.facebook.com/bautista.jimmy.98")</f>
        <v>https://www.facebook.com/bautista.jimmy.98</v>
      </c>
      <c r="B1776" s="1" t="str">
        <f>IFERROR(__xludf.DUMMYFUNCTION("""COMPUTED_VALUE"""),"Bautista Jimmy")</f>
        <v>Bautista Jimmy</v>
      </c>
      <c r="C1776" s="1" t="str">
        <f>IFERROR(__xludf.DUMMYFUNCTION("""COMPUTED_VALUE"""),"Bautista")</f>
        <v>Bautista</v>
      </c>
      <c r="D1776" s="1" t="str">
        <f>IFERROR(__xludf.DUMMYFUNCTION("""COMPUTED_VALUE"""),"Jimmy")</f>
        <v>Jimmy</v>
      </c>
      <c r="E1776" s="1" t="str">
        <f>IFERROR(__xludf.DUMMYFUNCTION("""COMPUTED_VALUE"""),"Maya Maya lng buburahin n mga share ko")</f>
        <v>Maya Maya lng buburahin n mga share ko</v>
      </c>
      <c r="F1776" s="1"/>
      <c r="G1776" s="1" t="str">
        <f>IFERROR(__xludf.DUMMYFUNCTION("""COMPUTED_VALUE"""),"3 mos")</f>
        <v>3 mos</v>
      </c>
      <c r="H1776" s="1" t="str">
        <f>IFERROR(__xludf.DUMMYFUNCTION("""COMPUTED_VALUE"""),"comment")</f>
        <v>comment</v>
      </c>
      <c r="I1776" s="2" t="str">
        <f>IFERROR(__xludf.DUMMYFUNCTION("""COMPUTED_VALUE"""),"https://www.facebook.com/rapplerdotcom/photos/a.317154781638645/5595372260483511/")</f>
        <v>https://www.facebook.com/rapplerdotcom/photos/a.317154781638645/5595372260483511/</v>
      </c>
      <c r="J1776" s="1" t="str">
        <f>IFERROR(__xludf.DUMMYFUNCTION("""COMPUTED_VALUE"""),"2022-07-04T15:44:55.425Z")</f>
        <v>2022-07-04T15:44:55.425Z</v>
      </c>
      <c r="K1776" s="1"/>
    </row>
    <row r="1777">
      <c r="A1777" s="2" t="str">
        <f>IFERROR(__xludf.DUMMYFUNCTION("""COMPUTED_VALUE"""),"https://www.facebook.com/bautista.jimmy.98")</f>
        <v>https://www.facebook.com/bautista.jimmy.98</v>
      </c>
      <c r="B1777" s="1" t="str">
        <f>IFERROR(__xludf.DUMMYFUNCTION("""COMPUTED_VALUE"""),"Bautista Jimmy")</f>
        <v>Bautista Jimmy</v>
      </c>
      <c r="C1777" s="1" t="str">
        <f>IFERROR(__xludf.DUMMYFUNCTION("""COMPUTED_VALUE"""),"Bautista")</f>
        <v>Bautista</v>
      </c>
      <c r="D1777" s="1" t="str">
        <f>IFERROR(__xludf.DUMMYFUNCTION("""COMPUTED_VALUE"""),"Jimmy")</f>
        <v>Jimmy</v>
      </c>
      <c r="E1777" s="1" t="str">
        <f>IFERROR(__xludf.DUMMYFUNCTION("""COMPUTED_VALUE"""),"Anu unity k n din")</f>
        <v>Anu unity k n din</v>
      </c>
      <c r="F1777" s="1"/>
      <c r="G1777" s="1" t="str">
        <f>IFERROR(__xludf.DUMMYFUNCTION("""COMPUTED_VALUE"""),"3 mos")</f>
        <v>3 mos</v>
      </c>
      <c r="H1777" s="1" t="str">
        <f>IFERROR(__xludf.DUMMYFUNCTION("""COMPUTED_VALUE"""),"comment")</f>
        <v>comment</v>
      </c>
      <c r="I1777" s="2" t="str">
        <f>IFERROR(__xludf.DUMMYFUNCTION("""COMPUTED_VALUE"""),"https://www.facebook.com/rapplerdotcom/photos/a.317154781638645/5595372260483511/")</f>
        <v>https://www.facebook.com/rapplerdotcom/photos/a.317154781638645/5595372260483511/</v>
      </c>
      <c r="J1777" s="1" t="str">
        <f>IFERROR(__xludf.DUMMYFUNCTION("""COMPUTED_VALUE"""),"2022-07-04T15:44:55.425Z")</f>
        <v>2022-07-04T15:44:55.425Z</v>
      </c>
      <c r="K1777" s="1"/>
    </row>
    <row r="1778">
      <c r="A1778" s="2" t="str">
        <f>IFERROR(__xludf.DUMMYFUNCTION("""COMPUTED_VALUE"""),"https://www.facebook.com/bautista.jimmy.98")</f>
        <v>https://www.facebook.com/bautista.jimmy.98</v>
      </c>
      <c r="B1778" s="1" t="str">
        <f>IFERROR(__xludf.DUMMYFUNCTION("""COMPUTED_VALUE"""),"Bautista Jimmy")</f>
        <v>Bautista Jimmy</v>
      </c>
      <c r="C1778" s="1" t="str">
        <f>IFERROR(__xludf.DUMMYFUNCTION("""COMPUTED_VALUE"""),"Bautista")</f>
        <v>Bautista</v>
      </c>
      <c r="D1778" s="1" t="str">
        <f>IFERROR(__xludf.DUMMYFUNCTION("""COMPUTED_VALUE"""),"Jimmy")</f>
        <v>Jimmy</v>
      </c>
      <c r="E1778" s="1" t="str">
        <f>IFERROR(__xludf.DUMMYFUNCTION("""COMPUTED_VALUE"""),"KW b nkipag unite KY du30 DBA wla kng ginawa SA abroud kundi batikusin ang gobyerno ntin")</f>
        <v>KW b nkipag unite KY du30 DBA wla kng ginawa SA abroud kundi batikusin ang gobyerno ntin</v>
      </c>
      <c r="F1778" s="1">
        <f>IFERROR(__xludf.DUMMYFUNCTION("""COMPUTED_VALUE"""),9.0)</f>
        <v>9</v>
      </c>
      <c r="G1778" s="1" t="str">
        <f>IFERROR(__xludf.DUMMYFUNCTION("""COMPUTED_VALUE"""),"3 mos")</f>
        <v>3 mos</v>
      </c>
      <c r="H1778" s="1" t="str">
        <f>IFERROR(__xludf.DUMMYFUNCTION("""COMPUTED_VALUE"""),"comment")</f>
        <v>comment</v>
      </c>
      <c r="I1778" s="2" t="str">
        <f>IFERROR(__xludf.DUMMYFUNCTION("""COMPUTED_VALUE"""),"https://www.facebook.com/rapplerdotcom/photos/a.317154781638645/5595372260483511/")</f>
        <v>https://www.facebook.com/rapplerdotcom/photos/a.317154781638645/5595372260483511/</v>
      </c>
      <c r="J1778" s="1" t="str">
        <f>IFERROR(__xludf.DUMMYFUNCTION("""COMPUTED_VALUE"""),"2022-07-04T15:44:55.425Z")</f>
        <v>2022-07-04T15:44:55.425Z</v>
      </c>
      <c r="K1778" s="1"/>
    </row>
    <row r="1779">
      <c r="A1779" s="2" t="str">
        <f>IFERROR(__xludf.DUMMYFUNCTION("""COMPUTED_VALUE"""),"https://www.facebook.com/ann070694")</f>
        <v>https://www.facebook.com/ann070694</v>
      </c>
      <c r="B1779" s="1" t="str">
        <f>IFERROR(__xludf.DUMMYFUNCTION("""COMPUTED_VALUE"""),"Ana Alfonso")</f>
        <v>Ana Alfonso</v>
      </c>
      <c r="C1779" s="1" t="str">
        <f>IFERROR(__xludf.DUMMYFUNCTION("""COMPUTED_VALUE"""),"Ana")</f>
        <v>Ana</v>
      </c>
      <c r="D1779" s="1" t="str">
        <f>IFERROR(__xludf.DUMMYFUNCTION("""COMPUTED_VALUE"""),"Alfonso")</f>
        <v>Alfonso</v>
      </c>
      <c r="E1779" s="1" t="str">
        <f>IFERROR(__xludf.DUMMYFUNCTION("""COMPUTED_VALUE"""),"Bautista Jimmy makipagunite ka din sa utak mo nang magkasense sinasabi mo")</f>
        <v>Bautista Jimmy makipagunite ka din sa utak mo nang magkasense sinasabi mo</v>
      </c>
      <c r="F1779" s="1">
        <f>IFERROR(__xludf.DUMMYFUNCTION("""COMPUTED_VALUE"""),6.0)</f>
        <v>6</v>
      </c>
      <c r="G1779" s="1" t="str">
        <f>IFERROR(__xludf.DUMMYFUNCTION("""COMPUTED_VALUE"""),"3 mos")</f>
        <v>3 mos</v>
      </c>
      <c r="H1779" s="1" t="str">
        <f>IFERROR(__xludf.DUMMYFUNCTION("""COMPUTED_VALUE"""),"reply")</f>
        <v>reply</v>
      </c>
      <c r="I1779" s="2" t="str">
        <f>IFERROR(__xludf.DUMMYFUNCTION("""COMPUTED_VALUE"""),"https://www.facebook.com/rapplerdotcom/photos/a.317154781638645/5595372260483511/")</f>
        <v>https://www.facebook.com/rapplerdotcom/photos/a.317154781638645/5595372260483511/</v>
      </c>
      <c r="J1779" s="1" t="str">
        <f>IFERROR(__xludf.DUMMYFUNCTION("""COMPUTED_VALUE"""),"2022-07-04T15:44:55.425Z")</f>
        <v>2022-07-04T15:44:55.425Z</v>
      </c>
      <c r="K1779" s="1"/>
    </row>
    <row r="1780">
      <c r="A1780" s="2" t="str">
        <f>IFERROR(__xludf.DUMMYFUNCTION("""COMPUTED_VALUE"""),"https://www.facebook.com/bautista.jimmy.98")</f>
        <v>https://www.facebook.com/bautista.jimmy.98</v>
      </c>
      <c r="B1780" s="1" t="str">
        <f>IFERROR(__xludf.DUMMYFUNCTION("""COMPUTED_VALUE"""),"Bautista Jimmy")</f>
        <v>Bautista Jimmy</v>
      </c>
      <c r="C1780" s="1" t="str">
        <f>IFERROR(__xludf.DUMMYFUNCTION("""COMPUTED_VALUE"""),"Bautista")</f>
        <v>Bautista</v>
      </c>
      <c r="D1780" s="1" t="str">
        <f>IFERROR(__xludf.DUMMYFUNCTION("""COMPUTED_VALUE"""),"Jimmy")</f>
        <v>Jimmy</v>
      </c>
      <c r="E1780" s="1" t="str">
        <f>IFERROR(__xludf.DUMMYFUNCTION("""COMPUTED_VALUE"""),"Ana Alfonso TMA Ka wla nga Ka senxe sence")</f>
        <v>Ana Alfonso TMA Ka wla nga Ka senxe sence</v>
      </c>
      <c r="F1780" s="1">
        <f>IFERROR(__xludf.DUMMYFUNCTION("""COMPUTED_VALUE"""),1.0)</f>
        <v>1</v>
      </c>
      <c r="G1780" s="1" t="str">
        <f>IFERROR(__xludf.DUMMYFUNCTION("""COMPUTED_VALUE"""),"3 mos")</f>
        <v>3 mos</v>
      </c>
      <c r="H1780" s="1" t="str">
        <f>IFERROR(__xludf.DUMMYFUNCTION("""COMPUTED_VALUE"""),"reply")</f>
        <v>reply</v>
      </c>
      <c r="I1780" s="2" t="str">
        <f>IFERROR(__xludf.DUMMYFUNCTION("""COMPUTED_VALUE"""),"https://www.facebook.com/rapplerdotcom/photos/a.317154781638645/5595372260483511/")</f>
        <v>https://www.facebook.com/rapplerdotcom/photos/a.317154781638645/5595372260483511/</v>
      </c>
      <c r="J1780" s="1" t="str">
        <f>IFERROR(__xludf.DUMMYFUNCTION("""COMPUTED_VALUE"""),"2022-07-04T15:44:55.425Z")</f>
        <v>2022-07-04T15:44:55.425Z</v>
      </c>
      <c r="K1780" s="1"/>
    </row>
    <row r="1781">
      <c r="A1781" s="2" t="str">
        <f>IFERROR(__xludf.DUMMYFUNCTION("""COMPUTED_VALUE"""),"https://www.facebook.com/cyrilljoy.baldera.3")</f>
        <v>https://www.facebook.com/cyrilljoy.baldera.3</v>
      </c>
      <c r="B1781" s="1" t="str">
        <f>IFERROR(__xludf.DUMMYFUNCTION("""COMPUTED_VALUE"""),"Cyrill Joy Baldera")</f>
        <v>Cyrill Joy Baldera</v>
      </c>
      <c r="C1781" s="1" t="str">
        <f>IFERROR(__xludf.DUMMYFUNCTION("""COMPUTED_VALUE"""),"Cyrill")</f>
        <v>Cyrill</v>
      </c>
      <c r="D1781" s="1" t="str">
        <f>IFERROR(__xludf.DUMMYFUNCTION("""COMPUTED_VALUE"""),"Joy Baldera")</f>
        <v>Joy Baldera</v>
      </c>
      <c r="E1781" s="1" t="str">
        <f>IFERROR(__xludf.DUMMYFUNCTION("""COMPUTED_VALUE"""),"Bautista Jimmy  ikaw sinasabihan niya kuya HAHAHAHAH")</f>
        <v>Bautista Jimmy  ikaw sinasabihan niya kuya HAHAHAHAH</v>
      </c>
      <c r="F1781" s="1">
        <f>IFERROR(__xludf.DUMMYFUNCTION("""COMPUTED_VALUE"""),3.0)</f>
        <v>3</v>
      </c>
      <c r="G1781" s="1" t="str">
        <f>IFERROR(__xludf.DUMMYFUNCTION("""COMPUTED_VALUE"""),"3 mos")</f>
        <v>3 mos</v>
      </c>
      <c r="H1781" s="1" t="str">
        <f>IFERROR(__xludf.DUMMYFUNCTION("""COMPUTED_VALUE"""),"reply")</f>
        <v>reply</v>
      </c>
      <c r="I1781" s="2" t="str">
        <f>IFERROR(__xludf.DUMMYFUNCTION("""COMPUTED_VALUE"""),"https://www.facebook.com/rapplerdotcom/photos/a.317154781638645/5595372260483511/")</f>
        <v>https://www.facebook.com/rapplerdotcom/photos/a.317154781638645/5595372260483511/</v>
      </c>
      <c r="J1781" s="1" t="str">
        <f>IFERROR(__xludf.DUMMYFUNCTION("""COMPUTED_VALUE"""),"2022-07-04T15:44:55.425Z")</f>
        <v>2022-07-04T15:44:55.425Z</v>
      </c>
      <c r="K1781" s="1"/>
    </row>
    <row r="1782">
      <c r="A1782" s="2" t="str">
        <f>IFERROR(__xludf.DUMMYFUNCTION("""COMPUTED_VALUE"""),"https://www.facebook.com/bautista.jimmy.98")</f>
        <v>https://www.facebook.com/bautista.jimmy.98</v>
      </c>
      <c r="B1782" s="1" t="str">
        <f>IFERROR(__xludf.DUMMYFUNCTION("""COMPUTED_VALUE"""),"Bautista Jimmy")</f>
        <v>Bautista Jimmy</v>
      </c>
      <c r="C1782" s="1" t="str">
        <f>IFERROR(__xludf.DUMMYFUNCTION("""COMPUTED_VALUE"""),"Bautista")</f>
        <v>Bautista</v>
      </c>
      <c r="D1782" s="1" t="str">
        <f>IFERROR(__xludf.DUMMYFUNCTION("""COMPUTED_VALUE"""),"Jimmy")</f>
        <v>Jimmy</v>
      </c>
      <c r="E1782" s="1" t="str">
        <f>IFERROR(__xludf.DUMMYFUNCTION("""COMPUTED_VALUE"""),"Cyrill Joy Baldera uu")</f>
        <v>Cyrill Joy Baldera uu</v>
      </c>
      <c r="F1782" s="1"/>
      <c r="G1782" s="1" t="str">
        <f>IFERROR(__xludf.DUMMYFUNCTION("""COMPUTED_VALUE"""),"3 mos")</f>
        <v>3 mos</v>
      </c>
      <c r="H1782" s="1" t="str">
        <f>IFERROR(__xludf.DUMMYFUNCTION("""COMPUTED_VALUE"""),"reply")</f>
        <v>reply</v>
      </c>
      <c r="I1782" s="2" t="str">
        <f>IFERROR(__xludf.DUMMYFUNCTION("""COMPUTED_VALUE"""),"https://www.facebook.com/rapplerdotcom/photos/a.317154781638645/5595372260483511/")</f>
        <v>https://www.facebook.com/rapplerdotcom/photos/a.317154781638645/5595372260483511/</v>
      </c>
      <c r="J1782" s="1" t="str">
        <f>IFERROR(__xludf.DUMMYFUNCTION("""COMPUTED_VALUE"""),"2022-07-04T15:44:55.425Z")</f>
        <v>2022-07-04T15:44:55.425Z</v>
      </c>
      <c r="K1782" s="1"/>
    </row>
    <row r="1783">
      <c r="A1783" s="2" t="str">
        <f>IFERROR(__xludf.DUMMYFUNCTION("""COMPUTED_VALUE"""),"https://www.facebook.com/bautista.jimmy.98")</f>
        <v>https://www.facebook.com/bautista.jimmy.98</v>
      </c>
      <c r="B1783" s="1" t="str">
        <f>IFERROR(__xludf.DUMMYFUNCTION("""COMPUTED_VALUE"""),"Bautista Jimmy")</f>
        <v>Bautista Jimmy</v>
      </c>
      <c r="C1783" s="1" t="str">
        <f>IFERROR(__xludf.DUMMYFUNCTION("""COMPUTED_VALUE"""),"Bautista")</f>
        <v>Bautista</v>
      </c>
      <c r="D1783" s="1" t="str">
        <f>IFERROR(__xludf.DUMMYFUNCTION("""COMPUTED_VALUE"""),"Jimmy")</f>
        <v>Jimmy</v>
      </c>
      <c r="E1783" s="1" t="str">
        <f>IFERROR(__xludf.DUMMYFUNCTION("""COMPUTED_VALUE"""),"Hirap kc mga lutang")</f>
        <v>Hirap kc mga lutang</v>
      </c>
      <c r="F1783" s="1"/>
      <c r="G1783" s="1" t="str">
        <f>IFERROR(__xludf.DUMMYFUNCTION("""COMPUTED_VALUE"""),"3 mos")</f>
        <v>3 mos</v>
      </c>
      <c r="H1783" s="1" t="str">
        <f>IFERROR(__xludf.DUMMYFUNCTION("""COMPUTED_VALUE"""),"reply")</f>
        <v>reply</v>
      </c>
      <c r="I1783" s="2" t="str">
        <f>IFERROR(__xludf.DUMMYFUNCTION("""COMPUTED_VALUE"""),"https://www.facebook.com/rapplerdotcom/photos/a.317154781638645/5595372260483511/")</f>
        <v>https://www.facebook.com/rapplerdotcom/photos/a.317154781638645/5595372260483511/</v>
      </c>
      <c r="J1783" s="1" t="str">
        <f>IFERROR(__xludf.DUMMYFUNCTION("""COMPUTED_VALUE"""),"2022-07-04T15:44:55.425Z")</f>
        <v>2022-07-04T15:44:55.425Z</v>
      </c>
      <c r="K1783" s="1"/>
    </row>
    <row r="1784">
      <c r="A1784" s="2" t="str">
        <f>IFERROR(__xludf.DUMMYFUNCTION("""COMPUTED_VALUE"""),"https://www.facebook.com/cyrilljoy.baldera.3")</f>
        <v>https://www.facebook.com/cyrilljoy.baldera.3</v>
      </c>
      <c r="B1784" s="1" t="str">
        <f>IFERROR(__xludf.DUMMYFUNCTION("""COMPUTED_VALUE"""),"Cyrill Joy Baldera")</f>
        <v>Cyrill Joy Baldera</v>
      </c>
      <c r="C1784" s="1" t="str">
        <f>IFERROR(__xludf.DUMMYFUNCTION("""COMPUTED_VALUE"""),"Cyrill")</f>
        <v>Cyrill</v>
      </c>
      <c r="D1784" s="1" t="str">
        <f>IFERROR(__xludf.DUMMYFUNCTION("""COMPUTED_VALUE"""),"Joy Baldera")</f>
        <v>Joy Baldera</v>
      </c>
      <c r="E1784" s="1" t="str">
        <f>IFERROR(__xludf.DUMMYFUNCTION("""COMPUTED_VALUE"""),"Bautista Jimmy  pagod sayo tulog ka")</f>
        <v>Bautista Jimmy  pagod sayo tulog ka</v>
      </c>
      <c r="F1784" s="1">
        <f>IFERROR(__xludf.DUMMYFUNCTION("""COMPUTED_VALUE"""),2.0)</f>
        <v>2</v>
      </c>
      <c r="G1784" s="1" t="str">
        <f>IFERROR(__xludf.DUMMYFUNCTION("""COMPUTED_VALUE"""),"3 mos")</f>
        <v>3 mos</v>
      </c>
      <c r="H1784" s="1" t="str">
        <f>IFERROR(__xludf.DUMMYFUNCTION("""COMPUTED_VALUE"""),"reply")</f>
        <v>reply</v>
      </c>
      <c r="I1784" s="2" t="str">
        <f>IFERROR(__xludf.DUMMYFUNCTION("""COMPUTED_VALUE"""),"https://www.facebook.com/rapplerdotcom/photos/a.317154781638645/5595372260483511/")</f>
        <v>https://www.facebook.com/rapplerdotcom/photos/a.317154781638645/5595372260483511/</v>
      </c>
      <c r="J1784" s="1" t="str">
        <f>IFERROR(__xludf.DUMMYFUNCTION("""COMPUTED_VALUE"""),"2022-07-04T15:44:55.425Z")</f>
        <v>2022-07-04T15:44:55.425Z</v>
      </c>
      <c r="K1784" s="1"/>
    </row>
    <row r="1785">
      <c r="A1785" s="2" t="str">
        <f>IFERROR(__xludf.DUMMYFUNCTION("""COMPUTED_VALUE"""),"https://www.facebook.com/jose.ladiana")</f>
        <v>https://www.facebook.com/jose.ladiana</v>
      </c>
      <c r="B1785" s="1" t="str">
        <f>IFERROR(__xludf.DUMMYFUNCTION("""COMPUTED_VALUE"""),"Jose Ladiana")</f>
        <v>Jose Ladiana</v>
      </c>
      <c r="C1785" s="1" t="str">
        <f>IFERROR(__xludf.DUMMYFUNCTION("""COMPUTED_VALUE"""),"Jose")</f>
        <v>Jose</v>
      </c>
      <c r="D1785" s="1" t="str">
        <f>IFERROR(__xludf.DUMMYFUNCTION("""COMPUTED_VALUE"""),"Ladiana")</f>
        <v>Ladiana</v>
      </c>
      <c r="E1785" s="1" t="str">
        <f>IFERROR(__xludf.DUMMYFUNCTION("""COMPUTED_VALUE"""),"Bautista Jimmy umayos dapat ng matino ang gobyerno kung ayaw mabatikos.")</f>
        <v>Bautista Jimmy umayos dapat ng matino ang gobyerno kung ayaw mabatikos.</v>
      </c>
      <c r="F1785" s="1"/>
      <c r="G1785" s="1" t="str">
        <f>IFERROR(__xludf.DUMMYFUNCTION("""COMPUTED_VALUE"""),"3 mos")</f>
        <v>3 mos</v>
      </c>
      <c r="H1785" s="1" t="str">
        <f>IFERROR(__xludf.DUMMYFUNCTION("""COMPUTED_VALUE"""),"reply")</f>
        <v>reply</v>
      </c>
      <c r="I1785" s="2" t="str">
        <f>IFERROR(__xludf.DUMMYFUNCTION("""COMPUTED_VALUE"""),"https://www.facebook.com/rapplerdotcom/photos/a.317154781638645/5595372260483511/")</f>
        <v>https://www.facebook.com/rapplerdotcom/photos/a.317154781638645/5595372260483511/</v>
      </c>
      <c r="J1785" s="1" t="str">
        <f>IFERROR(__xludf.DUMMYFUNCTION("""COMPUTED_VALUE"""),"2022-07-04T15:44:55.425Z")</f>
        <v>2022-07-04T15:44:55.425Z</v>
      </c>
      <c r="K1785" s="1"/>
    </row>
    <row r="1786">
      <c r="A1786" s="2" t="str">
        <f>IFERROR(__xludf.DUMMYFUNCTION("""COMPUTED_VALUE"""),"https://www.facebook.com/bautista.jimmy.98")</f>
        <v>https://www.facebook.com/bautista.jimmy.98</v>
      </c>
      <c r="B1786" s="1" t="str">
        <f>IFERROR(__xludf.DUMMYFUNCTION("""COMPUTED_VALUE"""),"Bautista Jimmy")</f>
        <v>Bautista Jimmy</v>
      </c>
      <c r="C1786" s="1" t="str">
        <f>IFERROR(__xludf.DUMMYFUNCTION("""COMPUTED_VALUE"""),"Bautista")</f>
        <v>Bautista</v>
      </c>
      <c r="D1786" s="1" t="str">
        <f>IFERROR(__xludf.DUMMYFUNCTION("""COMPUTED_VALUE"""),"Jimmy")</f>
        <v>Jimmy</v>
      </c>
      <c r="E1786" s="1" t="str">
        <f>IFERROR(__xludf.DUMMYFUNCTION("""COMPUTED_VALUE"""),"Maganda ang hangarin Ng gobyern pinapapangit lng Ng mga klaban...  Ktulad Ng isko nyo")</f>
        <v>Maganda ang hangarin Ng gobyern pinapapangit lng Ng mga klaban...  Ktulad Ng isko nyo</v>
      </c>
      <c r="F1786" s="1"/>
      <c r="G1786" s="1" t="str">
        <f>IFERROR(__xludf.DUMMYFUNCTION("""COMPUTED_VALUE"""),"3 mos")</f>
        <v>3 mos</v>
      </c>
      <c r="H1786" s="1" t="str">
        <f>IFERROR(__xludf.DUMMYFUNCTION("""COMPUTED_VALUE"""),"reply")</f>
        <v>reply</v>
      </c>
      <c r="I1786" s="2" t="str">
        <f>IFERROR(__xludf.DUMMYFUNCTION("""COMPUTED_VALUE"""),"https://www.facebook.com/rapplerdotcom/photos/a.317154781638645/5595372260483511/")</f>
        <v>https://www.facebook.com/rapplerdotcom/photos/a.317154781638645/5595372260483511/</v>
      </c>
      <c r="J1786" s="1" t="str">
        <f>IFERROR(__xludf.DUMMYFUNCTION("""COMPUTED_VALUE"""),"2022-07-04T15:44:55.425Z")</f>
        <v>2022-07-04T15:44:55.425Z</v>
      </c>
      <c r="K1786" s="1"/>
    </row>
    <row r="1787">
      <c r="A1787" s="2" t="str">
        <f>IFERROR(__xludf.DUMMYFUNCTION("""COMPUTED_VALUE"""),"https://www.facebook.com/profile.php?id=100070381902310")</f>
        <v>https://www.facebook.com/profile.php?id=100070381902310</v>
      </c>
      <c r="B1787" s="1" t="str">
        <f>IFERROR(__xludf.DUMMYFUNCTION("""COMPUTED_VALUE"""),"Princess Anne Ytable")</f>
        <v>Princess Anne Ytable</v>
      </c>
      <c r="C1787" s="1" t="str">
        <f>IFERROR(__xludf.DUMMYFUNCTION("""COMPUTED_VALUE"""),"Princess")</f>
        <v>Princess</v>
      </c>
      <c r="D1787" s="1" t="str">
        <f>IFERROR(__xludf.DUMMYFUNCTION("""COMPUTED_VALUE"""),"Anne Ytable")</f>
        <v>Anne Ytable</v>
      </c>
      <c r="E1787" s="1" t="str">
        <f>IFERROR(__xludf.DUMMYFUNCTION("""COMPUTED_VALUE"""),"Jose Ladiana uu ng eh kaso khit nsa ayos Ala p din mkkliwa p din c lenlen")</f>
        <v>Jose Ladiana uu ng eh kaso khit nsa ayos Ala p din mkkliwa p din c lenlen</v>
      </c>
      <c r="F1787" s="1"/>
      <c r="G1787" s="1" t="str">
        <f>IFERROR(__xludf.DUMMYFUNCTION("""COMPUTED_VALUE"""),"3 mos")</f>
        <v>3 mos</v>
      </c>
      <c r="H1787" s="1" t="str">
        <f>IFERROR(__xludf.DUMMYFUNCTION("""COMPUTED_VALUE"""),"reply")</f>
        <v>reply</v>
      </c>
      <c r="I1787" s="2" t="str">
        <f>IFERROR(__xludf.DUMMYFUNCTION("""COMPUTED_VALUE"""),"https://www.facebook.com/rapplerdotcom/photos/a.317154781638645/5595372260483511/")</f>
        <v>https://www.facebook.com/rapplerdotcom/photos/a.317154781638645/5595372260483511/</v>
      </c>
      <c r="J1787" s="1" t="str">
        <f>IFERROR(__xludf.DUMMYFUNCTION("""COMPUTED_VALUE"""),"2022-07-04T15:44:55.425Z")</f>
        <v>2022-07-04T15:44:55.425Z</v>
      </c>
      <c r="K1787" s="1"/>
    </row>
    <row r="1788">
      <c r="A1788" s="2" t="str">
        <f>IFERROR(__xludf.DUMMYFUNCTION("""COMPUTED_VALUE"""),"https://www.facebook.com/profile.php?id=100060978745003")</f>
        <v>https://www.facebook.com/profile.php?id=100060978745003</v>
      </c>
      <c r="B1788" s="1" t="str">
        <f>IFERROR(__xludf.DUMMYFUNCTION("""COMPUTED_VALUE"""),"Maria Perla Bandola")</f>
        <v>Maria Perla Bandola</v>
      </c>
      <c r="C1788" s="1" t="str">
        <f>IFERROR(__xludf.DUMMYFUNCTION("""COMPUTED_VALUE"""),"Maria")</f>
        <v>Maria</v>
      </c>
      <c r="D1788" s="1" t="str">
        <f>IFERROR(__xludf.DUMMYFUNCTION("""COMPUTED_VALUE"""),"Perla Bandola")</f>
        <v>Perla Bandola</v>
      </c>
      <c r="E1788" s="1" t="str">
        <f>IFERROR(__xludf.DUMMYFUNCTION("""COMPUTED_VALUE"""),"Naku yan na naman makadios makatao pero walang respito sa kapwa!!!")</f>
        <v>Naku yan na naman makadios makatao pero walang respito sa kapwa!!!</v>
      </c>
      <c r="F1788" s="1">
        <f>IFERROR(__xludf.DUMMYFUNCTION("""COMPUTED_VALUE"""),2.0)</f>
        <v>2</v>
      </c>
      <c r="G1788" s="1" t="str">
        <f>IFERROR(__xludf.DUMMYFUNCTION("""COMPUTED_VALUE"""),"3 mos")</f>
        <v>3 mos</v>
      </c>
      <c r="H1788" s="1" t="str">
        <f>IFERROR(__xludf.DUMMYFUNCTION("""COMPUTED_VALUE"""),"comment")</f>
        <v>comment</v>
      </c>
      <c r="I1788" s="2" t="str">
        <f>IFERROR(__xludf.DUMMYFUNCTION("""COMPUTED_VALUE"""),"https://www.facebook.com/rapplerdotcom/photos/a.317154781638645/5595372260483511/")</f>
        <v>https://www.facebook.com/rapplerdotcom/photos/a.317154781638645/5595372260483511/</v>
      </c>
      <c r="J1788" s="1" t="str">
        <f>IFERROR(__xludf.DUMMYFUNCTION("""COMPUTED_VALUE"""),"2022-07-04T15:44:55.425Z")</f>
        <v>2022-07-04T15:44:55.425Z</v>
      </c>
      <c r="K1788" s="1"/>
    </row>
    <row r="1789">
      <c r="A1789" s="2" t="str">
        <f>IFERROR(__xludf.DUMMYFUNCTION("""COMPUTED_VALUE"""),"https://www.facebook.com/profile.php?id=100072514314651")</f>
        <v>https://www.facebook.com/profile.php?id=100072514314651</v>
      </c>
      <c r="B1789" s="1" t="str">
        <f>IFERROR(__xludf.DUMMYFUNCTION("""COMPUTED_VALUE"""),"Robert Bagayao")</f>
        <v>Robert Bagayao</v>
      </c>
      <c r="C1789" s="1" t="str">
        <f>IFERROR(__xludf.DUMMYFUNCTION("""COMPUTED_VALUE"""),"Robert")</f>
        <v>Robert</v>
      </c>
      <c r="D1789" s="1" t="str">
        <f>IFERROR(__xludf.DUMMYFUNCTION("""COMPUTED_VALUE"""),"Bagayao")</f>
        <v>Bagayao</v>
      </c>
      <c r="E1789" s="1" t="str">
        <f>IFERROR(__xludf.DUMMYFUNCTION("""COMPUTED_VALUE"""),"Ambabaw")</f>
        <v>Ambabaw</v>
      </c>
      <c r="F1789" s="1"/>
      <c r="G1789" s="1" t="str">
        <f>IFERROR(__xludf.DUMMYFUNCTION("""COMPUTED_VALUE"""),"3 mos")</f>
        <v>3 mos</v>
      </c>
      <c r="H1789" s="1" t="str">
        <f>IFERROR(__xludf.DUMMYFUNCTION("""COMPUTED_VALUE"""),"comment")</f>
        <v>comment</v>
      </c>
      <c r="I1789" s="2" t="str">
        <f>IFERROR(__xludf.DUMMYFUNCTION("""COMPUTED_VALUE"""),"https://www.facebook.com/rapplerdotcom/photos/a.317154781638645/5595372260483511/")</f>
        <v>https://www.facebook.com/rapplerdotcom/photos/a.317154781638645/5595372260483511/</v>
      </c>
      <c r="J1789" s="1" t="str">
        <f>IFERROR(__xludf.DUMMYFUNCTION("""COMPUTED_VALUE"""),"2022-07-04T15:44:55.425Z")</f>
        <v>2022-07-04T15:44:55.425Z</v>
      </c>
      <c r="K1789" s="1"/>
    </row>
    <row r="1790">
      <c r="A1790" s="2" t="str">
        <f>IFERROR(__xludf.DUMMYFUNCTION("""COMPUTED_VALUE"""),"https://www.facebook.com/louigie012")</f>
        <v>https://www.facebook.com/louigie012</v>
      </c>
      <c r="B1790" s="1" t="str">
        <f>IFERROR(__xludf.DUMMYFUNCTION("""COMPUTED_VALUE"""),"Louigie Bautista Santos")</f>
        <v>Louigie Bautista Santos</v>
      </c>
      <c r="C1790" s="1" t="str">
        <f>IFERROR(__xludf.DUMMYFUNCTION("""COMPUTED_VALUE"""),"Louigie")</f>
        <v>Louigie</v>
      </c>
      <c r="D1790" s="1" t="str">
        <f>IFERROR(__xludf.DUMMYFUNCTION("""COMPUTED_VALUE"""),"Bautista Santos")</f>
        <v>Bautista Santos</v>
      </c>
      <c r="E1790" s="1" t="str">
        <f>IFERROR(__xludf.DUMMYFUNCTION("""COMPUTED_VALUE"""),"I agree. May haha react ng hindi nag iisip kasi nalugaw na kakabbm.")</f>
        <v>I agree. May haha react ng hindi nag iisip kasi nalugaw na kakabbm.</v>
      </c>
      <c r="F1790" s="1"/>
      <c r="G1790" s="1" t="str">
        <f>IFERROR(__xludf.DUMMYFUNCTION("""COMPUTED_VALUE"""),"3 mos")</f>
        <v>3 mos</v>
      </c>
      <c r="H1790" s="1" t="str">
        <f>IFERROR(__xludf.DUMMYFUNCTION("""COMPUTED_VALUE"""),"comment")</f>
        <v>comment</v>
      </c>
      <c r="I1790" s="2" t="str">
        <f>IFERROR(__xludf.DUMMYFUNCTION("""COMPUTED_VALUE"""),"https://www.facebook.com/rapplerdotcom/photos/a.317154781638645/5595372260483511/")</f>
        <v>https://www.facebook.com/rapplerdotcom/photos/a.317154781638645/5595372260483511/</v>
      </c>
      <c r="J1790" s="1" t="str">
        <f>IFERROR(__xludf.DUMMYFUNCTION("""COMPUTED_VALUE"""),"2022-07-04T15:44:55.425Z")</f>
        <v>2022-07-04T15:44:55.425Z</v>
      </c>
      <c r="K1790" s="1"/>
    </row>
    <row r="1791">
      <c r="A1791" s="2" t="str">
        <f>IFERROR(__xludf.DUMMYFUNCTION("""COMPUTED_VALUE"""),"https://www.facebook.com/francisco.sabado.585")</f>
        <v>https://www.facebook.com/francisco.sabado.585</v>
      </c>
      <c r="B1791" s="1" t="str">
        <f>IFERROR(__xludf.DUMMYFUNCTION("""COMPUTED_VALUE"""),"Francisco Sabado")</f>
        <v>Francisco Sabado</v>
      </c>
      <c r="C1791" s="1" t="str">
        <f>IFERROR(__xludf.DUMMYFUNCTION("""COMPUTED_VALUE"""),"Francisco")</f>
        <v>Francisco</v>
      </c>
      <c r="D1791" s="1" t="str">
        <f>IFERROR(__xludf.DUMMYFUNCTION("""COMPUTED_VALUE"""),"Sabado")</f>
        <v>Sabado</v>
      </c>
      <c r="E1791" s="1" t="str">
        <f>IFERROR(__xludf.DUMMYFUNCTION("""COMPUTED_VALUE"""),"Dapat  mga pari at Obispo dito sa Pilipinas   isumbong Kay pop Francis  dahil nakikialam Sila sa mga Politiko   imbis na mangaral        Nakikialam Sila  kaya Yong mga katoliko lulipat sa  iBang  Relihiyon    parang mga loko")</f>
        <v>Dapat  mga pari at Obispo dito sa Pilipinas   isumbong Kay pop Francis  dahil nakikialam Sila sa mga Politiko   imbis na mangaral        Nakikialam Sila  kaya Yong mga katoliko lulipat sa  iBang  Relihiyon    parang mga loko</v>
      </c>
      <c r="F1791" s="1">
        <f>IFERROR(__xludf.DUMMYFUNCTION("""COMPUTED_VALUE"""),1.0)</f>
        <v>1</v>
      </c>
      <c r="G1791" s="1" t="str">
        <f>IFERROR(__xludf.DUMMYFUNCTION("""COMPUTED_VALUE"""),"3 mos")</f>
        <v>3 mos</v>
      </c>
      <c r="H1791" s="1" t="str">
        <f>IFERROR(__xludf.DUMMYFUNCTION("""COMPUTED_VALUE"""),"comment")</f>
        <v>comment</v>
      </c>
      <c r="I1791" s="2" t="str">
        <f>IFERROR(__xludf.DUMMYFUNCTION("""COMPUTED_VALUE"""),"https://www.facebook.com/rapplerdotcom/photos/a.317154781638645/5595372260483511/")</f>
        <v>https://www.facebook.com/rapplerdotcom/photos/a.317154781638645/5595372260483511/</v>
      </c>
      <c r="J1791" s="1" t="str">
        <f>IFERROR(__xludf.DUMMYFUNCTION("""COMPUTED_VALUE"""),"2022-07-04T15:44:55.425Z")</f>
        <v>2022-07-04T15:44:55.425Z</v>
      </c>
      <c r="K1791" s="1"/>
    </row>
    <row r="1792">
      <c r="A1792" s="2" t="str">
        <f>IFERROR(__xludf.DUMMYFUNCTION("""COMPUTED_VALUE"""),"https://www.facebook.com/pol.lareza.9")</f>
        <v>https://www.facebook.com/pol.lareza.9</v>
      </c>
      <c r="B1792" s="1" t="str">
        <f>IFERROR(__xludf.DUMMYFUNCTION("""COMPUTED_VALUE"""),"Pol Lareza")</f>
        <v>Pol Lareza</v>
      </c>
      <c r="C1792" s="1" t="str">
        <f>IFERROR(__xludf.DUMMYFUNCTION("""COMPUTED_VALUE"""),"Pol")</f>
        <v>Pol</v>
      </c>
      <c r="D1792" s="1" t="str">
        <f>IFERROR(__xludf.DUMMYFUNCTION("""COMPUTED_VALUE"""),"Lareza")</f>
        <v>Lareza</v>
      </c>
      <c r="E1792" s="1" t="str">
        <f>IFERROR(__xludf.DUMMYFUNCTION("""COMPUTED_VALUE"""),"Paano kaya yun eh faith kay Kiboloy ang gusto nung isa...")</f>
        <v>Paano kaya yun eh faith kay Kiboloy ang gusto nung isa...</v>
      </c>
      <c r="F1792" s="1"/>
      <c r="G1792" s="1" t="str">
        <f>IFERROR(__xludf.DUMMYFUNCTION("""COMPUTED_VALUE"""),"3 mos")</f>
        <v>3 mos</v>
      </c>
      <c r="H1792" s="1" t="str">
        <f>IFERROR(__xludf.DUMMYFUNCTION("""COMPUTED_VALUE"""),"comment")</f>
        <v>comment</v>
      </c>
      <c r="I1792" s="2" t="str">
        <f>IFERROR(__xludf.DUMMYFUNCTION("""COMPUTED_VALUE"""),"https://www.facebook.com/rapplerdotcom/photos/a.317154781638645/5595372260483511/")</f>
        <v>https://www.facebook.com/rapplerdotcom/photos/a.317154781638645/5595372260483511/</v>
      </c>
      <c r="J1792" s="1" t="str">
        <f>IFERROR(__xludf.DUMMYFUNCTION("""COMPUTED_VALUE"""),"2022-07-04T15:44:55.425Z")</f>
        <v>2022-07-04T15:44:55.425Z</v>
      </c>
      <c r="K1792" s="1"/>
    </row>
    <row r="1793">
      <c r="A1793" s="2" t="str">
        <f>IFERROR(__xludf.DUMMYFUNCTION("""COMPUTED_VALUE"""),"https://www.facebook.com/sham.cunanan.7")</f>
        <v>https://www.facebook.com/sham.cunanan.7</v>
      </c>
      <c r="B1793" s="1" t="str">
        <f>IFERROR(__xludf.DUMMYFUNCTION("""COMPUTED_VALUE"""),"Sha Ma")</f>
        <v>Sha Ma</v>
      </c>
      <c r="C1793" s="1" t="str">
        <f>IFERROR(__xludf.DUMMYFUNCTION("""COMPUTED_VALUE"""),"Sha")</f>
        <v>Sha</v>
      </c>
      <c r="D1793" s="1" t="str">
        <f>IFERROR(__xludf.DUMMYFUNCTION("""COMPUTED_VALUE"""),"Ma")</f>
        <v>Ma</v>
      </c>
      <c r="E1793" s="1" t="str">
        <f>IFERROR(__xludf.DUMMYFUNCTION("""COMPUTED_VALUE"""),"🤦la nakong masabi pa😂")</f>
        <v>🤦la nakong masabi pa😂</v>
      </c>
      <c r="F1793" s="1"/>
      <c r="G1793" s="1" t="str">
        <f>IFERROR(__xludf.DUMMYFUNCTION("""COMPUTED_VALUE"""),"3 mos")</f>
        <v>3 mos</v>
      </c>
      <c r="H1793" s="1" t="str">
        <f>IFERROR(__xludf.DUMMYFUNCTION("""COMPUTED_VALUE"""),"comment")</f>
        <v>comment</v>
      </c>
      <c r="I1793" s="2" t="str">
        <f>IFERROR(__xludf.DUMMYFUNCTION("""COMPUTED_VALUE"""),"https://www.facebook.com/rapplerdotcom/photos/a.317154781638645/5595372260483511/")</f>
        <v>https://www.facebook.com/rapplerdotcom/photos/a.317154781638645/5595372260483511/</v>
      </c>
      <c r="J1793" s="1" t="str">
        <f>IFERROR(__xludf.DUMMYFUNCTION("""COMPUTED_VALUE"""),"2022-07-04T15:44:55.425Z")</f>
        <v>2022-07-04T15:44:55.425Z</v>
      </c>
      <c r="K1793" s="1"/>
    </row>
    <row r="1794">
      <c r="A1794" s="2" t="str">
        <f>IFERROR(__xludf.DUMMYFUNCTION("""COMPUTED_VALUE"""),"https://www.facebook.com/rlduldulao")</f>
        <v>https://www.facebook.com/rlduldulao</v>
      </c>
      <c r="B1794" s="1" t="str">
        <f>IFERROR(__xludf.DUMMYFUNCTION("""COMPUTED_VALUE"""),"Randy Duldulao")</f>
        <v>Randy Duldulao</v>
      </c>
      <c r="C1794" s="1" t="str">
        <f>IFERROR(__xludf.DUMMYFUNCTION("""COMPUTED_VALUE"""),"Randy")</f>
        <v>Randy</v>
      </c>
      <c r="D1794" s="1" t="str">
        <f>IFERROR(__xludf.DUMMYFUNCTION("""COMPUTED_VALUE"""),"Duldulao")</f>
        <v>Duldulao</v>
      </c>
      <c r="E1794" s="1" t="str">
        <f>IFERROR(__xludf.DUMMYFUNCTION("""COMPUTED_VALUE"""),"📍 SOLEMN dapat, disente, at walang bahid-dungis. CBCP forum ito. 🤭🤣")</f>
        <v>📍 SOLEMN dapat, disente, at walang bahid-dungis. CBCP forum ito. 🤭🤣</v>
      </c>
      <c r="F1794" s="1"/>
      <c r="G1794" s="1" t="str">
        <f>IFERROR(__xludf.DUMMYFUNCTION("""COMPUTED_VALUE"""),"3 mos")</f>
        <v>3 mos</v>
      </c>
      <c r="H1794" s="1" t="str">
        <f>IFERROR(__xludf.DUMMYFUNCTION("""COMPUTED_VALUE"""),"comment")</f>
        <v>comment</v>
      </c>
      <c r="I1794" s="2" t="str">
        <f>IFERROR(__xludf.DUMMYFUNCTION("""COMPUTED_VALUE"""),"https://www.facebook.com/rapplerdotcom/photos/a.317154781638645/5595372260483511/")</f>
        <v>https://www.facebook.com/rapplerdotcom/photos/a.317154781638645/5595372260483511/</v>
      </c>
      <c r="J1794" s="1" t="str">
        <f>IFERROR(__xludf.DUMMYFUNCTION("""COMPUTED_VALUE"""),"2022-07-04T15:44:55.425Z")</f>
        <v>2022-07-04T15:44:55.425Z</v>
      </c>
      <c r="K1794" s="1"/>
    </row>
    <row r="1795">
      <c r="A1795" s="2" t="str">
        <f>IFERROR(__xludf.DUMMYFUNCTION("""COMPUTED_VALUE"""),"https://www.facebook.com/clark.collin.583")</f>
        <v>https://www.facebook.com/clark.collin.583</v>
      </c>
      <c r="B1795" s="1" t="str">
        <f>IFERROR(__xludf.DUMMYFUNCTION("""COMPUTED_VALUE"""),"Clark Collin")</f>
        <v>Clark Collin</v>
      </c>
      <c r="C1795" s="1" t="str">
        <f>IFERROR(__xludf.DUMMYFUNCTION("""COMPUTED_VALUE"""),"Clark")</f>
        <v>Clark</v>
      </c>
      <c r="D1795" s="1" t="str">
        <f>IFERROR(__xludf.DUMMYFUNCTION("""COMPUTED_VALUE"""),"Collin")</f>
        <v>Collin</v>
      </c>
      <c r="E1795" s="1" t="str">
        <f>IFERROR(__xludf.DUMMYFUNCTION("""COMPUTED_VALUE"""),"Ewan ko d mhirap k tlga mgexplain")</f>
        <v>Ewan ko d mhirap k tlga mgexplain</v>
      </c>
      <c r="F1795" s="1"/>
      <c r="G1795" s="1" t="str">
        <f>IFERROR(__xludf.DUMMYFUNCTION("""COMPUTED_VALUE"""),"3 mos")</f>
        <v>3 mos</v>
      </c>
      <c r="H1795" s="1" t="str">
        <f>IFERROR(__xludf.DUMMYFUNCTION("""COMPUTED_VALUE"""),"comment")</f>
        <v>comment</v>
      </c>
      <c r="I1795" s="2" t="str">
        <f>IFERROR(__xludf.DUMMYFUNCTION("""COMPUTED_VALUE"""),"https://www.facebook.com/rapplerdotcom/photos/a.317154781638645/5595372260483511/")</f>
        <v>https://www.facebook.com/rapplerdotcom/photos/a.317154781638645/5595372260483511/</v>
      </c>
      <c r="J1795" s="1" t="str">
        <f>IFERROR(__xludf.DUMMYFUNCTION("""COMPUTED_VALUE"""),"2022-07-04T15:44:55.425Z")</f>
        <v>2022-07-04T15:44:55.425Z</v>
      </c>
      <c r="K1795" s="1"/>
    </row>
    <row r="1796">
      <c r="A1796" s="2" t="str">
        <f>IFERROR(__xludf.DUMMYFUNCTION("""COMPUTED_VALUE"""),"https://www.facebook.com/profile.php?id=100074949353472")</f>
        <v>https://www.facebook.com/profile.php?id=100074949353472</v>
      </c>
      <c r="B1796" s="1" t="str">
        <f>IFERROR(__xludf.DUMMYFUNCTION("""COMPUTED_VALUE"""),"Kram Ynothna")</f>
        <v>Kram Ynothna</v>
      </c>
      <c r="C1796" s="1" t="str">
        <f>IFERROR(__xludf.DUMMYFUNCTION("""COMPUTED_VALUE"""),"Kram")</f>
        <v>Kram</v>
      </c>
      <c r="D1796" s="1" t="str">
        <f>IFERROR(__xludf.DUMMYFUNCTION("""COMPUTED_VALUE"""),"Ynothna")</f>
        <v>Ynothna</v>
      </c>
      <c r="E1796" s="1" t="str">
        <f>IFERROR(__xludf.DUMMYFUNCTION("""COMPUTED_VALUE"""),"ANg Pilipinas ay pAra sa mga Pilipino kaya't Mahalin Natin ito💚♥️... #bayanbangonmuli #bbmsarauniteam2022 #BBMPARASAPAGBABAGO #indaysaraforvicepresident2022 #BBMPresident2022")</f>
        <v>ANg Pilipinas ay pAra sa mga Pilipino kaya't Mahalin Natin ito💚♥️... #bayanbangonmuli #bbmsarauniteam2022 #BBMPARASAPAGBABAGO #indaysaraforvicepresident2022 #BBMPresident2022</v>
      </c>
      <c r="F1796" s="1"/>
      <c r="G1796" s="1" t="str">
        <f>IFERROR(__xludf.DUMMYFUNCTION("""COMPUTED_VALUE"""),"3 mos")</f>
        <v>3 mos</v>
      </c>
      <c r="H1796" s="1" t="str">
        <f>IFERROR(__xludf.DUMMYFUNCTION("""COMPUTED_VALUE"""),"comment")</f>
        <v>comment</v>
      </c>
      <c r="I1796" s="2" t="str">
        <f>IFERROR(__xludf.DUMMYFUNCTION("""COMPUTED_VALUE"""),"https://www.facebook.com/rapplerdotcom/photos/a.317154781638645/5595372260483511/")</f>
        <v>https://www.facebook.com/rapplerdotcom/photos/a.317154781638645/5595372260483511/</v>
      </c>
      <c r="J1796" s="1" t="str">
        <f>IFERROR(__xludf.DUMMYFUNCTION("""COMPUTED_VALUE"""),"2022-07-04T15:44:55.425Z")</f>
        <v>2022-07-04T15:44:55.425Z</v>
      </c>
      <c r="K1796" s="1"/>
    </row>
    <row r="1797">
      <c r="A1797" s="2" t="str">
        <f>IFERROR(__xludf.DUMMYFUNCTION("""COMPUTED_VALUE"""),"https://www.facebook.com/rolando.adriano")</f>
        <v>https://www.facebook.com/rolando.adriano</v>
      </c>
      <c r="B1797" s="1" t="str">
        <f>IFERROR(__xludf.DUMMYFUNCTION("""COMPUTED_VALUE"""),"Adrianne Rolly")</f>
        <v>Adrianne Rolly</v>
      </c>
      <c r="C1797" s="1" t="str">
        <f>IFERROR(__xludf.DUMMYFUNCTION("""COMPUTED_VALUE"""),"Adrianne")</f>
        <v>Adrianne</v>
      </c>
      <c r="D1797" s="1" t="str">
        <f>IFERROR(__xludf.DUMMYFUNCTION("""COMPUTED_VALUE"""),"Rolly")</f>
        <v>Rolly</v>
      </c>
      <c r="E1797" s="1" t="str">
        <f>IFERROR(__xludf.DUMMYFUNCTION("""COMPUTED_VALUE"""),"Summary niyan Unity! Nangopya na naman. Kasi kasi kasi..ung lalaban ako nung una wala na?")</f>
        <v>Summary niyan Unity! Nangopya na naman. Kasi kasi kasi..ung lalaban ako nung una wala na?</v>
      </c>
      <c r="F1797" s="1"/>
      <c r="G1797" s="1" t="str">
        <f>IFERROR(__xludf.DUMMYFUNCTION("""COMPUTED_VALUE"""),"3 mos")</f>
        <v>3 mos</v>
      </c>
      <c r="H1797" s="1" t="str">
        <f>IFERROR(__xludf.DUMMYFUNCTION("""COMPUTED_VALUE"""),"comment")</f>
        <v>comment</v>
      </c>
      <c r="I1797" s="2" t="str">
        <f>IFERROR(__xludf.DUMMYFUNCTION("""COMPUTED_VALUE"""),"https://www.facebook.com/rapplerdotcom/photos/a.317154781638645/5595372260483511/")</f>
        <v>https://www.facebook.com/rapplerdotcom/photos/a.317154781638645/5595372260483511/</v>
      </c>
      <c r="J1797" s="1" t="str">
        <f>IFERROR(__xludf.DUMMYFUNCTION("""COMPUTED_VALUE"""),"2022-07-04T15:44:55.425Z")</f>
        <v>2022-07-04T15:44:55.425Z</v>
      </c>
      <c r="K1797" s="1"/>
    </row>
    <row r="1798">
      <c r="A1798" s="2" t="str">
        <f>IFERROR(__xludf.DUMMYFUNCTION("""COMPUTED_VALUE"""),"https://www.facebook.com/profile.php?id=100078467486543")</f>
        <v>https://www.facebook.com/profile.php?id=100078467486543</v>
      </c>
      <c r="B1798" s="1" t="str">
        <f>IFERROR(__xludf.DUMMYFUNCTION("""COMPUTED_VALUE"""),"Terence Hill Fetalsana")</f>
        <v>Terence Hill Fetalsana</v>
      </c>
      <c r="C1798" s="1" t="str">
        <f>IFERROR(__xludf.DUMMYFUNCTION("""COMPUTED_VALUE"""),"Terence")</f>
        <v>Terence</v>
      </c>
      <c r="D1798" s="1" t="str">
        <f>IFERROR(__xludf.DUMMYFUNCTION("""COMPUTED_VALUE"""),"Hill Fetalsana")</f>
        <v>Hill Fetalsana</v>
      </c>
      <c r="E1798" s="1" t="str">
        <f>IFERROR(__xludf.DUMMYFUNCTION("""COMPUTED_VALUE"""),"BBMSARA po✌️✌️✌️👊👊👊")</f>
        <v>BBMSARA po✌️✌️✌️👊👊👊</v>
      </c>
      <c r="F1798" s="1"/>
      <c r="G1798" s="1" t="str">
        <f>IFERROR(__xludf.DUMMYFUNCTION("""COMPUTED_VALUE"""),"3 mos")</f>
        <v>3 mos</v>
      </c>
      <c r="H1798" s="1" t="str">
        <f>IFERROR(__xludf.DUMMYFUNCTION("""COMPUTED_VALUE"""),"comment")</f>
        <v>comment</v>
      </c>
      <c r="I1798" s="2" t="str">
        <f>IFERROR(__xludf.DUMMYFUNCTION("""COMPUTED_VALUE"""),"https://www.facebook.com/rapplerdotcom/photos/a.317154781638645/5595372260483511/")</f>
        <v>https://www.facebook.com/rapplerdotcom/photos/a.317154781638645/5595372260483511/</v>
      </c>
      <c r="J1798" s="1" t="str">
        <f>IFERROR(__xludf.DUMMYFUNCTION("""COMPUTED_VALUE"""),"2022-07-04T15:44:55.425Z")</f>
        <v>2022-07-04T15:44:55.425Z</v>
      </c>
      <c r="K1798" s="1"/>
    </row>
    <row r="1799">
      <c r="A1799" s="2" t="str">
        <f>IFERROR(__xludf.DUMMYFUNCTION("""COMPUTED_VALUE"""),"https://www.facebook.com/tony.deguzman.104")</f>
        <v>https://www.facebook.com/tony.deguzman.104</v>
      </c>
      <c r="B1799" s="1" t="str">
        <f>IFERROR(__xludf.DUMMYFUNCTION("""COMPUTED_VALUE"""),"Tony de Guzman")</f>
        <v>Tony de Guzman</v>
      </c>
      <c r="C1799" s="1" t="str">
        <f>IFERROR(__xludf.DUMMYFUNCTION("""COMPUTED_VALUE"""),"Tony")</f>
        <v>Tony</v>
      </c>
      <c r="D1799" s="1" t="str">
        <f>IFERROR(__xludf.DUMMYFUNCTION("""COMPUTED_VALUE"""),"de Guzman")</f>
        <v>de Guzman</v>
      </c>
      <c r="E1799" s="1" t="str">
        <f>IFERROR(__xludf.DUMMYFUNCTION("""COMPUTED_VALUE"""),"Kay Prof. Carlos k magpaliwanag,😂😂")</f>
        <v>Kay Prof. Carlos k magpaliwanag,😂😂</v>
      </c>
      <c r="F1799" s="1"/>
      <c r="G1799" s="1" t="str">
        <f>IFERROR(__xludf.DUMMYFUNCTION("""COMPUTED_VALUE"""),"3 mos")</f>
        <v>3 mos</v>
      </c>
      <c r="H1799" s="1" t="str">
        <f>IFERROR(__xludf.DUMMYFUNCTION("""COMPUTED_VALUE"""),"comment")</f>
        <v>comment</v>
      </c>
      <c r="I1799" s="2" t="str">
        <f>IFERROR(__xludf.DUMMYFUNCTION("""COMPUTED_VALUE"""),"https://www.facebook.com/rapplerdotcom/photos/a.317154781638645/5595372260483511/")</f>
        <v>https://www.facebook.com/rapplerdotcom/photos/a.317154781638645/5595372260483511/</v>
      </c>
      <c r="J1799" s="1" t="str">
        <f>IFERROR(__xludf.DUMMYFUNCTION("""COMPUTED_VALUE"""),"2022-07-04T15:44:55.425Z")</f>
        <v>2022-07-04T15:44:55.425Z</v>
      </c>
      <c r="K1799" s="1"/>
    </row>
    <row r="1800">
      <c r="A1800" s="2" t="str">
        <f>IFERROR(__xludf.DUMMYFUNCTION("""COMPUTED_VALUE"""),"https://www.facebook.com/elmer.cordero.3")</f>
        <v>https://www.facebook.com/elmer.cordero.3</v>
      </c>
      <c r="B1800" s="1" t="str">
        <f>IFERROR(__xludf.DUMMYFUNCTION("""COMPUTED_VALUE"""),"Elmer Cordero")</f>
        <v>Elmer Cordero</v>
      </c>
      <c r="C1800" s="1" t="str">
        <f>IFERROR(__xludf.DUMMYFUNCTION("""COMPUTED_VALUE"""),"Elmer")</f>
        <v>Elmer</v>
      </c>
      <c r="D1800" s="1" t="str">
        <f>IFERROR(__xludf.DUMMYFUNCTION("""COMPUTED_VALUE"""),"Cordero")</f>
        <v>Cordero</v>
      </c>
      <c r="E1800" s="1" t="str">
        <f>IFERROR(__xludf.DUMMYFUNCTION("""COMPUTED_VALUE"""),"hndi ba UNITY lang sagot jan? sa lahat ng problema ng bansa unity lng at day care 😂🤣🤣🤣")</f>
        <v>hndi ba UNITY lang sagot jan? sa lahat ng problema ng bansa unity lng at day care 😂🤣🤣🤣</v>
      </c>
      <c r="F1800" s="1"/>
      <c r="G1800" s="1" t="str">
        <f>IFERROR(__xludf.DUMMYFUNCTION("""COMPUTED_VALUE"""),"3 mos")</f>
        <v>3 mos</v>
      </c>
      <c r="H1800" s="1" t="str">
        <f>IFERROR(__xludf.DUMMYFUNCTION("""COMPUTED_VALUE"""),"comment")</f>
        <v>comment</v>
      </c>
      <c r="I1800" s="2" t="str">
        <f>IFERROR(__xludf.DUMMYFUNCTION("""COMPUTED_VALUE"""),"https://www.facebook.com/rapplerdotcom/photos/a.317154781638645/5595372260483511/")</f>
        <v>https://www.facebook.com/rapplerdotcom/photos/a.317154781638645/5595372260483511/</v>
      </c>
      <c r="J1800" s="1" t="str">
        <f>IFERROR(__xludf.DUMMYFUNCTION("""COMPUTED_VALUE"""),"2022-07-04T15:44:55.425Z")</f>
        <v>2022-07-04T15:44:55.425Z</v>
      </c>
      <c r="K1800" s="1"/>
    </row>
    <row r="1801">
      <c r="A1801" s="2" t="str">
        <f>IFERROR(__xludf.DUMMYFUNCTION("""COMPUTED_VALUE"""),"https://www.facebook.com/profile.php?id=100077069798588")</f>
        <v>https://www.facebook.com/profile.php?id=100077069798588</v>
      </c>
      <c r="B1801" s="1" t="str">
        <f>IFERROR(__xludf.DUMMYFUNCTION("""COMPUTED_VALUE"""),"Al Vin")</f>
        <v>Al Vin</v>
      </c>
      <c r="C1801" s="1" t="str">
        <f>IFERROR(__xludf.DUMMYFUNCTION("""COMPUTED_VALUE"""),"Al")</f>
        <v>Al</v>
      </c>
      <c r="D1801" s="1" t="str">
        <f>IFERROR(__xludf.DUMMYFUNCTION("""COMPUTED_VALUE"""),"Vin")</f>
        <v>Vin</v>
      </c>
      <c r="E1801" s="1" t="str">
        <f>IFERROR(__xludf.DUMMYFUNCTION("""COMPUTED_VALUE"""),"Correct po nakaka tulong sa consensiya it help us double think kung tama ba to or hindi &lt;3 💌💌💌💌💌 #OurVoteOurFuture #LeniKiko2022 #BangonPilipinas #VotePH #TheFilipinoVotes #RosasAngKulayNgBukas #GobyernongTapatAngatBuhayLahat #HusayAtTibay #bilangpil"&amp;"ipino2022 http://lazada.cyou/leni2022")</f>
        <v>Correct po nakaka tulong sa consensiya it help us double think kung tama ba to or hindi &lt;3 💌💌💌💌💌 #OurVoteOurFuture #LeniKiko2022 #BangonPilipinas #VotePH #TheFilipinoVotes #RosasAngKulayNgBukas #GobyernongTapatAngatBuhayLahat #HusayAtTibay #bilangpilipino2022 http://lazada.cyou/leni2022</v>
      </c>
      <c r="F1801" s="1"/>
      <c r="G1801" s="1" t="str">
        <f>IFERROR(__xludf.DUMMYFUNCTION("""COMPUTED_VALUE"""),"3 mos")</f>
        <v>3 mos</v>
      </c>
      <c r="H1801" s="1" t="str">
        <f>IFERROR(__xludf.DUMMYFUNCTION("""COMPUTED_VALUE"""),"comment")</f>
        <v>comment</v>
      </c>
      <c r="I1801" s="2" t="str">
        <f>IFERROR(__xludf.DUMMYFUNCTION("""COMPUTED_VALUE"""),"https://www.facebook.com/rapplerdotcom/photos/a.317154781638645/5595372260483511/")</f>
        <v>https://www.facebook.com/rapplerdotcom/photos/a.317154781638645/5595372260483511/</v>
      </c>
      <c r="J1801" s="1" t="str">
        <f>IFERROR(__xludf.DUMMYFUNCTION("""COMPUTED_VALUE"""),"2022-07-04T15:44:55.425Z")</f>
        <v>2022-07-04T15:44:55.425Z</v>
      </c>
      <c r="K1801" s="1"/>
    </row>
    <row r="1802">
      <c r="A1802" s="2" t="str">
        <f>IFERROR(__xludf.DUMMYFUNCTION("""COMPUTED_VALUE"""),"https://www.facebook.com/profile.php?id=100079452280429")</f>
        <v>https://www.facebook.com/profile.php?id=100079452280429</v>
      </c>
      <c r="B1802" s="1" t="str">
        <f>IFERROR(__xludf.DUMMYFUNCTION("""COMPUTED_VALUE"""),"Emmanuel Kenneth Escalante")</f>
        <v>Emmanuel Kenneth Escalante</v>
      </c>
      <c r="C1802" s="1" t="str">
        <f>IFERROR(__xludf.DUMMYFUNCTION("""COMPUTED_VALUE"""),"Emmanuel")</f>
        <v>Emmanuel</v>
      </c>
      <c r="D1802" s="1" t="str">
        <f>IFERROR(__xludf.DUMMYFUNCTION("""COMPUTED_VALUE"""),"Kenneth Escalante")</f>
        <v>Kenneth Escalante</v>
      </c>
      <c r="E1802" s="1" t="str">
        <f>IFERROR(__xludf.DUMMYFUNCTION("""COMPUTED_VALUE"""),"Accurate, that's the best thing to do. It is strategic in a way that Filipinos tend to believe in religious leaders because they use the 'teachings of God' in ordering their church members in terms of moral aspect. When Church is involved, it can influenc"&amp;"e the minds of their believers regards with this topic. This is also a long-term solution because 'mind-conditioning' especially when Bible teachings are concerned, will seed the moral mindset of everyone.")</f>
        <v>Accurate, that's the best thing to do. It is strategic in a way that Filipinos tend to believe in religious leaders because they use the 'teachings of God' in ordering their church members in terms of moral aspect. When Church is involved, it can influence the minds of their believers regards with this topic. This is also a long-term solution because 'mind-conditioning' especially when Bible teachings are concerned, will seed the moral mindset of everyone.</v>
      </c>
      <c r="F1802" s="1"/>
      <c r="G1802" s="1" t="str">
        <f>IFERROR(__xludf.DUMMYFUNCTION("""COMPUTED_VALUE"""),"3 mos")</f>
        <v>3 mos</v>
      </c>
      <c r="H1802" s="1" t="str">
        <f>IFERROR(__xludf.DUMMYFUNCTION("""COMPUTED_VALUE"""),"comment")</f>
        <v>comment</v>
      </c>
      <c r="I1802" s="2" t="str">
        <f>IFERROR(__xludf.DUMMYFUNCTION("""COMPUTED_VALUE"""),"https://www.facebook.com/rapplerdotcom/photos/a.317154781638645/5595372260483511/")</f>
        <v>https://www.facebook.com/rapplerdotcom/photos/a.317154781638645/5595372260483511/</v>
      </c>
      <c r="J1802" s="1" t="str">
        <f>IFERROR(__xludf.DUMMYFUNCTION("""COMPUTED_VALUE"""),"2022-07-04T15:44:55.425Z")</f>
        <v>2022-07-04T15:44:55.425Z</v>
      </c>
      <c r="K1802" s="1"/>
    </row>
    <row r="1803">
      <c r="A1803" s="2" t="str">
        <f>IFERROR(__xludf.DUMMYFUNCTION("""COMPUTED_VALUE"""),"https://www.facebook.com/claridad.delfin")</f>
        <v>https://www.facebook.com/claridad.delfin</v>
      </c>
      <c r="B1803" s="1" t="str">
        <f>IFERROR(__xludf.DUMMYFUNCTION("""COMPUTED_VALUE"""),"Boyetski Delfin Lavapiez Claridad III")</f>
        <v>Boyetski Delfin Lavapiez Claridad III</v>
      </c>
      <c r="C1803" s="1" t="str">
        <f>IFERROR(__xludf.DUMMYFUNCTION("""COMPUTED_VALUE"""),"Boyetski")</f>
        <v>Boyetski</v>
      </c>
      <c r="D1803" s="1" t="str">
        <f>IFERROR(__xludf.DUMMYFUNCTION("""COMPUTED_VALUE"""),"Delfin Lavapiez Claridad III")</f>
        <v>Delfin Lavapiez Claridad III</v>
      </c>
      <c r="E1803" s="1" t="str">
        <f>IFERROR(__xludf.DUMMYFUNCTION("""COMPUTED_VALUE"""),"Wag gamitin ang simbahan sa katarantadohan nyo.")</f>
        <v>Wag gamitin ang simbahan sa katarantadohan nyo.</v>
      </c>
      <c r="F1803" s="1"/>
      <c r="G1803" s="1" t="str">
        <f>IFERROR(__xludf.DUMMYFUNCTION("""COMPUTED_VALUE"""),"3 mos")</f>
        <v>3 mos</v>
      </c>
      <c r="H1803" s="1" t="str">
        <f>IFERROR(__xludf.DUMMYFUNCTION("""COMPUTED_VALUE"""),"comment")</f>
        <v>comment</v>
      </c>
      <c r="I1803" s="2" t="str">
        <f>IFERROR(__xludf.DUMMYFUNCTION("""COMPUTED_VALUE"""),"https://www.facebook.com/rapplerdotcom/photos/a.317154781638645/5595372260483511/")</f>
        <v>https://www.facebook.com/rapplerdotcom/photos/a.317154781638645/5595372260483511/</v>
      </c>
      <c r="J1803" s="1" t="str">
        <f>IFERROR(__xludf.DUMMYFUNCTION("""COMPUTED_VALUE"""),"2022-07-04T15:44:55.425Z")</f>
        <v>2022-07-04T15:44:55.425Z</v>
      </c>
      <c r="K1803" s="1"/>
    </row>
    <row r="1804">
      <c r="A1804" s="2" t="str">
        <f>IFERROR(__xludf.DUMMYFUNCTION("""COMPUTED_VALUE"""),"https://www.facebook.com/little.master.7792")</f>
        <v>https://www.facebook.com/little.master.7792</v>
      </c>
      <c r="B1804" s="1" t="str">
        <f>IFERROR(__xludf.DUMMYFUNCTION("""COMPUTED_VALUE"""),"Little Master")</f>
        <v>Little Master</v>
      </c>
      <c r="C1804" s="1" t="str">
        <f>IFERROR(__xludf.DUMMYFUNCTION("""COMPUTED_VALUE"""),"Little")</f>
        <v>Little</v>
      </c>
      <c r="D1804" s="1" t="str">
        <f>IFERROR(__xludf.DUMMYFUNCTION("""COMPUTED_VALUE"""),"Master")</f>
        <v>Master</v>
      </c>
      <c r="E1804" s="1" t="str">
        <f>IFERROR(__xludf.DUMMYFUNCTION("""COMPUTED_VALUE"""),"Dapat naka pink ka para solid kayo triple kara")</f>
        <v>Dapat naka pink ka para solid kayo triple kara</v>
      </c>
      <c r="F1804" s="1"/>
      <c r="G1804" s="1" t="str">
        <f>IFERROR(__xludf.DUMMYFUNCTION("""COMPUTED_VALUE"""),"3 mos")</f>
        <v>3 mos</v>
      </c>
      <c r="H1804" s="1" t="str">
        <f>IFERROR(__xludf.DUMMYFUNCTION("""COMPUTED_VALUE"""),"comment")</f>
        <v>comment</v>
      </c>
      <c r="I1804" s="2" t="str">
        <f>IFERROR(__xludf.DUMMYFUNCTION("""COMPUTED_VALUE"""),"https://www.facebook.com/rapplerdotcom/photos/a.317154781638645/5595372260483511/")</f>
        <v>https://www.facebook.com/rapplerdotcom/photos/a.317154781638645/5595372260483511/</v>
      </c>
      <c r="J1804" s="1" t="str">
        <f>IFERROR(__xludf.DUMMYFUNCTION("""COMPUTED_VALUE"""),"2022-07-04T15:44:55.425Z")</f>
        <v>2022-07-04T15:44:55.425Z</v>
      </c>
      <c r="K1804" s="1"/>
    </row>
    <row r="1805">
      <c r="A1805" s="2" t="str">
        <f>IFERROR(__xludf.DUMMYFUNCTION("""COMPUTED_VALUE"""),"https://www.facebook.com/marlon.pumicpic")</f>
        <v>https://www.facebook.com/marlon.pumicpic</v>
      </c>
      <c r="B1805" s="1" t="str">
        <f>IFERROR(__xludf.DUMMYFUNCTION("""COMPUTED_VALUE"""),"Marlon Pump")</f>
        <v>Marlon Pump</v>
      </c>
      <c r="C1805" s="1" t="str">
        <f>IFERROR(__xludf.DUMMYFUNCTION("""COMPUTED_VALUE"""),"Marlon")</f>
        <v>Marlon</v>
      </c>
      <c r="D1805" s="1" t="str">
        <f>IFERROR(__xludf.DUMMYFUNCTION("""COMPUTED_VALUE"""),"Pump")</f>
        <v>Pump</v>
      </c>
      <c r="E1805" s="1" t="str">
        <f>IFERROR(__xludf.DUMMYFUNCTION("""COMPUTED_VALUE"""),"Ayan na naman ang Mother of all Mother Statement 🤣🤣🤣🤣🤣🤣")</f>
        <v>Ayan na naman ang Mother of all Mother Statement 🤣🤣🤣🤣🤣🤣</v>
      </c>
      <c r="F1805" s="1"/>
      <c r="G1805" s="1" t="str">
        <f>IFERROR(__xludf.DUMMYFUNCTION("""COMPUTED_VALUE"""),"3 mos")</f>
        <v>3 mos</v>
      </c>
      <c r="H1805" s="1" t="str">
        <f>IFERROR(__xludf.DUMMYFUNCTION("""COMPUTED_VALUE"""),"comment")</f>
        <v>comment</v>
      </c>
      <c r="I1805" s="2" t="str">
        <f>IFERROR(__xludf.DUMMYFUNCTION("""COMPUTED_VALUE"""),"https://www.facebook.com/rapplerdotcom/photos/a.317154781638645/5595372260483511/")</f>
        <v>https://www.facebook.com/rapplerdotcom/photos/a.317154781638645/5595372260483511/</v>
      </c>
      <c r="J1805" s="1" t="str">
        <f>IFERROR(__xludf.DUMMYFUNCTION("""COMPUTED_VALUE"""),"2022-07-04T15:44:55.426Z")</f>
        <v>2022-07-04T15:44:55.426Z</v>
      </c>
      <c r="K1805" s="1"/>
    </row>
    <row r="1806">
      <c r="A1806" s="2" t="str">
        <f>IFERROR(__xludf.DUMMYFUNCTION("""COMPUTED_VALUE"""),"https://www.facebook.com/profile.php?id=100079481263558")</f>
        <v>https://www.facebook.com/profile.php?id=100079481263558</v>
      </c>
      <c r="B1806" s="1" t="str">
        <f>IFERROR(__xludf.DUMMYFUNCTION("""COMPUTED_VALUE"""),"Aiko To")</f>
        <v>Aiko To</v>
      </c>
      <c r="C1806" s="1" t="str">
        <f>IFERROR(__xludf.DUMMYFUNCTION("""COMPUTED_VALUE"""),"Aiko")</f>
        <v>Aiko</v>
      </c>
      <c r="D1806" s="1" t="str">
        <f>IFERROR(__xludf.DUMMYFUNCTION("""COMPUTED_VALUE"""),"To")</f>
        <v>To</v>
      </c>
      <c r="E1806" s="1" t="str">
        <f>IFERROR(__xludf.DUMMYFUNCTION("""COMPUTED_VALUE"""),"Prng c pakyaw lang ah...")</f>
        <v>Prng c pakyaw lang ah...</v>
      </c>
      <c r="F1806" s="1"/>
      <c r="G1806" s="1" t="str">
        <f>IFERROR(__xludf.DUMMYFUNCTION("""COMPUTED_VALUE"""),"3 mos")</f>
        <v>3 mos</v>
      </c>
      <c r="H1806" s="1" t="str">
        <f>IFERROR(__xludf.DUMMYFUNCTION("""COMPUTED_VALUE"""),"comment")</f>
        <v>comment</v>
      </c>
      <c r="I1806" s="2" t="str">
        <f>IFERROR(__xludf.DUMMYFUNCTION("""COMPUTED_VALUE"""),"https://www.facebook.com/rapplerdotcom/photos/a.317154781638645/5595372260483511/")</f>
        <v>https://www.facebook.com/rapplerdotcom/photos/a.317154781638645/5595372260483511/</v>
      </c>
      <c r="J1806" s="1" t="str">
        <f>IFERROR(__xludf.DUMMYFUNCTION("""COMPUTED_VALUE"""),"2022-07-04T15:44:55.426Z")</f>
        <v>2022-07-04T15:44:55.426Z</v>
      </c>
      <c r="K1806" s="1"/>
    </row>
    <row r="1807">
      <c r="A1807" s="2" t="str">
        <f>IFERROR(__xludf.DUMMYFUNCTION("""COMPUTED_VALUE"""),"https://www.facebook.com/jeanpaul.jazmin")</f>
        <v>https://www.facebook.com/jeanpaul.jazmin</v>
      </c>
      <c r="B1807" s="1" t="str">
        <f>IFERROR(__xludf.DUMMYFUNCTION("""COMPUTED_VALUE"""),"Jaypee Jazmin")</f>
        <v>Jaypee Jazmin</v>
      </c>
      <c r="C1807" s="1" t="str">
        <f>IFERROR(__xludf.DUMMYFUNCTION("""COMPUTED_VALUE"""),"Jaypee")</f>
        <v>Jaypee</v>
      </c>
      <c r="D1807" s="1" t="str">
        <f>IFERROR(__xludf.DUMMYFUNCTION("""COMPUTED_VALUE"""),"Jazmin")</f>
        <v>Jazmin</v>
      </c>
      <c r="E1807" s="1" t="str">
        <f>IFERROR(__xludf.DUMMYFUNCTION("""COMPUTED_VALUE"""),"Aiko To so daycare at retraining ng mga ofw  ang sagot o dapat Unity o pagkakaisa? 💚❤️✌️")</f>
        <v>Aiko To so daycare at retraining ng mga ofw  ang sagot o dapat Unity o pagkakaisa? 💚❤️✌️</v>
      </c>
      <c r="F1807" s="1"/>
      <c r="G1807" s="1" t="str">
        <f>IFERROR(__xludf.DUMMYFUNCTION("""COMPUTED_VALUE"""),"3 mos")</f>
        <v>3 mos</v>
      </c>
      <c r="H1807" s="1" t="str">
        <f>IFERROR(__xludf.DUMMYFUNCTION("""COMPUTED_VALUE"""),"reply")</f>
        <v>reply</v>
      </c>
      <c r="I1807" s="2" t="str">
        <f>IFERROR(__xludf.DUMMYFUNCTION("""COMPUTED_VALUE"""),"https://www.facebook.com/rapplerdotcom/photos/a.317154781638645/5595372260483511/")</f>
        <v>https://www.facebook.com/rapplerdotcom/photos/a.317154781638645/5595372260483511/</v>
      </c>
      <c r="J1807" s="1" t="str">
        <f>IFERROR(__xludf.DUMMYFUNCTION("""COMPUTED_VALUE"""),"2022-07-04T15:44:55.426Z")</f>
        <v>2022-07-04T15:44:55.426Z</v>
      </c>
      <c r="K1807" s="1"/>
    </row>
    <row r="1808">
      <c r="A1808" s="2" t="str">
        <f>IFERROR(__xludf.DUMMYFUNCTION("""COMPUTED_VALUE"""),"https://www.facebook.com/irisjem.sanidad.9")</f>
        <v>https://www.facebook.com/irisjem.sanidad.9</v>
      </c>
      <c r="B1808" s="1" t="str">
        <f>IFERROR(__xludf.DUMMYFUNCTION("""COMPUTED_VALUE"""),"Ij Sanidad - TSi")</f>
        <v>Ij Sanidad - TSi</v>
      </c>
      <c r="C1808" s="1" t="str">
        <f>IFERROR(__xludf.DUMMYFUNCTION("""COMPUTED_VALUE"""),"Ij")</f>
        <v>Ij</v>
      </c>
      <c r="D1808" s="1" t="str">
        <f>IFERROR(__xludf.DUMMYFUNCTION("""COMPUTED_VALUE"""),"Sanidad - TSi")</f>
        <v>Sanidad - TSi</v>
      </c>
      <c r="E1808" s="1" t="str">
        <f>IFERROR(__xludf.DUMMYFUNCTION("""COMPUTED_VALUE"""),"dami nio alam..may 9 is coming ..bilisan nio  pa..")</f>
        <v>dami nio alam..may 9 is coming ..bilisan nio  pa..</v>
      </c>
      <c r="F1808" s="1"/>
      <c r="G1808" s="1" t="str">
        <f>IFERROR(__xludf.DUMMYFUNCTION("""COMPUTED_VALUE"""),"3 mos")</f>
        <v>3 mos</v>
      </c>
      <c r="H1808" s="1" t="str">
        <f>IFERROR(__xludf.DUMMYFUNCTION("""COMPUTED_VALUE"""),"comment")</f>
        <v>comment</v>
      </c>
      <c r="I1808" s="2" t="str">
        <f>IFERROR(__xludf.DUMMYFUNCTION("""COMPUTED_VALUE"""),"https://www.facebook.com/rapplerdotcom/photos/a.317154781638645/5595372260483511/")</f>
        <v>https://www.facebook.com/rapplerdotcom/photos/a.317154781638645/5595372260483511/</v>
      </c>
      <c r="J1808" s="1" t="str">
        <f>IFERROR(__xludf.DUMMYFUNCTION("""COMPUTED_VALUE"""),"2022-07-04T15:44:55.426Z")</f>
        <v>2022-07-04T15:44:55.426Z</v>
      </c>
      <c r="K1808" s="1"/>
    </row>
    <row r="1809">
      <c r="A1809" s="2" t="str">
        <f>IFERROR(__xludf.DUMMYFUNCTION("""COMPUTED_VALUE"""),"https://www.facebook.com/202angelocruz")</f>
        <v>https://www.facebook.com/202angelocruz</v>
      </c>
      <c r="B1809" s="1" t="str">
        <f>IFERROR(__xludf.DUMMYFUNCTION("""COMPUTED_VALUE"""),"Angelo Cruz")</f>
        <v>Angelo Cruz</v>
      </c>
      <c r="C1809" s="1" t="str">
        <f>IFERROR(__xludf.DUMMYFUNCTION("""COMPUTED_VALUE"""),"Angelo")</f>
        <v>Angelo</v>
      </c>
      <c r="D1809" s="1" t="str">
        <f>IFERROR(__xludf.DUMMYFUNCTION("""COMPUTED_VALUE"""),"Cruz")</f>
        <v>Cruz</v>
      </c>
      <c r="E1809" s="1" t="str">
        <f>IFERROR(__xludf.DUMMYFUNCTION("""COMPUTED_VALUE"""),"I will vote and support •Pamilya Muna Party-list! Para sa atin to!")</f>
        <v>I will vote and support •Pamilya Muna Party-list! Para sa atin to!</v>
      </c>
      <c r="F1809" s="1"/>
      <c r="G1809" s="1" t="str">
        <f>IFERROR(__xludf.DUMMYFUNCTION("""COMPUTED_VALUE"""),"3 mos")</f>
        <v>3 mos</v>
      </c>
      <c r="H1809" s="1" t="str">
        <f>IFERROR(__xludf.DUMMYFUNCTION("""COMPUTED_VALUE"""),"comment")</f>
        <v>comment</v>
      </c>
      <c r="I1809" s="2" t="str">
        <f>IFERROR(__xludf.DUMMYFUNCTION("""COMPUTED_VALUE"""),"https://www.facebook.com/rapplerdotcom/photos/a.317154781638645/5595372260483511/")</f>
        <v>https://www.facebook.com/rapplerdotcom/photos/a.317154781638645/5595372260483511/</v>
      </c>
      <c r="J1809" s="1" t="str">
        <f>IFERROR(__xludf.DUMMYFUNCTION("""COMPUTED_VALUE"""),"2022-07-04T15:44:55.426Z")</f>
        <v>2022-07-04T15:44:55.426Z</v>
      </c>
      <c r="K1809" s="1"/>
    </row>
    <row r="1810">
      <c r="A1810" s="2" t="str">
        <f>IFERROR(__xludf.DUMMYFUNCTION("""COMPUTED_VALUE"""),"https://www.facebook.com/pepe.ledesma.7140")</f>
        <v>https://www.facebook.com/pepe.ledesma.7140</v>
      </c>
      <c r="B1810" s="1" t="str">
        <f>IFERROR(__xludf.DUMMYFUNCTION("""COMPUTED_VALUE"""),"Pepe Ledesma")</f>
        <v>Pepe Ledesma</v>
      </c>
      <c r="C1810" s="1" t="str">
        <f>IFERROR(__xludf.DUMMYFUNCTION("""COMPUTED_VALUE"""),"Pepe")</f>
        <v>Pepe</v>
      </c>
      <c r="D1810" s="1" t="str">
        <f>IFERROR(__xludf.DUMMYFUNCTION("""COMPUTED_VALUE"""),"Ledesma")</f>
        <v>Ledesma</v>
      </c>
      <c r="E1810" s="1" t="str">
        <f>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810" s="1"/>
      <c r="G1810" s="1" t="str">
        <f>IFERROR(__xludf.DUMMYFUNCTION("""COMPUTED_VALUE"""),"3 mos")</f>
        <v>3 mos</v>
      </c>
      <c r="H1810" s="1" t="str">
        <f>IFERROR(__xludf.DUMMYFUNCTION("""COMPUTED_VALUE"""),"comment")</f>
        <v>comment</v>
      </c>
      <c r="I1810" s="2" t="str">
        <f>IFERROR(__xludf.DUMMYFUNCTION("""COMPUTED_VALUE"""),"https://www.facebook.com/rapplerdotcom/photos/a.317154781638645/5595372260483511/")</f>
        <v>https://www.facebook.com/rapplerdotcom/photos/a.317154781638645/5595372260483511/</v>
      </c>
      <c r="J1810" s="1" t="str">
        <f>IFERROR(__xludf.DUMMYFUNCTION("""COMPUTED_VALUE"""),"2022-07-04T15:44:55.426Z")</f>
        <v>2022-07-04T15:44:55.426Z</v>
      </c>
      <c r="K1810" s="1"/>
    </row>
    <row r="1811">
      <c r="A1811" s="2" t="str">
        <f>IFERROR(__xludf.DUMMYFUNCTION("""COMPUTED_VALUE"""),"https://www.facebook.com/dez.delmundosamson")</f>
        <v>https://www.facebook.com/dez.delmundosamson</v>
      </c>
      <c r="B1811" s="1" t="str">
        <f>IFERROR(__xludf.DUMMYFUNCTION("""COMPUTED_VALUE"""),"Theysee Theearth Samson")</f>
        <v>Theysee Theearth Samson</v>
      </c>
      <c r="C1811" s="1" t="str">
        <f>IFERROR(__xludf.DUMMYFUNCTION("""COMPUTED_VALUE"""),"Theysee")</f>
        <v>Theysee</v>
      </c>
      <c r="D1811" s="1" t="str">
        <f>IFERROR(__xludf.DUMMYFUNCTION("""COMPUTED_VALUE"""),"Theearth Samson")</f>
        <v>Theearth Samson</v>
      </c>
      <c r="E1811" s="1" t="str">
        <f>IFERROR(__xludf.DUMMYFUNCTION("""COMPUTED_VALUE"""),"#LetLeniLeadThePhilippines #VoteStraightTropangAngat #KulayRosasNaBukas #ParaSaMagandangBukas #SWITCHtoLeniKikoNaKabayan #TunayNaUnityKayLeniMatapang#LetLeniLeadThePhilippines #VoteStraightTropangAngat #KulayRosasNaBukas #ParaSaMagandangBukas #SWITCHtoLen"&amp;"iKikoNaKabayan #TunayNaUnityKayLeniMatapang")</f>
        <v>#LetLeniLeadThePhilippines #VoteStraightTropangAngat #KulayRosasNaBukas #ParaSaMagandangBukas #SWITCHtoLeniKikoNaKabayan #TunayNaUnityKayLeniMatapang#LetLeniLeadThePhilippines #VoteStraightTropangAngat #KulayRosasNaBukas #ParaSaMagandangBukas #SWITCHtoLeniKikoNaKabayan #TunayNaUnityKayLeniMatapang</v>
      </c>
      <c r="F1811" s="1">
        <f>IFERROR(__xludf.DUMMYFUNCTION("""COMPUTED_VALUE"""),16.0)</f>
        <v>16</v>
      </c>
      <c r="G1811" s="1" t="str">
        <f>IFERROR(__xludf.DUMMYFUNCTION("""COMPUTED_VALUE"""),"3 mos")</f>
        <v>3 mos</v>
      </c>
      <c r="H1811" s="1" t="str">
        <f>IFERROR(__xludf.DUMMYFUNCTION("""COMPUTED_VALUE"""),"comment")</f>
        <v>comment</v>
      </c>
      <c r="I1811" s="2" t="str">
        <f>IFERROR(__xludf.DUMMYFUNCTION("""COMPUTED_VALUE"""),"https://www.facebook.com/rapplerdotcom/photos/a.317154781638645/5595372260483511/")</f>
        <v>https://www.facebook.com/rapplerdotcom/photos/a.317154781638645/5595372260483511/</v>
      </c>
      <c r="J1811" s="1" t="str">
        <f>IFERROR(__xludf.DUMMYFUNCTION("""COMPUTED_VALUE"""),"2022-07-04T15:44:55.426Z")</f>
        <v>2022-07-04T15:44:55.426Z</v>
      </c>
      <c r="K1811" s="1"/>
    </row>
    <row r="1812">
      <c r="A1812" s="2" t="str">
        <f>IFERROR(__xludf.DUMMYFUNCTION("""COMPUTED_VALUE"""),"https://www.facebook.com/dez.delmundosamson")</f>
        <v>https://www.facebook.com/dez.delmundosamson</v>
      </c>
      <c r="B1812" s="1" t="str">
        <f>IFERROR(__xludf.DUMMYFUNCTION("""COMPUTED_VALUE"""),"Theysee Theearth Samson")</f>
        <v>Theysee Theearth Samson</v>
      </c>
      <c r="C1812" s="1" t="str">
        <f>IFERROR(__xludf.DUMMYFUNCTION("""COMPUTED_VALUE"""),"Theysee")</f>
        <v>Theysee</v>
      </c>
      <c r="D1812" s="1" t="str">
        <f>IFERROR(__xludf.DUMMYFUNCTION("""COMPUTED_VALUE"""),"Theearth Samson")</f>
        <v>Theearth Samson</v>
      </c>
      <c r="E1812" s="1" t="str">
        <f>IFERROR(__xludf.DUMMYFUNCTION("""COMPUTED_VALUE"""),"In ur imagination")</f>
        <v>In ur imagination</v>
      </c>
      <c r="F1812" s="1"/>
      <c r="G1812" s="1" t="str">
        <f>IFERROR(__xludf.DUMMYFUNCTION("""COMPUTED_VALUE"""),"3 mos")</f>
        <v>3 mos</v>
      </c>
      <c r="H1812" s="1" t="str">
        <f>IFERROR(__xludf.DUMMYFUNCTION("""COMPUTED_VALUE"""),"reply")</f>
        <v>reply</v>
      </c>
      <c r="I1812" s="2" t="str">
        <f>IFERROR(__xludf.DUMMYFUNCTION("""COMPUTED_VALUE"""),"https://www.facebook.com/rapplerdotcom/photos/a.317154781638645/5595372260483511/")</f>
        <v>https://www.facebook.com/rapplerdotcom/photos/a.317154781638645/5595372260483511/</v>
      </c>
      <c r="J1812" s="1" t="str">
        <f>IFERROR(__xludf.DUMMYFUNCTION("""COMPUTED_VALUE"""),"2022-07-04T15:44:55.426Z")</f>
        <v>2022-07-04T15:44:55.426Z</v>
      </c>
      <c r="K1812" s="1"/>
    </row>
    <row r="1813">
      <c r="A1813" s="2" t="str">
        <f>IFERROR(__xludf.DUMMYFUNCTION("""COMPUTED_VALUE"""),"https://www.facebook.com/dr.julius.uy")</f>
        <v>https://www.facebook.com/dr.julius.uy</v>
      </c>
      <c r="B1813" s="1" t="str">
        <f>IFERROR(__xludf.DUMMYFUNCTION("""COMPUTED_VALUE"""),"Julius Uy")</f>
        <v>Julius Uy</v>
      </c>
      <c r="C1813" s="1" t="str">
        <f>IFERROR(__xludf.DUMMYFUNCTION("""COMPUTED_VALUE"""),"Julius")</f>
        <v>Julius</v>
      </c>
      <c r="D1813" s="1" t="str">
        <f>IFERROR(__xludf.DUMMYFUNCTION("""COMPUTED_VALUE"""),"Uy")</f>
        <v>Uy</v>
      </c>
      <c r="E1813" s="1" t="str">
        <f>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813" s="1"/>
      <c r="G1813" s="1" t="str">
        <f>IFERROR(__xludf.DUMMYFUNCTION("""COMPUTED_VALUE"""),"3 mos")</f>
        <v>3 mos</v>
      </c>
      <c r="H1813" s="1" t="str">
        <f>IFERROR(__xludf.DUMMYFUNCTION("""COMPUTED_VALUE"""),"comment")</f>
        <v>comment</v>
      </c>
      <c r="I1813" s="2" t="str">
        <f>IFERROR(__xludf.DUMMYFUNCTION("""COMPUTED_VALUE"""),"https://www.facebook.com/rapplerdotcom/photos/a.317154781638645/5595372260483511/")</f>
        <v>https://www.facebook.com/rapplerdotcom/photos/a.317154781638645/5595372260483511/</v>
      </c>
      <c r="J1813" s="1" t="str">
        <f>IFERROR(__xludf.DUMMYFUNCTION("""COMPUTED_VALUE"""),"2022-07-04T15:44:55.426Z")</f>
        <v>2022-07-04T15:44:55.426Z</v>
      </c>
      <c r="K1813" s="1"/>
    </row>
    <row r="1814">
      <c r="A1814" s="2" t="str">
        <f>IFERROR(__xludf.DUMMYFUNCTION("""COMPUTED_VALUE"""),"https://www.facebook.com/johndiazcortez")</f>
        <v>https://www.facebook.com/johndiazcortez</v>
      </c>
      <c r="B1814" s="1" t="str">
        <f>IFERROR(__xludf.DUMMYFUNCTION("""COMPUTED_VALUE"""),"John Diaz Cortez")</f>
        <v>John Diaz Cortez</v>
      </c>
      <c r="C1814" s="1" t="str">
        <f>IFERROR(__xludf.DUMMYFUNCTION("""COMPUTED_VALUE"""),"John")</f>
        <v>John</v>
      </c>
      <c r="D1814" s="1" t="str">
        <f>IFERROR(__xludf.DUMMYFUNCTION("""COMPUTED_VALUE"""),"Diaz Cortez")</f>
        <v>Diaz Cortez</v>
      </c>
      <c r="E1814" s="1" t="str">
        <f>IFERROR(__xludf.DUMMYFUNCTION("""COMPUTED_VALUE"""),"#PinkRevolution  #KakamPINK #LetLeniLead #LeniKiko2022 #AngatBuhayLahat #KulayRosasAngBukas")</f>
        <v>#PinkRevolution  #KakamPINK #LetLeniLead #LeniKiko2022 #AngatBuhayLahat #KulayRosasAngBukas</v>
      </c>
      <c r="F1814" s="1"/>
      <c r="G1814" s="1" t="str">
        <f>IFERROR(__xludf.DUMMYFUNCTION("""COMPUTED_VALUE"""),"3 mos")</f>
        <v>3 mos</v>
      </c>
      <c r="H1814" s="1" t="str">
        <f>IFERROR(__xludf.DUMMYFUNCTION("""COMPUTED_VALUE"""),"comment")</f>
        <v>comment</v>
      </c>
      <c r="I1814" s="2" t="str">
        <f>IFERROR(__xludf.DUMMYFUNCTION("""COMPUTED_VALUE"""),"https://www.facebook.com/rapplerdotcom/photos/a.317154781638645/5595372260483511/")</f>
        <v>https://www.facebook.com/rapplerdotcom/photos/a.317154781638645/5595372260483511/</v>
      </c>
      <c r="J1814" s="1" t="str">
        <f>IFERROR(__xludf.DUMMYFUNCTION("""COMPUTED_VALUE"""),"2022-07-04T15:44:55.426Z")</f>
        <v>2022-07-04T15:44:55.426Z</v>
      </c>
      <c r="K1814" s="1"/>
    </row>
    <row r="1815">
      <c r="A1815" s="2" t="str">
        <f>IFERROR(__xludf.DUMMYFUNCTION("""COMPUTED_VALUE"""),"https://www.facebook.com/dez.delmundosamson")</f>
        <v>https://www.facebook.com/dez.delmundosamson</v>
      </c>
      <c r="B1815" s="1" t="str">
        <f>IFERROR(__xludf.DUMMYFUNCTION("""COMPUTED_VALUE"""),"Theysee Theearth Samson")</f>
        <v>Theysee Theearth Samson</v>
      </c>
      <c r="C1815" s="1" t="str">
        <f>IFERROR(__xludf.DUMMYFUNCTION("""COMPUTED_VALUE"""),"Theysee")</f>
        <v>Theysee</v>
      </c>
      <c r="D1815" s="1" t="str">
        <f>IFERROR(__xludf.DUMMYFUNCTION("""COMPUTED_VALUE"""),"Theearth Samson")</f>
        <v>Theearth Samson</v>
      </c>
      <c r="E1815" s="1" t="str">
        <f>IFERROR(__xludf.DUMMYFUNCTION("""COMPUTED_VALUE"""),"#ParaSaMagandangPagbabago #IbotoSiLENIatKIKOSaMay92022 #GobyernongTapatAngatBuhayLahat #VoteStraightTropamgAngat #4TransparencyAndGudGovernance")</f>
        <v>#ParaSaMagandangPagbabago #IbotoSiLENIatKIKOSaMay92022 #GobyernongTapatAngatBuhayLahat #VoteStraightTropamgAngat #4TransparencyAndGudGovernance</v>
      </c>
      <c r="F1815" s="1">
        <f>IFERROR(__xludf.DUMMYFUNCTION("""COMPUTED_VALUE"""),4.0)</f>
        <v>4</v>
      </c>
      <c r="G1815" s="1" t="str">
        <f>IFERROR(__xludf.DUMMYFUNCTION("""COMPUTED_VALUE"""),"3 mos")</f>
        <v>3 mos</v>
      </c>
      <c r="H1815" s="1" t="str">
        <f>IFERROR(__xludf.DUMMYFUNCTION("""COMPUTED_VALUE"""),"comment")</f>
        <v>comment</v>
      </c>
      <c r="I1815" s="2" t="str">
        <f>IFERROR(__xludf.DUMMYFUNCTION("""COMPUTED_VALUE"""),"https://www.facebook.com/rapplerdotcom/photos/a.317154781638645/5595372260483511/")</f>
        <v>https://www.facebook.com/rapplerdotcom/photos/a.317154781638645/5595372260483511/</v>
      </c>
      <c r="J1815" s="1" t="str">
        <f>IFERROR(__xludf.DUMMYFUNCTION("""COMPUTED_VALUE"""),"2022-07-04T15:44:55.426Z")</f>
        <v>2022-07-04T15:44:55.426Z</v>
      </c>
      <c r="K1815" s="1"/>
    </row>
    <row r="1816">
      <c r="A1816" s="2" t="str">
        <f>IFERROR(__xludf.DUMMYFUNCTION("""COMPUTED_VALUE"""),"https://www.facebook.com/chitocmorales")</f>
        <v>https://www.facebook.com/chitocmorales</v>
      </c>
      <c r="B1816" s="1" t="str">
        <f>IFERROR(__xludf.DUMMYFUNCTION("""COMPUTED_VALUE"""),"Chito Morales")</f>
        <v>Chito Morales</v>
      </c>
      <c r="C1816" s="1" t="str">
        <f>IFERROR(__xludf.DUMMYFUNCTION("""COMPUTED_VALUE"""),"Chito")</f>
        <v>Chito</v>
      </c>
      <c r="D1816" s="1" t="str">
        <f>IFERROR(__xludf.DUMMYFUNCTION("""COMPUTED_VALUE"""),"Morales")</f>
        <v>Morales</v>
      </c>
      <c r="E1816" s="1" t="str">
        <f>IFERROR(__xludf.DUMMYFUNCTION("""COMPUTED_VALUE"""),"#KayLeniPanaloTayo  #KayLeniTayo  #KayLeniTayoAngPanalo  #IpanaloNa10To  #beyondsurvey  #GobyernongTapatAngatBuhayAngLahat #KayLeniAngatBuhayLahat #10RobredoPresident #7KikoPangilinanVicePresident #LeniKiko2022")</f>
        <v>#KayLeniPanaloTayo  #KayLeniTayo  #KayLeniTayoAngPanalo  #IpanaloNa10To  #beyondsurvey  #GobyernongTapatAngatBuhayAngLahat #KayLeniAngatBuhayLahat #10RobredoPresident #7KikoPangilinanVicePresident #LeniKiko2022</v>
      </c>
      <c r="F1816" s="1">
        <f>IFERROR(__xludf.DUMMYFUNCTION("""COMPUTED_VALUE"""),1.0)</f>
        <v>1</v>
      </c>
      <c r="G1816" s="1" t="str">
        <f>IFERROR(__xludf.DUMMYFUNCTION("""COMPUTED_VALUE"""),"3 mos")</f>
        <v>3 mos</v>
      </c>
      <c r="H1816" s="1" t="str">
        <f>IFERROR(__xludf.DUMMYFUNCTION("""COMPUTED_VALUE"""),"comment")</f>
        <v>comment</v>
      </c>
      <c r="I1816" s="2" t="str">
        <f>IFERROR(__xludf.DUMMYFUNCTION("""COMPUTED_VALUE"""),"https://www.facebook.com/rapplerdotcom/photos/a.317154781638645/5595372260483511/")</f>
        <v>https://www.facebook.com/rapplerdotcom/photos/a.317154781638645/5595372260483511/</v>
      </c>
      <c r="J1816" s="1" t="str">
        <f>IFERROR(__xludf.DUMMYFUNCTION("""COMPUTED_VALUE"""),"2022-07-04T15:44:55.426Z")</f>
        <v>2022-07-04T15:44:55.426Z</v>
      </c>
      <c r="K1816" s="1"/>
    </row>
    <row r="1817">
      <c r="A1817" s="2" t="str">
        <f>IFERROR(__xludf.DUMMYFUNCTION("""COMPUTED_VALUE"""),"https://www.facebook.com/lina.tomboconmiralles")</f>
        <v>https://www.facebook.com/lina.tomboconmiralles</v>
      </c>
      <c r="B1817" s="1" t="str">
        <f>IFERROR(__xludf.DUMMYFUNCTION("""COMPUTED_VALUE"""),"Lina Tombocon Miralles")</f>
        <v>Lina Tombocon Miralles</v>
      </c>
      <c r="C1817" s="1" t="str">
        <f>IFERROR(__xludf.DUMMYFUNCTION("""COMPUTED_VALUE"""),"Lina")</f>
        <v>Lina</v>
      </c>
      <c r="D1817" s="1" t="str">
        <f>IFERROR(__xludf.DUMMYFUNCTION("""COMPUTED_VALUE"""),"Tombocon Miralles")</f>
        <v>Tombocon Miralles</v>
      </c>
      <c r="E1817" s="1" t="str">
        <f>IFERROR(__xludf.DUMMYFUNCTION("""COMPUTED_VALUE"""),"#LeniKikoAllTheWay")</f>
        <v>#LeniKikoAllTheWay</v>
      </c>
      <c r="F1817" s="1"/>
      <c r="G1817" s="1" t="str">
        <f>IFERROR(__xludf.DUMMYFUNCTION("""COMPUTED_VALUE"""),"3 mos")</f>
        <v>3 mos</v>
      </c>
      <c r="H1817" s="1" t="str">
        <f>IFERROR(__xludf.DUMMYFUNCTION("""COMPUTED_VALUE"""),"comment")</f>
        <v>comment</v>
      </c>
      <c r="I1817" s="2" t="str">
        <f>IFERROR(__xludf.DUMMYFUNCTION("""COMPUTED_VALUE"""),"https://www.facebook.com/rapplerdotcom/photos/a.317154781638645/5595372260483511/")</f>
        <v>https://www.facebook.com/rapplerdotcom/photos/a.317154781638645/5595372260483511/</v>
      </c>
      <c r="J1817" s="1" t="str">
        <f>IFERROR(__xludf.DUMMYFUNCTION("""COMPUTED_VALUE"""),"2022-07-04T15:44:55.426Z")</f>
        <v>2022-07-04T15:44:55.426Z</v>
      </c>
      <c r="K1817" s="1"/>
    </row>
    <row r="1818">
      <c r="A1818" s="2" t="str">
        <f>IFERROR(__xludf.DUMMYFUNCTION("""COMPUTED_VALUE"""),"https://www.facebook.com/profile.php?id=100014924436490")</f>
        <v>https://www.facebook.com/profile.php?id=100014924436490</v>
      </c>
      <c r="B1818" s="1" t="str">
        <f>IFERROR(__xludf.DUMMYFUNCTION("""COMPUTED_VALUE"""),"Alona Grifaldia")</f>
        <v>Alona Grifaldia</v>
      </c>
      <c r="C1818" s="1" t="str">
        <f>IFERROR(__xludf.DUMMYFUNCTION("""COMPUTED_VALUE"""),"Alona")</f>
        <v>Alona</v>
      </c>
      <c r="D1818" s="1" t="str">
        <f>IFERROR(__xludf.DUMMYFUNCTION("""COMPUTED_VALUE"""),"Grifaldia")</f>
        <v>Grifaldia</v>
      </c>
      <c r="E1818" s="1" t="str">
        <f>IFERROR(__xludf.DUMMYFUNCTION("""COMPUTED_VALUE"""),"#LeniKikoTeam2022💗💗💗💗💗")</f>
        <v>#LeniKikoTeam2022💗💗💗💗💗</v>
      </c>
      <c r="F1818" s="1"/>
      <c r="G1818" s="1" t="str">
        <f>IFERROR(__xludf.DUMMYFUNCTION("""COMPUTED_VALUE"""),"3 mos")</f>
        <v>3 mos</v>
      </c>
      <c r="H1818" s="1" t="str">
        <f>IFERROR(__xludf.DUMMYFUNCTION("""COMPUTED_VALUE"""),"comment")</f>
        <v>comment</v>
      </c>
      <c r="I1818" s="2" t="str">
        <f>IFERROR(__xludf.DUMMYFUNCTION("""COMPUTED_VALUE"""),"https://www.facebook.com/rapplerdotcom/photos/a.317154781638645/5595372260483511/")</f>
        <v>https://www.facebook.com/rapplerdotcom/photos/a.317154781638645/5595372260483511/</v>
      </c>
      <c r="J1818" s="1" t="str">
        <f>IFERROR(__xludf.DUMMYFUNCTION("""COMPUTED_VALUE"""),"2022-07-04T15:44:55.426Z")</f>
        <v>2022-07-04T15:44:55.426Z</v>
      </c>
      <c r="K1818" s="1"/>
    </row>
    <row r="1819">
      <c r="A1819" s="2" t="str">
        <f>IFERROR(__xludf.DUMMYFUNCTION("""COMPUTED_VALUE"""),"https://www.facebook.com/adelina.francisco.3")</f>
        <v>https://www.facebook.com/adelina.francisco.3</v>
      </c>
      <c r="B1819" s="1" t="str">
        <f>IFERROR(__xludf.DUMMYFUNCTION("""COMPUTED_VALUE"""),"Adelina Francisco")</f>
        <v>Adelina Francisco</v>
      </c>
      <c r="C1819" s="1" t="str">
        <f>IFERROR(__xludf.DUMMYFUNCTION("""COMPUTED_VALUE"""),"Adelina")</f>
        <v>Adelina</v>
      </c>
      <c r="D1819" s="1" t="str">
        <f>IFERROR(__xludf.DUMMYFUNCTION("""COMPUTED_VALUE"""),"Francisco")</f>
        <v>Francisco</v>
      </c>
      <c r="E1819" s="1" t="str">
        <f>IFERROR(__xludf.DUMMYFUNCTION("""COMPUTED_VALUE"""),"#gobyernongtapatangatbuhaylahatlenikiko2022")</f>
        <v>#gobyernongtapatangatbuhaylahatlenikiko2022</v>
      </c>
      <c r="F1819" s="1">
        <f>IFERROR(__xludf.DUMMYFUNCTION("""COMPUTED_VALUE"""),1.0)</f>
        <v>1</v>
      </c>
      <c r="G1819" s="1" t="str">
        <f>IFERROR(__xludf.DUMMYFUNCTION("""COMPUTED_VALUE"""),"3 mos")</f>
        <v>3 mos</v>
      </c>
      <c r="H1819" s="1" t="str">
        <f>IFERROR(__xludf.DUMMYFUNCTION("""COMPUTED_VALUE"""),"comment")</f>
        <v>comment</v>
      </c>
      <c r="I1819" s="2" t="str">
        <f>IFERROR(__xludf.DUMMYFUNCTION("""COMPUTED_VALUE"""),"https://www.facebook.com/rapplerdotcom/photos/a.317154781638645/5595372260483511/")</f>
        <v>https://www.facebook.com/rapplerdotcom/photos/a.317154781638645/5595372260483511/</v>
      </c>
      <c r="J1819" s="1" t="str">
        <f>IFERROR(__xludf.DUMMYFUNCTION("""COMPUTED_VALUE"""),"2022-07-04T15:44:55.426Z")</f>
        <v>2022-07-04T15:44:55.426Z</v>
      </c>
      <c r="K1819" s="1"/>
    </row>
    <row r="1820">
      <c r="A1820" s="2" t="str">
        <f>IFERROR(__xludf.DUMMYFUNCTION("""COMPUTED_VALUE"""),"https://www.facebook.com/pilar.alejo.9")</f>
        <v>https://www.facebook.com/pilar.alejo.9</v>
      </c>
      <c r="B1820" s="1" t="str">
        <f>IFERROR(__xludf.DUMMYFUNCTION("""COMPUTED_VALUE"""),"Pilar Alejo")</f>
        <v>Pilar Alejo</v>
      </c>
      <c r="C1820" s="1" t="str">
        <f>IFERROR(__xludf.DUMMYFUNCTION("""COMPUTED_VALUE"""),"Pilar")</f>
        <v>Pilar</v>
      </c>
      <c r="D1820" s="1" t="str">
        <f>IFERROR(__xludf.DUMMYFUNCTION("""COMPUTED_VALUE"""),"Alejo")</f>
        <v>Alejo</v>
      </c>
      <c r="E1820" s="1" t="str">
        <f>IFERROR(__xludf.DUMMYFUNCTION("""COMPUTED_VALUE"""),"#KulayRosasAngBukas")</f>
        <v>#KulayRosasAngBukas</v>
      </c>
      <c r="F1820" s="1">
        <f>IFERROR(__xludf.DUMMYFUNCTION("""COMPUTED_VALUE"""),3.0)</f>
        <v>3</v>
      </c>
      <c r="G1820" s="1" t="str">
        <f>IFERROR(__xludf.DUMMYFUNCTION("""COMPUTED_VALUE"""),"3 mos")</f>
        <v>3 mos</v>
      </c>
      <c r="H1820" s="1" t="str">
        <f>IFERROR(__xludf.DUMMYFUNCTION("""COMPUTED_VALUE"""),"comment")</f>
        <v>comment</v>
      </c>
      <c r="I1820" s="2" t="str">
        <f>IFERROR(__xludf.DUMMYFUNCTION("""COMPUTED_VALUE"""),"https://www.facebook.com/rapplerdotcom/photos/a.317154781638645/5595372260483511/")</f>
        <v>https://www.facebook.com/rapplerdotcom/photos/a.317154781638645/5595372260483511/</v>
      </c>
      <c r="J1820" s="1" t="str">
        <f>IFERROR(__xludf.DUMMYFUNCTION("""COMPUTED_VALUE"""),"2022-07-04T15:44:55.426Z")</f>
        <v>2022-07-04T15:44:55.426Z</v>
      </c>
      <c r="K1820" s="1"/>
    </row>
    <row r="1821">
      <c r="A1821" s="2" t="str">
        <f>IFERROR(__xludf.DUMMYFUNCTION("""COMPUTED_VALUE"""),"https://www.facebook.com/reginald.gavini")</f>
        <v>https://www.facebook.com/reginald.gavini</v>
      </c>
      <c r="B1821" s="1" t="str">
        <f>IFERROR(__xludf.DUMMYFUNCTION("""COMPUTED_VALUE"""),"Reggie Gavini")</f>
        <v>Reggie Gavini</v>
      </c>
      <c r="C1821" s="1" t="str">
        <f>IFERROR(__xludf.DUMMYFUNCTION("""COMPUTED_VALUE"""),"Reggie")</f>
        <v>Reggie</v>
      </c>
      <c r="D1821" s="1" t="str">
        <f>IFERROR(__xludf.DUMMYFUNCTION("""COMPUTED_VALUE"""),"Gavini")</f>
        <v>Gavini</v>
      </c>
      <c r="E1821" s="1" t="str">
        <f>IFERROR(__xludf.DUMMYFUNCTION("""COMPUTED_VALUE"""),"#ThankYouGOD4LENI2022 #AdMajoremDeiGloriam")</f>
        <v>#ThankYouGOD4LENI2022 #AdMajoremDeiGloriam</v>
      </c>
      <c r="F1821" s="1">
        <f>IFERROR(__xludf.DUMMYFUNCTION("""COMPUTED_VALUE"""),1.0)</f>
        <v>1</v>
      </c>
      <c r="G1821" s="1" t="str">
        <f>IFERROR(__xludf.DUMMYFUNCTION("""COMPUTED_VALUE"""),"3 mos")</f>
        <v>3 mos</v>
      </c>
      <c r="H1821" s="1" t="str">
        <f>IFERROR(__xludf.DUMMYFUNCTION("""COMPUTED_VALUE"""),"comment")</f>
        <v>comment</v>
      </c>
      <c r="I1821" s="2" t="str">
        <f>IFERROR(__xludf.DUMMYFUNCTION("""COMPUTED_VALUE"""),"https://www.facebook.com/rapplerdotcom/photos/a.317154781638645/5595372260483511/")</f>
        <v>https://www.facebook.com/rapplerdotcom/photos/a.317154781638645/5595372260483511/</v>
      </c>
      <c r="J1821" s="1" t="str">
        <f>IFERROR(__xludf.DUMMYFUNCTION("""COMPUTED_VALUE"""),"2022-07-04T15:44:55.426Z")</f>
        <v>2022-07-04T15:44:55.426Z</v>
      </c>
      <c r="K1821" s="1"/>
    </row>
    <row r="1822">
      <c r="A1822" s="2" t="str">
        <f>IFERROR(__xludf.DUMMYFUNCTION("""COMPUTED_VALUE"""),"https://www.facebook.com/vinceian06")</f>
        <v>https://www.facebook.com/vinceian06</v>
      </c>
      <c r="B1822" s="1" t="str">
        <f>IFERROR(__xludf.DUMMYFUNCTION("""COMPUTED_VALUE"""),"Vince Jordan Pepito")</f>
        <v>Vince Jordan Pepito</v>
      </c>
      <c r="C1822" s="1" t="str">
        <f>IFERROR(__xludf.DUMMYFUNCTION("""COMPUTED_VALUE"""),"Vince")</f>
        <v>Vince</v>
      </c>
      <c r="D1822" s="1" t="str">
        <f>IFERROR(__xludf.DUMMYFUNCTION("""COMPUTED_VALUE"""),"Jordan Pepito")</f>
        <v>Jordan Pepito</v>
      </c>
      <c r="E1822" s="1" t="str">
        <f>IFERROR(__xludf.DUMMYFUNCTION("""COMPUTED_VALUE"""),"Azehr Asolliro Smith")</f>
        <v>Azehr Asolliro Smith</v>
      </c>
      <c r="F1822" s="1"/>
      <c r="G1822" s="1" t="str">
        <f>IFERROR(__xludf.DUMMYFUNCTION("""COMPUTED_VALUE"""),"3 mos")</f>
        <v>3 mos</v>
      </c>
      <c r="H1822" s="1" t="str">
        <f>IFERROR(__xludf.DUMMYFUNCTION("""COMPUTED_VALUE"""),"comment")</f>
        <v>comment</v>
      </c>
      <c r="I1822" s="2" t="str">
        <f>IFERROR(__xludf.DUMMYFUNCTION("""COMPUTED_VALUE"""),"https://www.facebook.com/rapplerdotcom/photos/a.317154781638645/5595372260483511/")</f>
        <v>https://www.facebook.com/rapplerdotcom/photos/a.317154781638645/5595372260483511/</v>
      </c>
      <c r="J1822" s="1" t="str">
        <f>IFERROR(__xludf.DUMMYFUNCTION("""COMPUTED_VALUE"""),"2022-07-04T15:44:55.426Z")</f>
        <v>2022-07-04T15:44:55.426Z</v>
      </c>
      <c r="K1822" s="1"/>
    </row>
    <row r="1823">
      <c r="A1823" s="2" t="str">
        <f>IFERROR(__xludf.DUMMYFUNCTION("""COMPUTED_VALUE"""),"https://www.facebook.com/joshybanez")</f>
        <v>https://www.facebook.com/joshybanez</v>
      </c>
      <c r="B1823" s="1" t="str">
        <f>IFERROR(__xludf.DUMMYFUNCTION("""COMPUTED_VALUE"""),"Josh Ybañez")</f>
        <v>Josh Ybañez</v>
      </c>
      <c r="C1823" s="1" t="str">
        <f>IFERROR(__xludf.DUMMYFUNCTION("""COMPUTED_VALUE"""),"Josh")</f>
        <v>Josh</v>
      </c>
      <c r="D1823" s="1" t="str">
        <f>IFERROR(__xludf.DUMMYFUNCTION("""COMPUTED_VALUE"""),"Ybañez")</f>
        <v>Ybañez</v>
      </c>
      <c r="E1823" s="1" t="str">
        <f>IFERROR(__xludf.DUMMYFUNCTION("""COMPUTED_VALUE"""),"#LeniKiko2022")</f>
        <v>#LeniKiko2022</v>
      </c>
      <c r="F1823" s="1"/>
      <c r="G1823" s="1" t="str">
        <f>IFERROR(__xludf.DUMMYFUNCTION("""COMPUTED_VALUE"""),"3 mos")</f>
        <v>3 mos</v>
      </c>
      <c r="H1823" s="1" t="str">
        <f>IFERROR(__xludf.DUMMYFUNCTION("""COMPUTED_VALUE"""),"comment")</f>
        <v>comment</v>
      </c>
      <c r="I1823" s="2" t="str">
        <f>IFERROR(__xludf.DUMMYFUNCTION("""COMPUTED_VALUE"""),"https://www.facebook.com/rapplerdotcom/photos/a.317154781638645/5595372260483511/")</f>
        <v>https://www.facebook.com/rapplerdotcom/photos/a.317154781638645/5595372260483511/</v>
      </c>
      <c r="J1823" s="1" t="str">
        <f>IFERROR(__xludf.DUMMYFUNCTION("""COMPUTED_VALUE"""),"2022-07-04T15:44:55.426Z")</f>
        <v>2022-07-04T15:44:55.426Z</v>
      </c>
      <c r="K1823" s="1"/>
    </row>
    <row r="1824">
      <c r="A1824" s="2" t="str">
        <f>IFERROR(__xludf.DUMMYFUNCTION("""COMPUTED_VALUE"""),"https://www.facebook.com/champoybulletelbow")</f>
        <v>https://www.facebook.com/champoybulletelbow</v>
      </c>
      <c r="B1824" s="1" t="str">
        <f>IFERROR(__xludf.DUMMYFUNCTION("""COMPUTED_VALUE"""),"March NJ")</f>
        <v>March NJ</v>
      </c>
      <c r="C1824" s="1" t="str">
        <f>IFERROR(__xludf.DUMMYFUNCTION("""COMPUTED_VALUE"""),"March")</f>
        <v>March</v>
      </c>
      <c r="D1824" s="1" t="str">
        <f>IFERROR(__xludf.DUMMYFUNCTION("""COMPUTED_VALUE"""),"NJ")</f>
        <v>NJ</v>
      </c>
      <c r="E1824" s="1" t="str">
        <f>IFERROR(__xludf.DUMMYFUNCTION("""COMPUTED_VALUE"""),"#LeniKiko2022 #TeamRObredoPAngilinan2022  #GobyernongTapatAngatBuhayLahat  🙏🌷🌱🙏")</f>
        <v>#LeniKiko2022 #TeamRObredoPAngilinan2022  #GobyernongTapatAngatBuhayLahat  🙏🌷🌱🙏</v>
      </c>
      <c r="F1824" s="1"/>
      <c r="G1824" s="1" t="str">
        <f>IFERROR(__xludf.DUMMYFUNCTION("""COMPUTED_VALUE"""),"3 mos")</f>
        <v>3 mos</v>
      </c>
      <c r="H1824" s="1" t="str">
        <f>IFERROR(__xludf.DUMMYFUNCTION("""COMPUTED_VALUE"""),"comment")</f>
        <v>comment</v>
      </c>
      <c r="I1824" s="2" t="str">
        <f>IFERROR(__xludf.DUMMYFUNCTION("""COMPUTED_VALUE"""),"https://www.facebook.com/rapplerdotcom/photos/a.317154781638645/5595372260483511/")</f>
        <v>https://www.facebook.com/rapplerdotcom/photos/a.317154781638645/5595372260483511/</v>
      </c>
      <c r="J1824" s="1" t="str">
        <f>IFERROR(__xludf.DUMMYFUNCTION("""COMPUTED_VALUE"""),"2022-07-04T15:44:55.426Z")</f>
        <v>2022-07-04T15:44:55.426Z</v>
      </c>
      <c r="K1824" s="1"/>
    </row>
    <row r="1825">
      <c r="A1825" s="2" t="str">
        <f>IFERROR(__xludf.DUMMYFUNCTION("""COMPUTED_VALUE"""),"https://www.facebook.com/maleolore.piczon")</f>
        <v>https://www.facebook.com/maleolore.piczon</v>
      </c>
      <c r="B1825" s="1" t="str">
        <f>IFERROR(__xludf.DUMMYFUNCTION("""COMPUTED_VALUE"""),"Onzcip Ameroloel")</f>
        <v>Onzcip Ameroloel</v>
      </c>
      <c r="C1825" s="1" t="str">
        <f>IFERROR(__xludf.DUMMYFUNCTION("""COMPUTED_VALUE"""),"Onzcip")</f>
        <v>Onzcip</v>
      </c>
      <c r="D1825" s="1" t="str">
        <f>IFERROR(__xludf.DUMMYFUNCTION("""COMPUTED_VALUE"""),"Ameroloel")</f>
        <v>Ameroloel</v>
      </c>
      <c r="E1825" s="1" t="str">
        <f>IFERROR(__xludf.DUMMYFUNCTION("""COMPUTED_VALUE"""),"Onzcip Ameroloel")</f>
        <v>Onzcip Ameroloel</v>
      </c>
      <c r="F1825" s="1">
        <f>IFERROR(__xludf.DUMMYFUNCTION("""COMPUTED_VALUE"""),1.0)</f>
        <v>1</v>
      </c>
      <c r="G1825" s="1" t="str">
        <f>IFERROR(__xludf.DUMMYFUNCTION("""COMPUTED_VALUE"""),"3 mos")</f>
        <v>3 mos</v>
      </c>
      <c r="H1825" s="1" t="str">
        <f>IFERROR(__xludf.DUMMYFUNCTION("""COMPUTED_VALUE"""),"comment")</f>
        <v>comment</v>
      </c>
      <c r="I1825" s="2" t="str">
        <f>IFERROR(__xludf.DUMMYFUNCTION("""COMPUTED_VALUE"""),"https://www.facebook.com/rapplerdotcom/photos/a.317154781638645/5595372260483511/")</f>
        <v>https://www.facebook.com/rapplerdotcom/photos/a.317154781638645/5595372260483511/</v>
      </c>
      <c r="J1825" s="1" t="str">
        <f>IFERROR(__xludf.DUMMYFUNCTION("""COMPUTED_VALUE"""),"2022-07-04T15:44:55.426Z")</f>
        <v>2022-07-04T15:44:55.426Z</v>
      </c>
      <c r="K1825" s="1"/>
    </row>
    <row r="1826">
      <c r="A1826" s="2" t="str">
        <f>IFERROR(__xludf.DUMMYFUNCTION("""COMPUTED_VALUE"""),"https://www.facebook.com/john.f.papa")</f>
        <v>https://www.facebook.com/john.f.papa</v>
      </c>
      <c r="B1826" s="1" t="str">
        <f>IFERROR(__xludf.DUMMYFUNCTION("""COMPUTED_VALUE"""),"John Eric Papa")</f>
        <v>John Eric Papa</v>
      </c>
      <c r="C1826" s="1" t="str">
        <f>IFERROR(__xludf.DUMMYFUNCTION("""COMPUTED_VALUE"""),"John")</f>
        <v>John</v>
      </c>
      <c r="D1826" s="1" t="str">
        <f>IFERROR(__xludf.DUMMYFUNCTION("""COMPUTED_VALUE"""),"Eric Papa")</f>
        <v>Eric Papa</v>
      </c>
      <c r="E1826" s="1" t="str">
        <f>IFERROR(__xludf.DUMMYFUNCTION("""COMPUTED_VALUE"""),"John Eric Papa")</f>
        <v>John Eric Papa</v>
      </c>
      <c r="F1826" s="1"/>
      <c r="G1826" s="1" t="str">
        <f>IFERROR(__xludf.DUMMYFUNCTION("""COMPUTED_VALUE"""),"3 mos")</f>
        <v>3 mos</v>
      </c>
      <c r="H1826" s="1" t="str">
        <f>IFERROR(__xludf.DUMMYFUNCTION("""COMPUTED_VALUE"""),"comment")</f>
        <v>comment</v>
      </c>
      <c r="I1826" s="2" t="str">
        <f>IFERROR(__xludf.DUMMYFUNCTION("""COMPUTED_VALUE"""),"https://www.facebook.com/rapplerdotcom/photos/a.317154781638645/5595372260483511/")</f>
        <v>https://www.facebook.com/rapplerdotcom/photos/a.317154781638645/5595372260483511/</v>
      </c>
      <c r="J1826" s="1" t="str">
        <f>IFERROR(__xludf.DUMMYFUNCTION("""COMPUTED_VALUE"""),"2022-07-04T15:44:55.426Z")</f>
        <v>2022-07-04T15:44:55.426Z</v>
      </c>
      <c r="K1826" s="1"/>
    </row>
    <row r="1827">
      <c r="A1827" s="2" t="str">
        <f>IFERROR(__xludf.DUMMYFUNCTION("""COMPUTED_VALUE"""),"https://www.facebook.com/davidlacsina4")</f>
        <v>https://www.facebook.com/davidlacsina4</v>
      </c>
      <c r="B1827" s="1" t="str">
        <f>IFERROR(__xludf.DUMMYFUNCTION("""COMPUTED_VALUE"""),"David Lacsina")</f>
        <v>David Lacsina</v>
      </c>
      <c r="C1827" s="1" t="str">
        <f>IFERROR(__xludf.DUMMYFUNCTION("""COMPUTED_VALUE"""),"David")</f>
        <v>David</v>
      </c>
      <c r="D1827" s="1" t="str">
        <f>IFERROR(__xludf.DUMMYFUNCTION("""COMPUTED_VALUE"""),"Lacsina")</f>
        <v>Lacsina</v>
      </c>
      <c r="E1827" s="1" t="str">
        <f>IFERROR(__xludf.DUMMYFUNCTION("""COMPUTED_VALUE"""),"David Lacsina")</f>
        <v>David Lacsina</v>
      </c>
      <c r="F1827" s="1"/>
      <c r="G1827" s="1" t="str">
        <f>IFERROR(__xludf.DUMMYFUNCTION("""COMPUTED_VALUE"""),"3 mos")</f>
        <v>3 mos</v>
      </c>
      <c r="H1827" s="1" t="str">
        <f>IFERROR(__xludf.DUMMYFUNCTION("""COMPUTED_VALUE"""),"comment")</f>
        <v>comment</v>
      </c>
      <c r="I1827" s="2" t="str">
        <f>IFERROR(__xludf.DUMMYFUNCTION("""COMPUTED_VALUE"""),"https://www.facebook.com/rapplerdotcom/photos/a.317154781638645/5595372260483511/")</f>
        <v>https://www.facebook.com/rapplerdotcom/photos/a.317154781638645/5595372260483511/</v>
      </c>
      <c r="J1827" s="1" t="str">
        <f>IFERROR(__xludf.DUMMYFUNCTION("""COMPUTED_VALUE"""),"2022-07-04T15:44:55.426Z")</f>
        <v>2022-07-04T15:44:55.426Z</v>
      </c>
      <c r="K1827" s="1"/>
    </row>
    <row r="1828">
      <c r="A1828" s="2" t="str">
        <f>IFERROR(__xludf.DUMMYFUNCTION("""COMPUTED_VALUE"""),"https://www.facebook.com/john.f.papa")</f>
        <v>https://www.facebook.com/john.f.papa</v>
      </c>
      <c r="B1828" s="1" t="str">
        <f>IFERROR(__xludf.DUMMYFUNCTION("""COMPUTED_VALUE"""),"John Eric Papa")</f>
        <v>John Eric Papa</v>
      </c>
      <c r="C1828" s="1" t="str">
        <f>IFERROR(__xludf.DUMMYFUNCTION("""COMPUTED_VALUE"""),"John")</f>
        <v>John</v>
      </c>
      <c r="D1828" s="1" t="str">
        <f>IFERROR(__xludf.DUMMYFUNCTION("""COMPUTED_VALUE"""),"Eric Papa")</f>
        <v>Eric Papa</v>
      </c>
      <c r="E1828" s="1" t="str">
        <f>IFERROR(__xludf.DUMMYFUNCTION("""COMPUTED_VALUE"""),"John Eric Papa")</f>
        <v>John Eric Papa</v>
      </c>
      <c r="F1828" s="1"/>
      <c r="G1828" s="1" t="str">
        <f>IFERROR(__xludf.DUMMYFUNCTION("""COMPUTED_VALUE"""),"3 mos")</f>
        <v>3 mos</v>
      </c>
      <c r="H1828" s="1" t="str">
        <f>IFERROR(__xludf.DUMMYFUNCTION("""COMPUTED_VALUE"""),"comment")</f>
        <v>comment</v>
      </c>
      <c r="I1828" s="2" t="str">
        <f>IFERROR(__xludf.DUMMYFUNCTION("""COMPUTED_VALUE"""),"https://www.facebook.com/rapplerdotcom/photos/a.317154781638645/5595372260483511/")</f>
        <v>https://www.facebook.com/rapplerdotcom/photos/a.317154781638645/5595372260483511/</v>
      </c>
      <c r="J1828" s="1" t="str">
        <f>IFERROR(__xludf.DUMMYFUNCTION("""COMPUTED_VALUE"""),"2022-07-04T15:44:55.426Z")</f>
        <v>2022-07-04T15:44:55.426Z</v>
      </c>
      <c r="K1828" s="1"/>
    </row>
    <row r="1829">
      <c r="A1829" s="2" t="str">
        <f>IFERROR(__xludf.DUMMYFUNCTION("""COMPUTED_VALUE"""),"https://www.facebook.com/araceli.ceciliobaduria")</f>
        <v>https://www.facebook.com/araceli.ceciliobaduria</v>
      </c>
      <c r="B1829" s="1" t="str">
        <f>IFERROR(__xludf.DUMMYFUNCTION("""COMPUTED_VALUE"""),"Araceli Cecilio Baduria")</f>
        <v>Araceli Cecilio Baduria</v>
      </c>
      <c r="C1829" s="1" t="str">
        <f>IFERROR(__xludf.DUMMYFUNCTION("""COMPUTED_VALUE"""),"Araceli")</f>
        <v>Araceli</v>
      </c>
      <c r="D1829" s="1" t="str">
        <f>IFERROR(__xludf.DUMMYFUNCTION("""COMPUTED_VALUE"""),"Cecilio Baduria")</f>
        <v>Cecilio Baduria</v>
      </c>
      <c r="E1829" s="1" t="str">
        <f>IFERROR(__xludf.DUMMYFUNCTION("""COMPUTED_VALUE"""),"Araceli Cecilio Baduria")</f>
        <v>Araceli Cecilio Baduria</v>
      </c>
      <c r="F1829" s="1"/>
      <c r="G1829" s="1" t="str">
        <f>IFERROR(__xludf.DUMMYFUNCTION("""COMPUTED_VALUE"""),"3 mos")</f>
        <v>3 mos</v>
      </c>
      <c r="H1829" s="1" t="str">
        <f>IFERROR(__xludf.DUMMYFUNCTION("""COMPUTED_VALUE"""),"comment")</f>
        <v>comment</v>
      </c>
      <c r="I1829" s="2" t="str">
        <f>IFERROR(__xludf.DUMMYFUNCTION("""COMPUTED_VALUE"""),"https://www.facebook.com/rapplerdotcom/photos/a.317154781638645/5595372260483511/")</f>
        <v>https://www.facebook.com/rapplerdotcom/photos/a.317154781638645/5595372260483511/</v>
      </c>
      <c r="J1829" s="1" t="str">
        <f>IFERROR(__xludf.DUMMYFUNCTION("""COMPUTED_VALUE"""),"2022-07-04T15:44:55.426Z")</f>
        <v>2022-07-04T15:44:55.426Z</v>
      </c>
      <c r="K1829" s="1"/>
    </row>
    <row r="1830">
      <c r="A1830" s="2" t="str">
        <f>IFERROR(__xludf.DUMMYFUNCTION("""COMPUTED_VALUE"""),"https://www.facebook.com/cherryl.manjares.14")</f>
        <v>https://www.facebook.com/cherryl.manjares.14</v>
      </c>
      <c r="B1830" s="1" t="str">
        <f>IFERROR(__xludf.DUMMYFUNCTION("""COMPUTED_VALUE"""),"Cherryl Manjares")</f>
        <v>Cherryl Manjares</v>
      </c>
      <c r="C1830" s="1" t="str">
        <f>IFERROR(__xludf.DUMMYFUNCTION("""COMPUTED_VALUE"""),"Cherryl")</f>
        <v>Cherryl</v>
      </c>
      <c r="D1830" s="1" t="str">
        <f>IFERROR(__xludf.DUMMYFUNCTION("""COMPUTED_VALUE"""),"Manjares")</f>
        <v>Manjares</v>
      </c>
      <c r="E1830" s="1" t="str">
        <f>IFERROR(__xludf.DUMMYFUNCTION("""COMPUTED_VALUE"""),"Cherryl Manjares")</f>
        <v>Cherryl Manjares</v>
      </c>
      <c r="F1830" s="1"/>
      <c r="G1830" s="1" t="str">
        <f>IFERROR(__xludf.DUMMYFUNCTION("""COMPUTED_VALUE"""),"3 mos")</f>
        <v>3 mos</v>
      </c>
      <c r="H1830" s="1" t="str">
        <f>IFERROR(__xludf.DUMMYFUNCTION("""COMPUTED_VALUE"""),"comment")</f>
        <v>comment</v>
      </c>
      <c r="I1830" s="2" t="str">
        <f>IFERROR(__xludf.DUMMYFUNCTION("""COMPUTED_VALUE"""),"https://www.facebook.com/rapplerdotcom/photos/a.317154781638645/5595372260483511/")</f>
        <v>https://www.facebook.com/rapplerdotcom/photos/a.317154781638645/5595372260483511/</v>
      </c>
      <c r="J1830" s="1" t="str">
        <f>IFERROR(__xludf.DUMMYFUNCTION("""COMPUTED_VALUE"""),"2022-07-04T15:44:55.426Z")</f>
        <v>2022-07-04T15:44:55.426Z</v>
      </c>
      <c r="K1830" s="1"/>
    </row>
    <row r="1831">
      <c r="A1831" s="2" t="str">
        <f>IFERROR(__xludf.DUMMYFUNCTION("""COMPUTED_VALUE"""),"https://www.facebook.com/dale.paypa")</f>
        <v>https://www.facebook.com/dale.paypa</v>
      </c>
      <c r="B1831" s="1" t="str">
        <f>IFERROR(__xludf.DUMMYFUNCTION("""COMPUTED_VALUE"""),"Dale Paypa")</f>
        <v>Dale Paypa</v>
      </c>
      <c r="C1831" s="1" t="str">
        <f>IFERROR(__xludf.DUMMYFUNCTION("""COMPUTED_VALUE"""),"Dale")</f>
        <v>Dale</v>
      </c>
      <c r="D1831" s="1" t="str">
        <f>IFERROR(__xludf.DUMMYFUNCTION("""COMPUTED_VALUE"""),"Paypa")</f>
        <v>Paypa</v>
      </c>
      <c r="E1831" s="1" t="str">
        <f>IFERROR(__xludf.DUMMYFUNCTION("""COMPUTED_VALUE"""),"Dale Paypa")</f>
        <v>Dale Paypa</v>
      </c>
      <c r="F1831" s="1"/>
      <c r="G1831" s="1" t="str">
        <f>IFERROR(__xludf.DUMMYFUNCTION("""COMPUTED_VALUE"""),"3 mos")</f>
        <v>3 mos</v>
      </c>
      <c r="H1831" s="1" t="str">
        <f>IFERROR(__xludf.DUMMYFUNCTION("""COMPUTED_VALUE"""),"comment")</f>
        <v>comment</v>
      </c>
      <c r="I1831" s="2" t="str">
        <f>IFERROR(__xludf.DUMMYFUNCTION("""COMPUTED_VALUE"""),"https://www.facebook.com/rapplerdotcom/photos/a.317154781638645/5595372260483511/")</f>
        <v>https://www.facebook.com/rapplerdotcom/photos/a.317154781638645/5595372260483511/</v>
      </c>
      <c r="J1831" s="1" t="str">
        <f>IFERROR(__xludf.DUMMYFUNCTION("""COMPUTED_VALUE"""),"2022-07-04T15:44:55.426Z")</f>
        <v>2022-07-04T15:44:55.426Z</v>
      </c>
      <c r="K1831" s="1"/>
    </row>
    <row r="1832">
      <c r="A1832" s="2" t="str">
        <f>IFERROR(__xludf.DUMMYFUNCTION("""COMPUTED_VALUE"""),"https://www.facebook.com/cora.ropeta")</f>
        <v>https://www.facebook.com/cora.ropeta</v>
      </c>
      <c r="B1832" s="1" t="str">
        <f>IFERROR(__xludf.DUMMYFUNCTION("""COMPUTED_VALUE"""),"Cors M Ropeta")</f>
        <v>Cors M Ropeta</v>
      </c>
      <c r="C1832" s="1" t="str">
        <f>IFERROR(__xludf.DUMMYFUNCTION("""COMPUTED_VALUE"""),"Cors")</f>
        <v>Cors</v>
      </c>
      <c r="D1832" s="1" t="str">
        <f>IFERROR(__xludf.DUMMYFUNCTION("""COMPUTED_VALUE"""),"M Ropeta")</f>
        <v>M Ropeta</v>
      </c>
      <c r="E1832" s="1" t="str">
        <f>IFERROR(__xludf.DUMMYFUNCTION("""COMPUTED_VALUE"""),"Cors M Ropeta")</f>
        <v>Cors M Ropeta</v>
      </c>
      <c r="F1832" s="1">
        <f>IFERROR(__xludf.DUMMYFUNCTION("""COMPUTED_VALUE"""),1.0)</f>
        <v>1</v>
      </c>
      <c r="G1832" s="1" t="str">
        <f>IFERROR(__xludf.DUMMYFUNCTION("""COMPUTED_VALUE"""),"3 mos")</f>
        <v>3 mos</v>
      </c>
      <c r="H1832" s="1" t="str">
        <f>IFERROR(__xludf.DUMMYFUNCTION("""COMPUTED_VALUE"""),"comment")</f>
        <v>comment</v>
      </c>
      <c r="I1832" s="2" t="str">
        <f>IFERROR(__xludf.DUMMYFUNCTION("""COMPUTED_VALUE"""),"https://www.facebook.com/rapplerdotcom/photos/a.317154781638645/5595372260483511/")</f>
        <v>https://www.facebook.com/rapplerdotcom/photos/a.317154781638645/5595372260483511/</v>
      </c>
      <c r="J1832" s="1" t="str">
        <f>IFERROR(__xludf.DUMMYFUNCTION("""COMPUTED_VALUE"""),"2022-07-04T15:44:55.426Z")</f>
        <v>2022-07-04T15:44:55.426Z</v>
      </c>
      <c r="K1832" s="1"/>
    </row>
    <row r="1833">
      <c r="A1833" s="2" t="str">
        <f>IFERROR(__xludf.DUMMYFUNCTION("""COMPUTED_VALUE"""),"https://www.facebook.com/malikbin6.581730")</f>
        <v>https://www.facebook.com/malikbin6.581730</v>
      </c>
      <c r="B1833" s="1" t="str">
        <f>IFERROR(__xludf.DUMMYFUNCTION("""COMPUTED_VALUE"""),"Teo R. Rilla")</f>
        <v>Teo R. Rilla</v>
      </c>
      <c r="C1833" s="1" t="str">
        <f>IFERROR(__xludf.DUMMYFUNCTION("""COMPUTED_VALUE"""),"Teo")</f>
        <v>Teo</v>
      </c>
      <c r="D1833" s="1" t="str">
        <f>IFERROR(__xludf.DUMMYFUNCTION("""COMPUTED_VALUE"""),"R. Rilla")</f>
        <v>R. Rilla</v>
      </c>
      <c r="E1833" s="1" t="str">
        <f>IFERROR(__xludf.DUMMYFUNCTION("""COMPUTED_VALUE"""),"Teo R. Rilla")</f>
        <v>Teo R. Rilla</v>
      </c>
      <c r="F1833" s="1">
        <f>IFERROR(__xludf.DUMMYFUNCTION("""COMPUTED_VALUE"""),2.0)</f>
        <v>2</v>
      </c>
      <c r="G1833" s="1" t="str">
        <f>IFERROR(__xludf.DUMMYFUNCTION("""COMPUTED_VALUE"""),"3 mos")</f>
        <v>3 mos</v>
      </c>
      <c r="H1833" s="1" t="str">
        <f>IFERROR(__xludf.DUMMYFUNCTION("""COMPUTED_VALUE"""),"comment")</f>
        <v>comment</v>
      </c>
      <c r="I1833" s="2" t="str">
        <f>IFERROR(__xludf.DUMMYFUNCTION("""COMPUTED_VALUE"""),"https://www.facebook.com/rapplerdotcom/photos/a.317154781638645/5595372260483511/")</f>
        <v>https://www.facebook.com/rapplerdotcom/photos/a.317154781638645/5595372260483511/</v>
      </c>
      <c r="J1833" s="1" t="str">
        <f>IFERROR(__xludf.DUMMYFUNCTION("""COMPUTED_VALUE"""),"2022-07-04T15:44:55.426Z")</f>
        <v>2022-07-04T15:44:55.426Z</v>
      </c>
      <c r="K1833" s="1"/>
    </row>
    <row r="1834">
      <c r="A1834" s="2" t="str">
        <f>IFERROR(__xludf.DUMMYFUNCTION("""COMPUTED_VALUE"""),"https://www.facebook.com/yvic.delapena")</f>
        <v>https://www.facebook.com/yvic.delapena</v>
      </c>
      <c r="B1834" s="1" t="str">
        <f>IFERROR(__xludf.DUMMYFUNCTION("""COMPUTED_VALUE"""),"Yvic Delapeña")</f>
        <v>Yvic Delapeña</v>
      </c>
      <c r="C1834" s="1" t="str">
        <f>IFERROR(__xludf.DUMMYFUNCTION("""COMPUTED_VALUE"""),"Yvic")</f>
        <v>Yvic</v>
      </c>
      <c r="D1834" s="1" t="str">
        <f>IFERROR(__xludf.DUMMYFUNCTION("""COMPUTED_VALUE"""),"Delapeña")</f>
        <v>Delapeña</v>
      </c>
      <c r="E1834" s="1" t="str">
        <f>IFERROR(__xludf.DUMMYFUNCTION("""COMPUTED_VALUE"""),"Yvic Delapeña")</f>
        <v>Yvic Delapeña</v>
      </c>
      <c r="F1834" s="1"/>
      <c r="G1834" s="1" t="str">
        <f>IFERROR(__xludf.DUMMYFUNCTION("""COMPUTED_VALUE"""),"3 mos")</f>
        <v>3 mos</v>
      </c>
      <c r="H1834" s="1" t="str">
        <f>IFERROR(__xludf.DUMMYFUNCTION("""COMPUTED_VALUE"""),"comment")</f>
        <v>comment</v>
      </c>
      <c r="I1834" s="2" t="str">
        <f>IFERROR(__xludf.DUMMYFUNCTION("""COMPUTED_VALUE"""),"https://www.facebook.com/rapplerdotcom/photos/a.317154781638645/5595372260483511/")</f>
        <v>https://www.facebook.com/rapplerdotcom/photos/a.317154781638645/5595372260483511/</v>
      </c>
      <c r="J1834" s="1" t="str">
        <f>IFERROR(__xludf.DUMMYFUNCTION("""COMPUTED_VALUE"""),"2022-07-04T15:44:55.426Z")</f>
        <v>2022-07-04T15:44:55.426Z</v>
      </c>
      <c r="K1834" s="1"/>
    </row>
    <row r="1835">
      <c r="A1835" s="2" t="str">
        <f>IFERROR(__xludf.DUMMYFUNCTION("""COMPUTED_VALUE"""),"https://www.facebook.com/xtudie")</f>
        <v>https://www.facebook.com/xtudie</v>
      </c>
      <c r="B1835" s="1" t="str">
        <f>IFERROR(__xludf.DUMMYFUNCTION("""COMPUTED_VALUE"""),"Christian Tudtud Farrales")</f>
        <v>Christian Tudtud Farrales</v>
      </c>
      <c r="C1835" s="1" t="str">
        <f>IFERROR(__xludf.DUMMYFUNCTION("""COMPUTED_VALUE"""),"Christian")</f>
        <v>Christian</v>
      </c>
      <c r="D1835" s="1" t="str">
        <f>IFERROR(__xludf.DUMMYFUNCTION("""COMPUTED_VALUE"""),"Tudtud Farrales")</f>
        <v>Tudtud Farrales</v>
      </c>
      <c r="E1835" s="1" t="str">
        <f>IFERROR(__xludf.DUMMYFUNCTION("""COMPUTED_VALUE"""),"🥇")</f>
        <v>🥇</v>
      </c>
      <c r="F1835" s="1"/>
      <c r="G1835" s="1" t="str">
        <f>IFERROR(__xludf.DUMMYFUNCTION("""COMPUTED_VALUE"""),"3 mos")</f>
        <v>3 mos</v>
      </c>
      <c r="H1835" s="1" t="str">
        <f>IFERROR(__xludf.DUMMYFUNCTION("""COMPUTED_VALUE"""),"comment")</f>
        <v>comment</v>
      </c>
      <c r="I1835" s="2" t="str">
        <f>IFERROR(__xludf.DUMMYFUNCTION("""COMPUTED_VALUE"""),"https://www.facebook.com/rapplerdotcom/photos/a.317154781638645/5595372260483511/")</f>
        <v>https://www.facebook.com/rapplerdotcom/photos/a.317154781638645/5595372260483511/</v>
      </c>
      <c r="J1835" s="1" t="str">
        <f>IFERROR(__xludf.DUMMYFUNCTION("""COMPUTED_VALUE"""),"2022-07-04T15:44:55.426Z")</f>
        <v>2022-07-04T15:44:55.426Z</v>
      </c>
      <c r="K1835" s="1"/>
    </row>
    <row r="1836">
      <c r="A1836" s="2" t="str">
        <f>IFERROR(__xludf.DUMMYFUNCTION("""COMPUTED_VALUE"""),"https://www.facebook.com/jf.ortega.9")</f>
        <v>https://www.facebook.com/jf.ortega.9</v>
      </c>
      <c r="B1836" s="1" t="str">
        <f>IFERROR(__xludf.DUMMYFUNCTION("""COMPUTED_VALUE"""),"Andy Ortega")</f>
        <v>Andy Ortega</v>
      </c>
      <c r="C1836" s="1" t="str">
        <f>IFERROR(__xludf.DUMMYFUNCTION("""COMPUTED_VALUE"""),"Andy")</f>
        <v>Andy</v>
      </c>
      <c r="D1836" s="1" t="str">
        <f>IFERROR(__xludf.DUMMYFUNCTION("""COMPUTED_VALUE"""),"Ortega")</f>
        <v>Ortega</v>
      </c>
      <c r="E1836" s="1" t="str">
        <f>IFERROR(__xludf.DUMMYFUNCTION("""COMPUTED_VALUE"""),"#NeverAgainToMarcoses")</f>
        <v>#NeverAgainToMarcoses</v>
      </c>
      <c r="F1836" s="1">
        <f>IFERROR(__xludf.DUMMYFUNCTION("""COMPUTED_VALUE"""),8.0)</f>
        <v>8</v>
      </c>
      <c r="G1836" s="1" t="str">
        <f>IFERROR(__xludf.DUMMYFUNCTION("""COMPUTED_VALUE"""),"3 mos")</f>
        <v>3 mos</v>
      </c>
      <c r="H1836" s="1" t="str">
        <f>IFERROR(__xludf.DUMMYFUNCTION("""COMPUTED_VALUE"""),"comment")</f>
        <v>comment</v>
      </c>
      <c r="I1836" s="2" t="str">
        <f>IFERROR(__xludf.DUMMYFUNCTION("""COMPUTED_VALUE"""),"https://www.facebook.com/rapplerdotcom/photos/a.317154781638645/5595162900504447/")</f>
        <v>https://www.facebook.com/rapplerdotcom/photos/a.317154781638645/5595162900504447/</v>
      </c>
      <c r="J1836" s="1" t="str">
        <f>IFERROR(__xludf.DUMMYFUNCTION("""COMPUTED_VALUE"""),"2022-07-04T15:45:33.649Z")</f>
        <v>2022-07-04T15:45:33.649Z</v>
      </c>
      <c r="K1836" s="1"/>
    </row>
    <row r="1837">
      <c r="A1837" s="2" t="str">
        <f>IFERROR(__xludf.DUMMYFUNCTION("""COMPUTED_VALUE"""),"https://www.facebook.com/ngorab.ngidnam")</f>
        <v>https://www.facebook.com/ngorab.ngidnam</v>
      </c>
      <c r="B1837" s="1" t="str">
        <f>IFERROR(__xludf.DUMMYFUNCTION("""COMPUTED_VALUE"""),"Vic B Dal")</f>
        <v>Vic B Dal</v>
      </c>
      <c r="C1837" s="1" t="str">
        <f>IFERROR(__xludf.DUMMYFUNCTION("""COMPUTED_VALUE"""),"Vic")</f>
        <v>Vic</v>
      </c>
      <c r="D1837" s="1" t="str">
        <f>IFERROR(__xludf.DUMMYFUNCTION("""COMPUTED_VALUE"""),"B Dal")</f>
        <v>B Dal</v>
      </c>
      <c r="E1837" s="1" t="str">
        <f>IFERROR(__xludf.DUMMYFUNCTION("""COMPUTED_VALUE"""),"Political dynasties: The Marcoses, Arroyos, Farinas, Dutertes, Binays, Estradas, Villafuertes, Zamoras, Remullas, Villars, etc., treat public office like an inheritance which they could pass to their children/heirs. These political dynasties have lorded a"&amp;"nd wielded the reins of power in their bailiwicks for many decades, but majority of their constituents remained poor, who kept on voting these political dynasties due to their false messianic hope from these political dynasties that they could resurrect t"&amp;"he majority of their constituents from the graveyard of poverty when in reality these political dynasties buried the majority of their constituents more than 6 feet below the ground, which there could be no more resurrection from their haplessness and hel"&amp;"plessness.")</f>
        <v>Political dynasties: The Marcoses, Arroyos, Farinas, Dutertes, Binays, Estradas, Villafuertes, Zamoras, Remullas, Villars, etc., treat public office like an inheritance which they could pass to their children/heirs. These political dynasties have lorded and wielded the reins of power in their bailiwicks for many decades, but majority of their constituents remained poor, who kept on voting these political dynasties due to their false messianic hope from these political dynasties that they could resurrect the majority of their constituents from the graveyard of poverty when in reality these political dynasties buried the majority of their constituents more than 6 feet below the ground, which there could be no more resurrection from their haplessness and helplessness.</v>
      </c>
      <c r="F1837" s="1">
        <f>IFERROR(__xludf.DUMMYFUNCTION("""COMPUTED_VALUE"""),19.0)</f>
        <v>19</v>
      </c>
      <c r="G1837" s="1" t="str">
        <f>IFERROR(__xludf.DUMMYFUNCTION("""COMPUTED_VALUE"""),"3 mos")</f>
        <v>3 mos</v>
      </c>
      <c r="H1837" s="1" t="str">
        <f>IFERROR(__xludf.DUMMYFUNCTION("""COMPUTED_VALUE"""),"comment")</f>
        <v>comment</v>
      </c>
      <c r="I1837" s="2" t="str">
        <f>IFERROR(__xludf.DUMMYFUNCTION("""COMPUTED_VALUE"""),"https://www.facebook.com/rapplerdotcom/photos/a.317154781638645/5595162900504447/")</f>
        <v>https://www.facebook.com/rapplerdotcom/photos/a.317154781638645/5595162900504447/</v>
      </c>
      <c r="J1837" s="1" t="str">
        <f>IFERROR(__xludf.DUMMYFUNCTION("""COMPUTED_VALUE"""),"2022-07-04T15:45:33.649Z")</f>
        <v>2022-07-04T15:45:33.649Z</v>
      </c>
      <c r="K1837" s="1"/>
    </row>
    <row r="1838">
      <c r="A1838" s="2" t="str">
        <f>IFERROR(__xludf.DUMMYFUNCTION("""COMPUTED_VALUE"""),"https://www.facebook.com/jimmy.ballesteros")</f>
        <v>https://www.facebook.com/jimmy.ballesteros</v>
      </c>
      <c r="B1838" s="1" t="str">
        <f>IFERROR(__xludf.DUMMYFUNCTION("""COMPUTED_VALUE"""),"Jim Bal")</f>
        <v>Jim Bal</v>
      </c>
      <c r="C1838" s="1" t="str">
        <f>IFERROR(__xludf.DUMMYFUNCTION("""COMPUTED_VALUE"""),"Jim")</f>
        <v>Jim</v>
      </c>
      <c r="D1838" s="1" t="str">
        <f>IFERROR(__xludf.DUMMYFUNCTION("""COMPUTED_VALUE"""),"Bal")</f>
        <v>Bal</v>
      </c>
      <c r="E1838" s="1" t="str">
        <f>IFERROR(__xludf.DUMMYFUNCTION("""COMPUTED_VALUE"""),"Vic B Dal REMULLAS OF COURSE")</f>
        <v>Vic B Dal REMULLAS OF COURSE</v>
      </c>
      <c r="F1838" s="1"/>
      <c r="G1838" s="1" t="str">
        <f>IFERROR(__xludf.DUMMYFUNCTION("""COMPUTED_VALUE"""),"3 mos")</f>
        <v>3 mos</v>
      </c>
      <c r="H1838" s="1" t="str">
        <f>IFERROR(__xludf.DUMMYFUNCTION("""COMPUTED_VALUE"""),"reply")</f>
        <v>reply</v>
      </c>
      <c r="I1838" s="2" t="str">
        <f>IFERROR(__xludf.DUMMYFUNCTION("""COMPUTED_VALUE"""),"https://www.facebook.com/rapplerdotcom/photos/a.317154781638645/5595162900504447/")</f>
        <v>https://www.facebook.com/rapplerdotcom/photos/a.317154781638645/5595162900504447/</v>
      </c>
      <c r="J1838" s="1" t="str">
        <f>IFERROR(__xludf.DUMMYFUNCTION("""COMPUTED_VALUE"""),"2022-07-04T15:45:33.649Z")</f>
        <v>2022-07-04T15:45:33.649Z</v>
      </c>
      <c r="K1838" s="1"/>
    </row>
    <row r="1839">
      <c r="A1839" s="2" t="str">
        <f>IFERROR(__xludf.DUMMYFUNCTION("""COMPUTED_VALUE"""),"https://www.facebook.com/celia.menaje")</f>
        <v>https://www.facebook.com/celia.menaje</v>
      </c>
      <c r="B1839" s="1" t="str">
        <f>IFERROR(__xludf.DUMMYFUNCTION("""COMPUTED_VALUE"""),"Celia Paclibar Menaje")</f>
        <v>Celia Paclibar Menaje</v>
      </c>
      <c r="C1839" s="1" t="str">
        <f>IFERROR(__xludf.DUMMYFUNCTION("""COMPUTED_VALUE"""),"Celia")</f>
        <v>Celia</v>
      </c>
      <c r="D1839" s="1" t="str">
        <f>IFERROR(__xludf.DUMMYFUNCTION("""COMPUTED_VALUE"""),"Paclibar Menaje")</f>
        <v>Paclibar Menaje</v>
      </c>
      <c r="E1839" s="1" t="str">
        <f>IFERROR(__xludf.DUMMYFUNCTION("""COMPUTED_VALUE"""),"Meron pang dynasty Villar at Cayetano..dumadami lahi nila")</f>
        <v>Meron pang dynasty Villar at Cayetano..dumadami lahi nila</v>
      </c>
      <c r="F1839" s="1"/>
      <c r="G1839" s="1" t="str">
        <f>IFERROR(__xludf.DUMMYFUNCTION("""COMPUTED_VALUE"""),"3 mos")</f>
        <v>3 mos</v>
      </c>
      <c r="H1839" s="1" t="str">
        <f>IFERROR(__xludf.DUMMYFUNCTION("""COMPUTED_VALUE"""),"reply")</f>
        <v>reply</v>
      </c>
      <c r="I1839" s="2" t="str">
        <f>IFERROR(__xludf.DUMMYFUNCTION("""COMPUTED_VALUE"""),"https://www.facebook.com/rapplerdotcom/photos/a.317154781638645/5595162900504447/")</f>
        <v>https://www.facebook.com/rapplerdotcom/photos/a.317154781638645/5595162900504447/</v>
      </c>
      <c r="J1839" s="1" t="str">
        <f>IFERROR(__xludf.DUMMYFUNCTION("""COMPUTED_VALUE"""),"2022-07-04T15:45:33.649Z")</f>
        <v>2022-07-04T15:45:33.649Z</v>
      </c>
      <c r="K1839" s="1"/>
    </row>
    <row r="1840">
      <c r="A1840" s="2" t="str">
        <f>IFERROR(__xludf.DUMMYFUNCTION("""COMPUTED_VALUE"""),"https://www.facebook.com/alma.deguzman.5891")</f>
        <v>https://www.facebook.com/alma.deguzman.5891</v>
      </c>
      <c r="B1840" s="1" t="str">
        <f>IFERROR(__xludf.DUMMYFUNCTION("""COMPUTED_VALUE"""),"La Etaira")</f>
        <v>La Etaira</v>
      </c>
      <c r="C1840" s="1" t="str">
        <f>IFERROR(__xludf.DUMMYFUNCTION("""COMPUTED_VALUE"""),"La")</f>
        <v>La</v>
      </c>
      <c r="D1840" s="1" t="str">
        <f>IFERROR(__xludf.DUMMYFUNCTION("""COMPUTED_VALUE"""),"Etaira")</f>
        <v>Etaira</v>
      </c>
      <c r="E1840" s="1" t="str">
        <f>IFERROR(__xludf.DUMMYFUNCTION("""COMPUTED_VALUE"""),"Vic B Dal may kulang pa,si arroyo")</f>
        <v>Vic B Dal may kulang pa,si arroyo</v>
      </c>
      <c r="F1840" s="1"/>
      <c r="G1840" s="1" t="str">
        <f>IFERROR(__xludf.DUMMYFUNCTION("""COMPUTED_VALUE"""),"3 mos")</f>
        <v>3 mos</v>
      </c>
      <c r="H1840" s="1" t="str">
        <f>IFERROR(__xludf.DUMMYFUNCTION("""COMPUTED_VALUE"""),"reply")</f>
        <v>reply</v>
      </c>
      <c r="I1840" s="2" t="str">
        <f>IFERROR(__xludf.DUMMYFUNCTION("""COMPUTED_VALUE"""),"https://www.facebook.com/rapplerdotcom/photos/a.317154781638645/5595162900504447/")</f>
        <v>https://www.facebook.com/rapplerdotcom/photos/a.317154781638645/5595162900504447/</v>
      </c>
      <c r="J1840" s="1" t="str">
        <f>IFERROR(__xludf.DUMMYFUNCTION("""COMPUTED_VALUE"""),"2022-07-04T15:45:33.649Z")</f>
        <v>2022-07-04T15:45:33.649Z</v>
      </c>
      <c r="K1840" s="1"/>
    </row>
    <row r="1841">
      <c r="A1841" s="2" t="str">
        <f>IFERROR(__xludf.DUMMYFUNCTION("""COMPUTED_VALUE"""),"https://www.facebook.com/profile.php?id=100076244510404")</f>
        <v>https://www.facebook.com/profile.php?id=100076244510404</v>
      </c>
      <c r="B1841" s="1" t="str">
        <f>IFERROR(__xludf.DUMMYFUNCTION("""COMPUTED_VALUE"""),"Danddy Parinas")</f>
        <v>Danddy Parinas</v>
      </c>
      <c r="C1841" s="1" t="str">
        <f>IFERROR(__xludf.DUMMYFUNCTION("""COMPUTED_VALUE"""),"Danddy")</f>
        <v>Danddy</v>
      </c>
      <c r="D1841" s="1" t="str">
        <f>IFERROR(__xludf.DUMMYFUNCTION("""COMPUTED_VALUE"""),"Parinas")</f>
        <v>Parinas</v>
      </c>
      <c r="E1841" s="1" t="str">
        <f>IFERROR(__xludf.DUMMYFUNCTION("""COMPUTED_VALUE"""),"Pur0 pagkakaisa bkt...plata porma ba ang pagkkaisa nakkain ba ang pagkkaisa nakkasawa na kau !!!!!")</f>
        <v>Pur0 pagkakaisa bkt...plata porma ba ang pagkkaisa nakkain ba ang pagkkaisa nakkasawa na kau !!!!!</v>
      </c>
      <c r="F1841" s="1">
        <f>IFERROR(__xludf.DUMMYFUNCTION("""COMPUTED_VALUE"""),20.0)</f>
        <v>20</v>
      </c>
      <c r="G1841" s="1" t="str">
        <f>IFERROR(__xludf.DUMMYFUNCTION("""COMPUTED_VALUE"""),"3 mos")</f>
        <v>3 mos</v>
      </c>
      <c r="H1841" s="1" t="str">
        <f>IFERROR(__xludf.DUMMYFUNCTION("""COMPUTED_VALUE"""),"comment")</f>
        <v>comment</v>
      </c>
      <c r="I1841" s="2" t="str">
        <f>IFERROR(__xludf.DUMMYFUNCTION("""COMPUTED_VALUE"""),"https://www.facebook.com/rapplerdotcom/photos/a.317154781638645/5595162900504447/")</f>
        <v>https://www.facebook.com/rapplerdotcom/photos/a.317154781638645/5595162900504447/</v>
      </c>
      <c r="J1841" s="1" t="str">
        <f>IFERROR(__xludf.DUMMYFUNCTION("""COMPUTED_VALUE"""),"2022-07-04T15:45:33.649Z")</f>
        <v>2022-07-04T15:45:33.649Z</v>
      </c>
      <c r="K1841" s="1"/>
    </row>
    <row r="1842">
      <c r="A1842" s="2" t="str">
        <f>IFERROR(__xludf.DUMMYFUNCTION("""COMPUTED_VALUE"""),"https://www.facebook.com/rolan.conos")</f>
        <v>https://www.facebook.com/rolan.conos</v>
      </c>
      <c r="B1842" s="1" t="str">
        <f>IFERROR(__xludf.DUMMYFUNCTION("""COMPUTED_VALUE"""),"Roland Cons")</f>
        <v>Roland Cons</v>
      </c>
      <c r="C1842" s="1" t="str">
        <f>IFERROR(__xludf.DUMMYFUNCTION("""COMPUTED_VALUE"""),"Roland")</f>
        <v>Roland</v>
      </c>
      <c r="D1842" s="1" t="str">
        <f>IFERROR(__xludf.DUMMYFUNCTION("""COMPUTED_VALUE"""),"Cons")</f>
        <v>Cons</v>
      </c>
      <c r="E1842" s="1" t="str">
        <f>IFERROR(__xludf.DUMMYFUNCTION("""COMPUTED_VALUE"""),"Danddy Parinas pagkakaisa na nakawin ang kaban NG Bayan, Yun daw ang unity Para sa kanila")</f>
        <v>Danddy Parinas pagkakaisa na nakawin ang kaban NG Bayan, Yun daw ang unity Para sa kanila</v>
      </c>
      <c r="F1842" s="1">
        <f>IFERROR(__xludf.DUMMYFUNCTION("""COMPUTED_VALUE"""),6.0)</f>
        <v>6</v>
      </c>
      <c r="G1842" s="1" t="str">
        <f>IFERROR(__xludf.DUMMYFUNCTION("""COMPUTED_VALUE"""),"3 mos")</f>
        <v>3 mos</v>
      </c>
      <c r="H1842" s="1" t="str">
        <f>IFERROR(__xludf.DUMMYFUNCTION("""COMPUTED_VALUE"""),"reply")</f>
        <v>reply</v>
      </c>
      <c r="I1842" s="2" t="str">
        <f>IFERROR(__xludf.DUMMYFUNCTION("""COMPUTED_VALUE"""),"https://www.facebook.com/rapplerdotcom/photos/a.317154781638645/5595162900504447/")</f>
        <v>https://www.facebook.com/rapplerdotcom/photos/a.317154781638645/5595162900504447/</v>
      </c>
      <c r="J1842" s="1" t="str">
        <f>IFERROR(__xludf.DUMMYFUNCTION("""COMPUTED_VALUE"""),"2022-07-04T15:45:33.649Z")</f>
        <v>2022-07-04T15:45:33.649Z</v>
      </c>
      <c r="K1842" s="1"/>
    </row>
    <row r="1843">
      <c r="A1843" s="2" t="str">
        <f>IFERROR(__xludf.DUMMYFUNCTION("""COMPUTED_VALUE"""),"https://www.facebook.com/JayArziiGee")</f>
        <v>https://www.facebook.com/JayArziiGee</v>
      </c>
      <c r="B1843" s="1" t="str">
        <f>IFERROR(__xludf.DUMMYFUNCTION("""COMPUTED_VALUE"""),"Jay ArZi Gee")</f>
        <v>Jay ArZi Gee</v>
      </c>
      <c r="C1843" s="1" t="str">
        <f>IFERROR(__xludf.DUMMYFUNCTION("""COMPUTED_VALUE"""),"Jay")</f>
        <v>Jay</v>
      </c>
      <c r="D1843" s="1" t="str">
        <f>IFERROR(__xludf.DUMMYFUNCTION("""COMPUTED_VALUE"""),"ArZi Gee")</f>
        <v>ArZi Gee</v>
      </c>
      <c r="E1843" s="1" t="str">
        <f>IFERROR(__xludf.DUMMYFUNCTION("""COMPUTED_VALUE"""),"Danddy Parinas uniTHIEVES!")</f>
        <v>Danddy Parinas uniTHIEVES!</v>
      </c>
      <c r="F1843" s="1">
        <f>IFERROR(__xludf.DUMMYFUNCTION("""COMPUTED_VALUE"""),1.0)</f>
        <v>1</v>
      </c>
      <c r="G1843" s="1" t="str">
        <f>IFERROR(__xludf.DUMMYFUNCTION("""COMPUTED_VALUE"""),"3 mos")</f>
        <v>3 mos</v>
      </c>
      <c r="H1843" s="1" t="str">
        <f>IFERROR(__xludf.DUMMYFUNCTION("""COMPUTED_VALUE"""),"reply")</f>
        <v>reply</v>
      </c>
      <c r="I1843" s="2" t="str">
        <f>IFERROR(__xludf.DUMMYFUNCTION("""COMPUTED_VALUE"""),"https://www.facebook.com/rapplerdotcom/photos/a.317154781638645/5595162900504447/")</f>
        <v>https://www.facebook.com/rapplerdotcom/photos/a.317154781638645/5595162900504447/</v>
      </c>
      <c r="J1843" s="1" t="str">
        <f>IFERROR(__xludf.DUMMYFUNCTION("""COMPUTED_VALUE"""),"2022-07-04T15:45:33.649Z")</f>
        <v>2022-07-04T15:45:33.649Z</v>
      </c>
      <c r="K1843" s="1"/>
    </row>
    <row r="1844">
      <c r="A1844" s="2" t="str">
        <f>IFERROR(__xludf.DUMMYFUNCTION("""COMPUTED_VALUE"""),"https://www.facebook.com/bodick.cruz")</f>
        <v>https://www.facebook.com/bodick.cruz</v>
      </c>
      <c r="B1844" s="1" t="str">
        <f>IFERROR(__xludf.DUMMYFUNCTION("""COMPUTED_VALUE"""),"Bodick Cruz")</f>
        <v>Bodick Cruz</v>
      </c>
      <c r="C1844" s="1" t="str">
        <f>IFERROR(__xludf.DUMMYFUNCTION("""COMPUTED_VALUE"""),"Bodick")</f>
        <v>Bodick</v>
      </c>
      <c r="D1844" s="1" t="str">
        <f>IFERROR(__xludf.DUMMYFUNCTION("""COMPUTED_VALUE"""),"Cruz")</f>
        <v>Cruz</v>
      </c>
      <c r="E1844" s="1" t="str">
        <f>IFERROR(__xludf.DUMMYFUNCTION("""COMPUTED_VALUE"""),"Politics is big business lalo sa ilocos norte ang mayayaman ay naka -puesto sa kapangyarihan magandang mansion ang mahirap nasa bukid sakahan' ng mga pulitiko.lahat ay ganun din halos sa buong bansa.")</f>
        <v>Politics is big business lalo sa ilocos norte ang mayayaman ay naka -puesto sa kapangyarihan magandang mansion ang mahirap nasa bukid sakahan' ng mga pulitiko.lahat ay ganun din halos sa buong bansa.</v>
      </c>
      <c r="F1844" s="1">
        <f>IFERROR(__xludf.DUMMYFUNCTION("""COMPUTED_VALUE"""),10.0)</f>
        <v>10</v>
      </c>
      <c r="G1844" s="1" t="str">
        <f>IFERROR(__xludf.DUMMYFUNCTION("""COMPUTED_VALUE"""),"3 mos")</f>
        <v>3 mos</v>
      </c>
      <c r="H1844" s="1" t="str">
        <f>IFERROR(__xludf.DUMMYFUNCTION("""COMPUTED_VALUE"""),"comment")</f>
        <v>comment</v>
      </c>
      <c r="I1844" s="2" t="str">
        <f>IFERROR(__xludf.DUMMYFUNCTION("""COMPUTED_VALUE"""),"https://www.facebook.com/rapplerdotcom/photos/a.317154781638645/5595162900504447/")</f>
        <v>https://www.facebook.com/rapplerdotcom/photos/a.317154781638645/5595162900504447/</v>
      </c>
      <c r="J1844" s="1" t="str">
        <f>IFERROR(__xludf.DUMMYFUNCTION("""COMPUTED_VALUE"""),"2022-07-04T15:45:33.649Z")</f>
        <v>2022-07-04T15:45:33.649Z</v>
      </c>
      <c r="K1844" s="1"/>
    </row>
    <row r="1845">
      <c r="A1845" s="2" t="str">
        <f>IFERROR(__xludf.DUMMYFUNCTION("""COMPUTED_VALUE"""),"https://www.facebook.com/linda.gardon")</f>
        <v>https://www.facebook.com/linda.gardon</v>
      </c>
      <c r="B1845" s="1" t="str">
        <f>IFERROR(__xludf.DUMMYFUNCTION("""COMPUTED_VALUE"""),"Linda Gardon")</f>
        <v>Linda Gardon</v>
      </c>
      <c r="C1845" s="1" t="str">
        <f>IFERROR(__xludf.DUMMYFUNCTION("""COMPUTED_VALUE"""),"Linda")</f>
        <v>Linda</v>
      </c>
      <c r="D1845" s="1" t="str">
        <f>IFERROR(__xludf.DUMMYFUNCTION("""COMPUTED_VALUE"""),"Gardon")</f>
        <v>Gardon</v>
      </c>
      <c r="E1845" s="1" t="str">
        <f>IFERROR(__xludf.DUMMYFUNCTION("""COMPUTED_VALUE"""),"Sana kung may bago na politician iyan ang iboboto para matakot mga politicians na hindi magtrabaho at magiging honest sila")</f>
        <v>Sana kung may bago na politician iyan ang iboboto para matakot mga politicians na hindi magtrabaho at magiging honest sila</v>
      </c>
      <c r="F1845" s="1">
        <f>IFERROR(__xludf.DUMMYFUNCTION("""COMPUTED_VALUE"""),1.0)</f>
        <v>1</v>
      </c>
      <c r="G1845" s="1" t="str">
        <f>IFERROR(__xludf.DUMMYFUNCTION("""COMPUTED_VALUE"""),"3 mos")</f>
        <v>3 mos</v>
      </c>
      <c r="H1845" s="1" t="str">
        <f>IFERROR(__xludf.DUMMYFUNCTION("""COMPUTED_VALUE"""),"comment")</f>
        <v>comment</v>
      </c>
      <c r="I1845" s="2" t="str">
        <f>IFERROR(__xludf.DUMMYFUNCTION("""COMPUTED_VALUE"""),"https://www.facebook.com/rapplerdotcom/photos/a.317154781638645/5595162900504447/")</f>
        <v>https://www.facebook.com/rapplerdotcom/photos/a.317154781638645/5595162900504447/</v>
      </c>
      <c r="J1845" s="1" t="str">
        <f>IFERROR(__xludf.DUMMYFUNCTION("""COMPUTED_VALUE"""),"2022-07-04T15:45:33.649Z")</f>
        <v>2022-07-04T15:45:33.649Z</v>
      </c>
      <c r="K1845" s="1"/>
    </row>
    <row r="1846">
      <c r="A1846" s="2" t="str">
        <f>IFERROR(__xludf.DUMMYFUNCTION("""COMPUTED_VALUE"""),"https://www.facebook.com/maricel.delacruz.399")</f>
        <v>https://www.facebook.com/maricel.delacruz.399</v>
      </c>
      <c r="B1846" s="1" t="str">
        <f>IFERROR(__xludf.DUMMYFUNCTION("""COMPUTED_VALUE"""),"Mads C Kwon")</f>
        <v>Mads C Kwon</v>
      </c>
      <c r="C1846" s="1" t="str">
        <f>IFERROR(__xludf.DUMMYFUNCTION("""COMPUTED_VALUE"""),"Mads")</f>
        <v>Mads</v>
      </c>
      <c r="D1846" s="1" t="str">
        <f>IFERROR(__xludf.DUMMYFUNCTION("""COMPUTED_VALUE"""),"C Kwon")</f>
        <v>C Kwon</v>
      </c>
      <c r="E1846" s="1" t="str">
        <f>IFERROR(__xludf.DUMMYFUNCTION("""COMPUTED_VALUE"""),"Nasa politika nga ang pera!!!!kaya ginawa nilang family bussiness")</f>
        <v>Nasa politika nga ang pera!!!!kaya ginawa nilang family bussiness</v>
      </c>
      <c r="F1846" s="1">
        <f>IFERROR(__xludf.DUMMYFUNCTION("""COMPUTED_VALUE"""),22.0)</f>
        <v>22</v>
      </c>
      <c r="G1846" s="1" t="str">
        <f>IFERROR(__xludf.DUMMYFUNCTION("""COMPUTED_VALUE"""),"3 mos")</f>
        <v>3 mos</v>
      </c>
      <c r="H1846" s="1" t="str">
        <f>IFERROR(__xludf.DUMMYFUNCTION("""COMPUTED_VALUE"""),"comment")</f>
        <v>comment</v>
      </c>
      <c r="I1846" s="2" t="str">
        <f>IFERROR(__xludf.DUMMYFUNCTION("""COMPUTED_VALUE"""),"https://www.facebook.com/rapplerdotcom/photos/a.317154781638645/5595162900504447/")</f>
        <v>https://www.facebook.com/rapplerdotcom/photos/a.317154781638645/5595162900504447/</v>
      </c>
      <c r="J1846" s="1" t="str">
        <f>IFERROR(__xludf.DUMMYFUNCTION("""COMPUTED_VALUE"""),"2022-07-04T15:45:33.649Z")</f>
        <v>2022-07-04T15:45:33.649Z</v>
      </c>
      <c r="K1846" s="1"/>
    </row>
    <row r="1847">
      <c r="A1847" s="2" t="str">
        <f>IFERROR(__xludf.DUMMYFUNCTION("""COMPUTED_VALUE"""),"https://www.facebook.com/annabelle.cruz.98")</f>
        <v>https://www.facebook.com/annabelle.cruz.98</v>
      </c>
      <c r="B1847" s="1" t="str">
        <f>IFERROR(__xludf.DUMMYFUNCTION("""COMPUTED_VALUE"""),"Annabelle Cruz")</f>
        <v>Annabelle Cruz</v>
      </c>
      <c r="C1847" s="1" t="str">
        <f>IFERROR(__xludf.DUMMYFUNCTION("""COMPUTED_VALUE"""),"Annabelle")</f>
        <v>Annabelle</v>
      </c>
      <c r="D1847" s="1" t="str">
        <f>IFERROR(__xludf.DUMMYFUNCTION("""COMPUTED_VALUE"""),"Cruz")</f>
        <v>Cruz</v>
      </c>
      <c r="E1847" s="1" t="str">
        <f>IFERROR(__xludf.DUMMYFUNCTION("""COMPUTED_VALUE"""),"Mads C Kwon hahaha kaya siguro my 800m c lenlen ba binigay ky Alvarez 🤣😅")</f>
        <v>Mads C Kwon hahaha kaya siguro my 800m c lenlen ba binigay ky Alvarez 🤣😅</v>
      </c>
      <c r="F1847" s="1">
        <f>IFERROR(__xludf.DUMMYFUNCTION("""COMPUTED_VALUE"""),1.0)</f>
        <v>1</v>
      </c>
      <c r="G1847" s="1" t="str">
        <f>IFERROR(__xludf.DUMMYFUNCTION("""COMPUTED_VALUE"""),"3 mos")</f>
        <v>3 mos</v>
      </c>
      <c r="H1847" s="1" t="str">
        <f>IFERROR(__xludf.DUMMYFUNCTION("""COMPUTED_VALUE"""),"reply")</f>
        <v>reply</v>
      </c>
      <c r="I1847" s="2" t="str">
        <f>IFERROR(__xludf.DUMMYFUNCTION("""COMPUTED_VALUE"""),"https://www.facebook.com/rapplerdotcom/photos/a.317154781638645/5595162900504447/")</f>
        <v>https://www.facebook.com/rapplerdotcom/photos/a.317154781638645/5595162900504447/</v>
      </c>
      <c r="J1847" s="1" t="str">
        <f>IFERROR(__xludf.DUMMYFUNCTION("""COMPUTED_VALUE"""),"2022-07-04T15:45:33.649Z")</f>
        <v>2022-07-04T15:45:33.649Z</v>
      </c>
      <c r="K1847" s="1"/>
    </row>
    <row r="1848">
      <c r="A1848" s="2" t="str">
        <f>IFERROR(__xludf.DUMMYFUNCTION("""COMPUTED_VALUE"""),"https://www.facebook.com/sally.benasfre")</f>
        <v>https://www.facebook.com/sally.benasfre</v>
      </c>
      <c r="B1848" s="1" t="str">
        <f>IFERROR(__xludf.DUMMYFUNCTION("""COMPUTED_VALUE"""),"Sally Beñasfre Rafales")</f>
        <v>Sally Beñasfre Rafales</v>
      </c>
      <c r="C1848" s="1" t="str">
        <f>IFERROR(__xludf.DUMMYFUNCTION("""COMPUTED_VALUE"""),"Sally")</f>
        <v>Sally</v>
      </c>
      <c r="D1848" s="1" t="str">
        <f>IFERROR(__xludf.DUMMYFUNCTION("""COMPUTED_VALUE"""),"Beñasfre Rafales")</f>
        <v>Beñasfre Rafales</v>
      </c>
      <c r="E1848" s="1" t="str">
        <f>IFERROR(__xludf.DUMMYFUNCTION("""COMPUTED_VALUE"""),"Mads C Kwon may kasabihan nga kng gusto mong yumaman pumasok k s politika andyan maraming pera maryosep kawawa mga botante nagddildil ng asin hay!")</f>
        <v>Mads C Kwon may kasabihan nga kng gusto mong yumaman pumasok k s politika andyan maraming pera maryosep kawawa mga botante nagddildil ng asin hay!</v>
      </c>
      <c r="F1848" s="1"/>
      <c r="G1848" s="1" t="str">
        <f>IFERROR(__xludf.DUMMYFUNCTION("""COMPUTED_VALUE"""),"3 mos")</f>
        <v>3 mos</v>
      </c>
      <c r="H1848" s="1" t="str">
        <f>IFERROR(__xludf.DUMMYFUNCTION("""COMPUTED_VALUE"""),"reply")</f>
        <v>reply</v>
      </c>
      <c r="I1848" s="2" t="str">
        <f>IFERROR(__xludf.DUMMYFUNCTION("""COMPUTED_VALUE"""),"https://www.facebook.com/rapplerdotcom/photos/a.317154781638645/5595162900504447/")</f>
        <v>https://www.facebook.com/rapplerdotcom/photos/a.317154781638645/5595162900504447/</v>
      </c>
      <c r="J1848" s="1" t="str">
        <f>IFERROR(__xludf.DUMMYFUNCTION("""COMPUTED_VALUE"""),"2022-07-04T15:45:33.649Z")</f>
        <v>2022-07-04T15:45:33.649Z</v>
      </c>
      <c r="K1848" s="1"/>
    </row>
    <row r="1849">
      <c r="A1849" s="2" t="str">
        <f>IFERROR(__xludf.DUMMYFUNCTION("""COMPUTED_VALUE"""),"https://www.facebook.com/maricel.delacruz.399")</f>
        <v>https://www.facebook.com/maricel.delacruz.399</v>
      </c>
      <c r="B1849" s="1" t="str">
        <f>IFERROR(__xludf.DUMMYFUNCTION("""COMPUTED_VALUE"""),"Mads C Kwon")</f>
        <v>Mads C Kwon</v>
      </c>
      <c r="C1849" s="1" t="str">
        <f>IFERROR(__xludf.DUMMYFUNCTION("""COMPUTED_VALUE"""),"Mads")</f>
        <v>Mads</v>
      </c>
      <c r="D1849" s="1" t="str">
        <f>IFERROR(__xludf.DUMMYFUNCTION("""COMPUTED_VALUE"""),"C Kwon")</f>
        <v>C Kwon</v>
      </c>
      <c r="E1849" s="1" t="str">
        <f>IFERROR(__xludf.DUMMYFUNCTION("""COMPUTED_VALUE"""),"Sally Beñasfre Rafales oo nga buti nalang mga kakampink  matino kung mag isip..")</f>
        <v>Sally Beñasfre Rafales oo nga buti nalang mga kakampink  matino kung mag isip..</v>
      </c>
      <c r="F1849" s="1"/>
      <c r="G1849" s="1" t="str">
        <f>IFERROR(__xludf.DUMMYFUNCTION("""COMPUTED_VALUE"""),"3 mos")</f>
        <v>3 mos</v>
      </c>
      <c r="H1849" s="1" t="str">
        <f>IFERROR(__xludf.DUMMYFUNCTION("""COMPUTED_VALUE"""),"reply")</f>
        <v>reply</v>
      </c>
      <c r="I1849" s="2" t="str">
        <f>IFERROR(__xludf.DUMMYFUNCTION("""COMPUTED_VALUE"""),"https://www.facebook.com/rapplerdotcom/photos/a.317154781638645/5595162900504447/")</f>
        <v>https://www.facebook.com/rapplerdotcom/photos/a.317154781638645/5595162900504447/</v>
      </c>
      <c r="J1849" s="1" t="str">
        <f>IFERROR(__xludf.DUMMYFUNCTION("""COMPUTED_VALUE"""),"2022-07-04T15:45:33.649Z")</f>
        <v>2022-07-04T15:45:33.649Z</v>
      </c>
      <c r="K1849" s="1"/>
    </row>
    <row r="1850">
      <c r="A1850" s="2" t="str">
        <f>IFERROR(__xludf.DUMMYFUNCTION("""COMPUTED_VALUE"""),"https://www.facebook.com/wystanc")</f>
        <v>https://www.facebook.com/wystanc</v>
      </c>
      <c r="B1850" s="1" t="str">
        <f>IFERROR(__xludf.DUMMYFUNCTION("""COMPUTED_VALUE"""),"Wys Tan")</f>
        <v>Wys Tan</v>
      </c>
      <c r="C1850" s="1" t="str">
        <f>IFERROR(__xludf.DUMMYFUNCTION("""COMPUTED_VALUE"""),"Wys")</f>
        <v>Wys</v>
      </c>
      <c r="D1850" s="1" t="str">
        <f>IFERROR(__xludf.DUMMYFUNCTION("""COMPUTED_VALUE"""),"Tan")</f>
        <v>Tan</v>
      </c>
      <c r="E1850" s="1" t="str">
        <f>IFERROR(__xludf.DUMMYFUNCTION("""COMPUTED_VALUE"""),"Sila yung walang business pero ang daming pera dahil lahat sila nka pwesto sa gobyerno. Ginawang gatasan ang posisyon.")</f>
        <v>Sila yung walang business pero ang daming pera dahil lahat sila nka pwesto sa gobyerno. Ginawang gatasan ang posisyon.</v>
      </c>
      <c r="F1850" s="1">
        <f>IFERROR(__xludf.DUMMYFUNCTION("""COMPUTED_VALUE"""),11.0)</f>
        <v>11</v>
      </c>
      <c r="G1850" s="1" t="str">
        <f>IFERROR(__xludf.DUMMYFUNCTION("""COMPUTED_VALUE"""),"3 mos")</f>
        <v>3 mos</v>
      </c>
      <c r="H1850" s="1" t="str">
        <f>IFERROR(__xludf.DUMMYFUNCTION("""COMPUTED_VALUE"""),"comment")</f>
        <v>comment</v>
      </c>
      <c r="I1850" s="2" t="str">
        <f>IFERROR(__xludf.DUMMYFUNCTION("""COMPUTED_VALUE"""),"https://www.facebook.com/rapplerdotcom/photos/a.317154781638645/5595162900504447/")</f>
        <v>https://www.facebook.com/rapplerdotcom/photos/a.317154781638645/5595162900504447/</v>
      </c>
      <c r="J1850" s="1" t="str">
        <f>IFERROR(__xludf.DUMMYFUNCTION("""COMPUTED_VALUE"""),"2022-07-04T15:45:33.649Z")</f>
        <v>2022-07-04T15:45:33.649Z</v>
      </c>
      <c r="K1850" s="1"/>
    </row>
    <row r="1851">
      <c r="A1851" s="2" t="str">
        <f>IFERROR(__xludf.DUMMYFUNCTION("""COMPUTED_VALUE"""),"https://www.facebook.com/pepe.jacinto")</f>
        <v>https://www.facebook.com/pepe.jacinto</v>
      </c>
      <c r="B1851" s="1" t="str">
        <f>IFERROR(__xludf.DUMMYFUNCTION("""COMPUTED_VALUE"""),"Eufemio Jacinto")</f>
        <v>Eufemio Jacinto</v>
      </c>
      <c r="C1851" s="1" t="str">
        <f>IFERROR(__xludf.DUMMYFUNCTION("""COMPUTED_VALUE"""),"Eufemio")</f>
        <v>Eufemio</v>
      </c>
      <c r="D1851" s="1" t="str">
        <f>IFERROR(__xludf.DUMMYFUNCTION("""COMPUTED_VALUE"""),"Jacinto")</f>
        <v>Jacinto</v>
      </c>
      <c r="E1851" s="1" t="str">
        <f>IFERROR(__xludf.DUMMYFUNCTION("""COMPUTED_VALUE"""),"end political dynasty")</f>
        <v>end political dynasty</v>
      </c>
      <c r="F1851" s="1">
        <f>IFERROR(__xludf.DUMMYFUNCTION("""COMPUTED_VALUE"""),21.0)</f>
        <v>21</v>
      </c>
      <c r="G1851" s="1" t="str">
        <f>IFERROR(__xludf.DUMMYFUNCTION("""COMPUTED_VALUE"""),"3 mos")</f>
        <v>3 mos</v>
      </c>
      <c r="H1851" s="1" t="str">
        <f>IFERROR(__xludf.DUMMYFUNCTION("""COMPUTED_VALUE"""),"comment")</f>
        <v>comment</v>
      </c>
      <c r="I1851" s="2" t="str">
        <f>IFERROR(__xludf.DUMMYFUNCTION("""COMPUTED_VALUE"""),"https://www.facebook.com/rapplerdotcom/photos/a.317154781638645/5595162900504447/")</f>
        <v>https://www.facebook.com/rapplerdotcom/photos/a.317154781638645/5595162900504447/</v>
      </c>
      <c r="J1851" s="1" t="str">
        <f>IFERROR(__xludf.DUMMYFUNCTION("""COMPUTED_VALUE"""),"2022-07-04T15:45:33.649Z")</f>
        <v>2022-07-04T15:45:33.649Z</v>
      </c>
      <c r="K1851" s="1"/>
    </row>
    <row r="1852">
      <c r="A1852" s="2" t="str">
        <f>IFERROR(__xludf.DUMMYFUNCTION("""COMPUTED_VALUE"""),"https://www.facebook.com/jimmy.ballesteros")</f>
        <v>https://www.facebook.com/jimmy.ballesteros</v>
      </c>
      <c r="B1852" s="1" t="str">
        <f>IFERROR(__xludf.DUMMYFUNCTION("""COMPUTED_VALUE"""),"Jim Bal")</f>
        <v>Jim Bal</v>
      </c>
      <c r="C1852" s="1" t="str">
        <f>IFERROR(__xludf.DUMMYFUNCTION("""COMPUTED_VALUE"""),"Jim")</f>
        <v>Jim</v>
      </c>
      <c r="D1852" s="1" t="str">
        <f>IFERROR(__xludf.DUMMYFUNCTION("""COMPUTED_VALUE"""),"Bal")</f>
        <v>Bal</v>
      </c>
      <c r="E1852" s="1" t="str">
        <f>IFERROR(__xludf.DUMMYFUNCTION("""COMPUTED_VALUE"""),"Jacinto Pepe we should end this in May 9 .. and make a law never again to Dynasty . ❌ NEVER AGAIN TO DYNASTY ❌")</f>
        <v>Jacinto Pepe we should end this in May 9 .. and make a law never again to Dynasty . ❌ NEVER AGAIN TO DYNASTY ❌</v>
      </c>
      <c r="F1852" s="1"/>
      <c r="G1852" s="1" t="str">
        <f>IFERROR(__xludf.DUMMYFUNCTION("""COMPUTED_VALUE"""),"3 mos")</f>
        <v>3 mos</v>
      </c>
      <c r="H1852" s="1" t="str">
        <f>IFERROR(__xludf.DUMMYFUNCTION("""COMPUTED_VALUE"""),"reply")</f>
        <v>reply</v>
      </c>
      <c r="I1852" s="2" t="str">
        <f>IFERROR(__xludf.DUMMYFUNCTION("""COMPUTED_VALUE"""),"https://www.facebook.com/rapplerdotcom/photos/a.317154781638645/5595162900504447/")</f>
        <v>https://www.facebook.com/rapplerdotcom/photos/a.317154781638645/5595162900504447/</v>
      </c>
      <c r="J1852" s="1" t="str">
        <f>IFERROR(__xludf.DUMMYFUNCTION("""COMPUTED_VALUE"""),"2022-07-04T15:45:33.649Z")</f>
        <v>2022-07-04T15:45:33.649Z</v>
      </c>
      <c r="K1852" s="1"/>
    </row>
    <row r="1853">
      <c r="A1853" s="2" t="str">
        <f>IFERROR(__xludf.DUMMYFUNCTION("""COMPUTED_VALUE"""),"https://www.facebook.com/profile.php?id=100070542605397")</f>
        <v>https://www.facebook.com/profile.php?id=100070542605397</v>
      </c>
      <c r="B1853" s="1" t="str">
        <f>IFERROR(__xludf.DUMMYFUNCTION("""COMPUTED_VALUE"""),"Jimmy Andaya")</f>
        <v>Jimmy Andaya</v>
      </c>
      <c r="C1853" s="1" t="str">
        <f>IFERROR(__xludf.DUMMYFUNCTION("""COMPUTED_VALUE"""),"Jimmy")</f>
        <v>Jimmy</v>
      </c>
      <c r="D1853" s="1" t="str">
        <f>IFERROR(__xludf.DUMMYFUNCTION("""COMPUTED_VALUE"""),"Andaya")</f>
        <v>Andaya</v>
      </c>
      <c r="E1853" s="1" t="str">
        <f>IFERROR(__xludf.DUMMYFUNCTION("""COMPUTED_VALUE"""),"Ginawa nyo ng hanapbuhay ang pagiging pulutiko mga gahaman.")</f>
        <v>Ginawa nyo ng hanapbuhay ang pagiging pulutiko mga gahaman.</v>
      </c>
      <c r="F1853" s="1">
        <f>IFERROR(__xludf.DUMMYFUNCTION("""COMPUTED_VALUE"""),2.0)</f>
        <v>2</v>
      </c>
      <c r="G1853" s="1" t="str">
        <f>IFERROR(__xludf.DUMMYFUNCTION("""COMPUTED_VALUE"""),"3 mos")</f>
        <v>3 mos</v>
      </c>
      <c r="H1853" s="1" t="str">
        <f>IFERROR(__xludf.DUMMYFUNCTION("""COMPUTED_VALUE"""),"comment")</f>
        <v>comment</v>
      </c>
      <c r="I1853" s="2" t="str">
        <f>IFERROR(__xludf.DUMMYFUNCTION("""COMPUTED_VALUE"""),"https://www.facebook.com/rapplerdotcom/photos/a.317154781638645/5595162900504447/")</f>
        <v>https://www.facebook.com/rapplerdotcom/photos/a.317154781638645/5595162900504447/</v>
      </c>
      <c r="J1853" s="1" t="str">
        <f>IFERROR(__xludf.DUMMYFUNCTION("""COMPUTED_VALUE"""),"2022-07-04T15:45:33.649Z")</f>
        <v>2022-07-04T15:45:33.649Z</v>
      </c>
      <c r="K1853" s="1"/>
    </row>
    <row r="1854">
      <c r="A1854" s="2" t="str">
        <f>IFERROR(__xludf.DUMMYFUNCTION("""COMPUTED_VALUE"""),"https://www.facebook.com/smileydokie")</f>
        <v>https://www.facebook.com/smileydokie</v>
      </c>
      <c r="B1854" s="1" t="str">
        <f>IFERROR(__xludf.DUMMYFUNCTION("""COMPUTED_VALUE"""),"Cyrile Eleda Ddm")</f>
        <v>Cyrile Eleda Ddm</v>
      </c>
      <c r="C1854" s="1" t="str">
        <f>IFERROR(__xludf.DUMMYFUNCTION("""COMPUTED_VALUE"""),"Cyrile")</f>
        <v>Cyrile</v>
      </c>
      <c r="D1854" s="1" t="str">
        <f>IFERROR(__xludf.DUMMYFUNCTION("""COMPUTED_VALUE"""),"Eleda Ddm")</f>
        <v>Eleda Ddm</v>
      </c>
      <c r="E1854" s="1" t="str">
        <f>IFERROR(__xludf.DUMMYFUNCTION("""COMPUTED_VALUE"""),"Political dynasty 🤔🙄,, sana matuto n ang taong bayan piliin natin yung alam natin na may nagagawa para s mga pangangailangan ng mamayan hindi yung dahil sikat lang ,, minsan n nating naranasan ang kanilang panunungkulan ,,ang taong may nabago s pamumuha"&amp;"y natin??? Ngayon gusto nyo na nmn na sial ang iupo ,, bakit d natin subukan ang bago mas bata at may naipakita ng nagawa s maynila ,, God First ,☝️,Isko Willie ,para s tuloy tuloy na pagbabagong naumpisahan ni tatay digong")</f>
        <v>Political dynasty 🤔🙄,, sana matuto n ang taong bayan piliin natin yung alam natin na may nagagawa para s mga pangangailangan ng mamayan hindi yung dahil sikat lang ,, minsan n nating naranasan ang kanilang panunungkulan ,,ang taong may nabago s pamumuhay natin??? Ngayon gusto nyo na nmn na sial ang iupo ,, bakit d natin subukan ang bago mas bata at may naipakita ng nagawa s maynila ,, God First ,☝️,Isko Willie ,para s tuloy tuloy na pagbabagong naumpisahan ni tatay digong</v>
      </c>
      <c r="F1854" s="1">
        <f>IFERROR(__xludf.DUMMYFUNCTION("""COMPUTED_VALUE"""),5.0)</f>
        <v>5</v>
      </c>
      <c r="G1854" s="1" t="str">
        <f>IFERROR(__xludf.DUMMYFUNCTION("""COMPUTED_VALUE"""),"3 mos")</f>
        <v>3 mos</v>
      </c>
      <c r="H1854" s="1" t="str">
        <f>IFERROR(__xludf.DUMMYFUNCTION("""COMPUTED_VALUE"""),"comment")</f>
        <v>comment</v>
      </c>
      <c r="I1854" s="2" t="str">
        <f>IFERROR(__xludf.DUMMYFUNCTION("""COMPUTED_VALUE"""),"https://www.facebook.com/rapplerdotcom/photos/a.317154781638645/5595162900504447/")</f>
        <v>https://www.facebook.com/rapplerdotcom/photos/a.317154781638645/5595162900504447/</v>
      </c>
      <c r="J1854" s="1" t="str">
        <f>IFERROR(__xludf.DUMMYFUNCTION("""COMPUTED_VALUE"""),"2022-07-04T15:45:33.649Z")</f>
        <v>2022-07-04T15:45:33.649Z</v>
      </c>
      <c r="K1854" s="1"/>
    </row>
    <row r="1855">
      <c r="A1855" s="2" t="str">
        <f>IFERROR(__xludf.DUMMYFUNCTION("""COMPUTED_VALUE"""),"https://www.facebook.com/profile.php?id=100008376073692")</f>
        <v>https://www.facebook.com/profile.php?id=100008376073692</v>
      </c>
      <c r="B1855" s="1" t="str">
        <f>IFERROR(__xludf.DUMMYFUNCTION("""COMPUTED_VALUE"""),"Linlin Avila Calapano")</f>
        <v>Linlin Avila Calapano</v>
      </c>
      <c r="C1855" s="1" t="str">
        <f>IFERROR(__xludf.DUMMYFUNCTION("""COMPUTED_VALUE"""),"Linlin")</f>
        <v>Linlin</v>
      </c>
      <c r="D1855" s="1" t="str">
        <f>IFERROR(__xludf.DUMMYFUNCTION("""COMPUTED_VALUE"""),"Avila Calapano")</f>
        <v>Avila Calapano</v>
      </c>
      <c r="E1855" s="1" t="str">
        <f>IFERROR(__xludf.DUMMYFUNCTION("""COMPUTED_VALUE"""),"ganyan naman ang politika sa pinas dynasty style tatay pasa sa nanay pasa sa anak, apo up to the next generation..")</f>
        <v>ganyan naman ang politika sa pinas dynasty style tatay pasa sa nanay pasa sa anak, apo up to the next generation..</v>
      </c>
      <c r="F1855" s="1"/>
      <c r="G1855" s="1" t="str">
        <f>IFERROR(__xludf.DUMMYFUNCTION("""COMPUTED_VALUE"""),"3 mos")</f>
        <v>3 mos</v>
      </c>
      <c r="H1855" s="1" t="str">
        <f>IFERROR(__xludf.DUMMYFUNCTION("""COMPUTED_VALUE"""),"comment")</f>
        <v>comment</v>
      </c>
      <c r="I1855" s="2" t="str">
        <f>IFERROR(__xludf.DUMMYFUNCTION("""COMPUTED_VALUE"""),"https://www.facebook.com/rapplerdotcom/photos/a.317154781638645/5595162900504447/")</f>
        <v>https://www.facebook.com/rapplerdotcom/photos/a.317154781638645/5595162900504447/</v>
      </c>
      <c r="J1855" s="1" t="str">
        <f>IFERROR(__xludf.DUMMYFUNCTION("""COMPUTED_VALUE"""),"2022-07-04T15:45:33.649Z")</f>
        <v>2022-07-04T15:45:33.649Z</v>
      </c>
      <c r="K1855" s="1"/>
    </row>
    <row r="1856">
      <c r="A1856" s="2" t="str">
        <f>IFERROR(__xludf.DUMMYFUNCTION("""COMPUTED_VALUE"""),"https://www.facebook.com/jimmy.ballesteros")</f>
        <v>https://www.facebook.com/jimmy.ballesteros</v>
      </c>
      <c r="B1856" s="1" t="str">
        <f>IFERROR(__xludf.DUMMYFUNCTION("""COMPUTED_VALUE"""),"Jim Bal")</f>
        <v>Jim Bal</v>
      </c>
      <c r="C1856" s="1" t="str">
        <f>IFERROR(__xludf.DUMMYFUNCTION("""COMPUTED_VALUE"""),"Jim")</f>
        <v>Jim</v>
      </c>
      <c r="D1856" s="1" t="str">
        <f>IFERROR(__xludf.DUMMYFUNCTION("""COMPUTED_VALUE"""),"Bal")</f>
        <v>Bal</v>
      </c>
      <c r="E1856" s="1" t="str">
        <f>IFERROR(__xludf.DUMMYFUNCTION("""COMPUTED_VALUE"""),"Jim Bal")</f>
        <v>Jim Bal</v>
      </c>
      <c r="F1856" s="1">
        <f>IFERROR(__xludf.DUMMYFUNCTION("""COMPUTED_VALUE"""),6.0)</f>
        <v>6</v>
      </c>
      <c r="G1856" s="1" t="str">
        <f>IFERROR(__xludf.DUMMYFUNCTION("""COMPUTED_VALUE"""),"3 mos")</f>
        <v>3 mos</v>
      </c>
      <c r="H1856" s="1" t="str">
        <f>IFERROR(__xludf.DUMMYFUNCTION("""COMPUTED_VALUE"""),"comment")</f>
        <v>comment</v>
      </c>
      <c r="I1856" s="2" t="str">
        <f>IFERROR(__xludf.DUMMYFUNCTION("""COMPUTED_VALUE"""),"https://www.facebook.com/rapplerdotcom/photos/a.317154781638645/5595162900504447/")</f>
        <v>https://www.facebook.com/rapplerdotcom/photos/a.317154781638645/5595162900504447/</v>
      </c>
      <c r="J1856" s="1" t="str">
        <f>IFERROR(__xludf.DUMMYFUNCTION("""COMPUTED_VALUE"""),"2022-07-04T15:45:33.650Z")</f>
        <v>2022-07-04T15:45:33.650Z</v>
      </c>
      <c r="K1856" s="1"/>
    </row>
    <row r="1857">
      <c r="A1857" s="2" t="str">
        <f>IFERROR(__xludf.DUMMYFUNCTION("""COMPUTED_VALUE"""),"https://www.facebook.com/rey.sumam")</f>
        <v>https://www.facebook.com/rey.sumam</v>
      </c>
      <c r="B1857" s="1" t="str">
        <f>IFERROR(__xludf.DUMMYFUNCTION("""COMPUTED_VALUE"""),"Rey Sumam")</f>
        <v>Rey Sumam</v>
      </c>
      <c r="C1857" s="1" t="str">
        <f>IFERROR(__xludf.DUMMYFUNCTION("""COMPUTED_VALUE"""),"Rey")</f>
        <v>Rey</v>
      </c>
      <c r="D1857" s="1" t="str">
        <f>IFERROR(__xludf.DUMMYFUNCTION("""COMPUTED_VALUE"""),"Sumam")</f>
        <v>Sumam</v>
      </c>
      <c r="E1857" s="1" t="str">
        <f>IFERROR(__xludf.DUMMYFUNCTION("""COMPUTED_VALUE"""),"Unti-unti na nagigising mga taga Ilocos! That's good.")</f>
        <v>Unti-unti na nagigising mga taga Ilocos! That's good.</v>
      </c>
      <c r="F1857" s="1">
        <f>IFERROR(__xludf.DUMMYFUNCTION("""COMPUTED_VALUE"""),14.0)</f>
        <v>14</v>
      </c>
      <c r="G1857" s="1" t="str">
        <f>IFERROR(__xludf.DUMMYFUNCTION("""COMPUTED_VALUE"""),"3 mos")</f>
        <v>3 mos</v>
      </c>
      <c r="H1857" s="1" t="str">
        <f>IFERROR(__xludf.DUMMYFUNCTION("""COMPUTED_VALUE"""),"comment")</f>
        <v>comment</v>
      </c>
      <c r="I1857" s="2" t="str">
        <f>IFERROR(__xludf.DUMMYFUNCTION("""COMPUTED_VALUE"""),"https://www.facebook.com/rapplerdotcom/photos/a.317154781638645/5595162900504447/")</f>
        <v>https://www.facebook.com/rapplerdotcom/photos/a.317154781638645/5595162900504447/</v>
      </c>
      <c r="J1857" s="1" t="str">
        <f>IFERROR(__xludf.DUMMYFUNCTION("""COMPUTED_VALUE"""),"2022-07-04T15:45:33.650Z")</f>
        <v>2022-07-04T15:45:33.650Z</v>
      </c>
      <c r="K1857" s="1"/>
    </row>
    <row r="1858">
      <c r="A1858" s="2" t="str">
        <f>IFERROR(__xludf.DUMMYFUNCTION("""COMPUTED_VALUE"""),"https://www.facebook.com/profile.php?id=100079524022087")</f>
        <v>https://www.facebook.com/profile.php?id=100079524022087</v>
      </c>
      <c r="B1858" s="1" t="str">
        <f>IFERROR(__xludf.DUMMYFUNCTION("""COMPUTED_VALUE"""),"Sunshine Noypi")</f>
        <v>Sunshine Noypi</v>
      </c>
      <c r="C1858" s="1" t="str">
        <f>IFERROR(__xludf.DUMMYFUNCTION("""COMPUTED_VALUE"""),"Sunshine")</f>
        <v>Sunshine</v>
      </c>
      <c r="D1858" s="1" t="str">
        <f>IFERROR(__xludf.DUMMYFUNCTION("""COMPUTED_VALUE"""),"Noypi")</f>
        <v>Noypi</v>
      </c>
      <c r="E1858" s="1" t="str">
        <f>IFERROR(__xludf.DUMMYFUNCTION("""COMPUTED_VALUE"""),"Wala Ng check and balance pag mag kakamag anak Ang naka upo")</f>
        <v>Wala Ng check and balance pag mag kakamag anak Ang naka upo</v>
      </c>
      <c r="F1858" s="1">
        <f>IFERROR(__xludf.DUMMYFUNCTION("""COMPUTED_VALUE"""),9.0)</f>
        <v>9</v>
      </c>
      <c r="G1858" s="1" t="str">
        <f>IFERROR(__xludf.DUMMYFUNCTION("""COMPUTED_VALUE"""),"3 mos")</f>
        <v>3 mos</v>
      </c>
      <c r="H1858" s="1" t="str">
        <f>IFERROR(__xludf.DUMMYFUNCTION("""COMPUTED_VALUE"""),"comment")</f>
        <v>comment</v>
      </c>
      <c r="I1858" s="2" t="str">
        <f>IFERROR(__xludf.DUMMYFUNCTION("""COMPUTED_VALUE"""),"https://www.facebook.com/rapplerdotcom/photos/a.317154781638645/5595162900504447/")</f>
        <v>https://www.facebook.com/rapplerdotcom/photos/a.317154781638645/5595162900504447/</v>
      </c>
      <c r="J1858" s="1" t="str">
        <f>IFERROR(__xludf.DUMMYFUNCTION("""COMPUTED_VALUE"""),"2022-07-04T15:45:33.650Z")</f>
        <v>2022-07-04T15:45:33.650Z</v>
      </c>
      <c r="K1858" s="1"/>
    </row>
    <row r="1859">
      <c r="A1859" s="2" t="str">
        <f>IFERROR(__xludf.DUMMYFUNCTION("""COMPUTED_VALUE"""),"https://www.facebook.com/johndel.abella.7")</f>
        <v>https://www.facebook.com/johndel.abella.7</v>
      </c>
      <c r="B1859" s="1" t="str">
        <f>IFERROR(__xludf.DUMMYFUNCTION("""COMPUTED_VALUE"""),"Johndel")</f>
        <v>Johndel</v>
      </c>
      <c r="C1859" s="1" t="str">
        <f>IFERROR(__xludf.DUMMYFUNCTION("""COMPUTED_VALUE"""),"Johndel")</f>
        <v>Johndel</v>
      </c>
      <c r="D1859" s="1"/>
      <c r="E1859" s="1" t="str">
        <f>IFERROR(__xludf.DUMMYFUNCTION("""COMPUTED_VALUE"""),"Mga kakampinks ganito kayo 🤏🧠")</f>
        <v>Mga kakampinks ganito kayo 🤏🧠</v>
      </c>
      <c r="F1859" s="1">
        <f>IFERROR(__xludf.DUMMYFUNCTION("""COMPUTED_VALUE"""),3.0)</f>
        <v>3</v>
      </c>
      <c r="G1859" s="1" t="str">
        <f>IFERROR(__xludf.DUMMYFUNCTION("""COMPUTED_VALUE"""),"3 mos")</f>
        <v>3 mos</v>
      </c>
      <c r="H1859" s="1" t="str">
        <f>IFERROR(__xludf.DUMMYFUNCTION("""COMPUTED_VALUE"""),"comment")</f>
        <v>comment</v>
      </c>
      <c r="I1859" s="2" t="str">
        <f>IFERROR(__xludf.DUMMYFUNCTION("""COMPUTED_VALUE"""),"https://www.facebook.com/rapplerdotcom/photos/a.317154781638645/5595162900504447/")</f>
        <v>https://www.facebook.com/rapplerdotcom/photos/a.317154781638645/5595162900504447/</v>
      </c>
      <c r="J1859" s="1" t="str">
        <f>IFERROR(__xludf.DUMMYFUNCTION("""COMPUTED_VALUE"""),"2022-07-04T15:45:33.650Z")</f>
        <v>2022-07-04T15:45:33.650Z</v>
      </c>
      <c r="K1859" s="1"/>
    </row>
    <row r="1860">
      <c r="A1860" s="2" t="str">
        <f>IFERROR(__xludf.DUMMYFUNCTION("""COMPUTED_VALUE"""),"https://www.facebook.com/hansel.brown.100")</f>
        <v>https://www.facebook.com/hansel.brown.100</v>
      </c>
      <c r="B1860" s="1" t="str">
        <f>IFERROR(__xludf.DUMMYFUNCTION("""COMPUTED_VALUE"""),"Hansel Brown")</f>
        <v>Hansel Brown</v>
      </c>
      <c r="C1860" s="1" t="str">
        <f>IFERROR(__xludf.DUMMYFUNCTION("""COMPUTED_VALUE"""),"Hansel")</f>
        <v>Hansel</v>
      </c>
      <c r="D1860" s="1" t="str">
        <f>IFERROR(__xludf.DUMMYFUNCTION("""COMPUTED_VALUE"""),"Brown")</f>
        <v>Brown</v>
      </c>
      <c r="E1860" s="1" t="str">
        <f>IFERROR(__xludf.DUMMYFUNCTION("""COMPUTED_VALUE"""),"Negosyo kasi nila yan,dyan sila yumaman...😅😅😅")</f>
        <v>Negosyo kasi nila yan,dyan sila yumaman...😅😅😅</v>
      </c>
      <c r="F1860" s="1"/>
      <c r="G1860" s="1" t="str">
        <f>IFERROR(__xludf.DUMMYFUNCTION("""COMPUTED_VALUE"""),"3 mos")</f>
        <v>3 mos</v>
      </c>
      <c r="H1860" s="1" t="str">
        <f>IFERROR(__xludf.DUMMYFUNCTION("""COMPUTED_VALUE"""),"comment")</f>
        <v>comment</v>
      </c>
      <c r="I1860" s="2" t="str">
        <f>IFERROR(__xludf.DUMMYFUNCTION("""COMPUTED_VALUE"""),"https://www.facebook.com/rapplerdotcom/photos/a.317154781638645/5595162900504447/")</f>
        <v>https://www.facebook.com/rapplerdotcom/photos/a.317154781638645/5595162900504447/</v>
      </c>
      <c r="J1860" s="1" t="str">
        <f>IFERROR(__xludf.DUMMYFUNCTION("""COMPUTED_VALUE"""),"2022-07-04T15:45:33.650Z")</f>
        <v>2022-07-04T15:45:33.650Z</v>
      </c>
      <c r="K1860" s="1"/>
    </row>
    <row r="1861">
      <c r="A1861" s="2" t="str">
        <f>IFERROR(__xludf.DUMMYFUNCTION("""COMPUTED_VALUE"""),"https://www.facebook.com/ameliaarana12345")</f>
        <v>https://www.facebook.com/ameliaarana12345</v>
      </c>
      <c r="B1861" s="1" t="str">
        <f>IFERROR(__xludf.DUMMYFUNCTION("""COMPUTED_VALUE"""),"Ame Arana")</f>
        <v>Ame Arana</v>
      </c>
      <c r="C1861" s="1" t="str">
        <f>IFERROR(__xludf.DUMMYFUNCTION("""COMPUTED_VALUE"""),"Ame")</f>
        <v>Ame</v>
      </c>
      <c r="D1861" s="1" t="str">
        <f>IFERROR(__xludf.DUMMYFUNCTION("""COMPUTED_VALUE"""),"Arana")</f>
        <v>Arana</v>
      </c>
      <c r="E1861" s="1" t="str">
        <f>IFERROR(__xludf.DUMMYFUNCTION("""COMPUTED_VALUE"""),"pagkakaisa ALAMANO")</f>
        <v>pagkakaisa ALAMANO</v>
      </c>
      <c r="F1861" s="1">
        <f>IFERROR(__xludf.DUMMYFUNCTION("""COMPUTED_VALUE"""),1.0)</f>
        <v>1</v>
      </c>
      <c r="G1861" s="1" t="str">
        <f>IFERROR(__xludf.DUMMYFUNCTION("""COMPUTED_VALUE"""),"3 mos")</f>
        <v>3 mos</v>
      </c>
      <c r="H1861" s="1" t="str">
        <f>IFERROR(__xludf.DUMMYFUNCTION("""COMPUTED_VALUE"""),"comment")</f>
        <v>comment</v>
      </c>
      <c r="I1861" s="2" t="str">
        <f>IFERROR(__xludf.DUMMYFUNCTION("""COMPUTED_VALUE"""),"https://www.facebook.com/rapplerdotcom/photos/a.317154781638645/5595162900504447/")</f>
        <v>https://www.facebook.com/rapplerdotcom/photos/a.317154781638645/5595162900504447/</v>
      </c>
      <c r="J1861" s="1" t="str">
        <f>IFERROR(__xludf.DUMMYFUNCTION("""COMPUTED_VALUE"""),"2022-07-04T15:45:33.650Z")</f>
        <v>2022-07-04T15:45:33.650Z</v>
      </c>
      <c r="K1861" s="1"/>
    </row>
    <row r="1862">
      <c r="A1862" s="2" t="str">
        <f>IFERROR(__xludf.DUMMYFUNCTION("""COMPUTED_VALUE"""),"https://www.facebook.com/profile.php?id=100007713915539")</f>
        <v>https://www.facebook.com/profile.php?id=100007713915539</v>
      </c>
      <c r="B1862" s="1" t="str">
        <f>IFERROR(__xludf.DUMMYFUNCTION("""COMPUTED_VALUE"""),"Rabago Luna Ephraim")</f>
        <v>Rabago Luna Ephraim</v>
      </c>
      <c r="C1862" s="1" t="str">
        <f>IFERROR(__xludf.DUMMYFUNCTION("""COMPUTED_VALUE"""),"Rabago")</f>
        <v>Rabago</v>
      </c>
      <c r="D1862" s="1" t="str">
        <f>IFERROR(__xludf.DUMMYFUNCTION("""COMPUTED_VALUE"""),"Luna Ephraim")</f>
        <v>Luna Ephraim</v>
      </c>
      <c r="E1862" s="1" t="str">
        <f>IFERROR(__xludf.DUMMYFUNCTION("""COMPUTED_VALUE"""),"Talo yan")</f>
        <v>Talo yan</v>
      </c>
      <c r="F1862" s="1">
        <f>IFERROR(__xludf.DUMMYFUNCTION("""COMPUTED_VALUE"""),2.0)</f>
        <v>2</v>
      </c>
      <c r="G1862" s="1" t="str">
        <f>IFERROR(__xludf.DUMMYFUNCTION("""COMPUTED_VALUE"""),"3 mos")</f>
        <v>3 mos</v>
      </c>
      <c r="H1862" s="1" t="str">
        <f>IFERROR(__xludf.DUMMYFUNCTION("""COMPUTED_VALUE"""),"comment")</f>
        <v>comment</v>
      </c>
      <c r="I1862" s="2" t="str">
        <f>IFERROR(__xludf.DUMMYFUNCTION("""COMPUTED_VALUE"""),"https://www.facebook.com/rapplerdotcom/photos/a.317154781638645/5595162900504447/")</f>
        <v>https://www.facebook.com/rapplerdotcom/photos/a.317154781638645/5595162900504447/</v>
      </c>
      <c r="J1862" s="1" t="str">
        <f>IFERROR(__xludf.DUMMYFUNCTION("""COMPUTED_VALUE"""),"2022-07-04T15:45:33.650Z")</f>
        <v>2022-07-04T15:45:33.650Z</v>
      </c>
      <c r="K1862" s="1"/>
    </row>
    <row r="1863">
      <c r="A1863" s="2" t="str">
        <f>IFERROR(__xludf.DUMMYFUNCTION("""COMPUTED_VALUE"""),"https://www.facebook.com/profile.php?id=100040658171991")</f>
        <v>https://www.facebook.com/profile.php?id=100040658171991</v>
      </c>
      <c r="B1863" s="1" t="str">
        <f>IFERROR(__xludf.DUMMYFUNCTION("""COMPUTED_VALUE"""),"Ben Jammin")</f>
        <v>Ben Jammin</v>
      </c>
      <c r="C1863" s="1" t="str">
        <f>IFERROR(__xludf.DUMMYFUNCTION("""COMPUTED_VALUE"""),"Ben")</f>
        <v>Ben</v>
      </c>
      <c r="D1863" s="1" t="str">
        <f>IFERROR(__xludf.DUMMYFUNCTION("""COMPUTED_VALUE"""),"Jammin")</f>
        <v>Jammin</v>
      </c>
      <c r="E1863" s="1" t="str">
        <f>IFERROR(__xludf.DUMMYFUNCTION("""COMPUTED_VALUE"""),"Ben Jammin")</f>
        <v>Ben Jammin</v>
      </c>
      <c r="F1863" s="1">
        <f>IFERROR(__xludf.DUMMYFUNCTION("""COMPUTED_VALUE"""),8.0)</f>
        <v>8</v>
      </c>
      <c r="G1863" s="1" t="str">
        <f>IFERROR(__xludf.DUMMYFUNCTION("""COMPUTED_VALUE"""),"3 mos")</f>
        <v>3 mos</v>
      </c>
      <c r="H1863" s="1" t="str">
        <f>IFERROR(__xludf.DUMMYFUNCTION("""COMPUTED_VALUE"""),"comment")</f>
        <v>comment</v>
      </c>
      <c r="I1863" s="2" t="str">
        <f>IFERROR(__xludf.DUMMYFUNCTION("""COMPUTED_VALUE"""),"https://www.facebook.com/rapplerdotcom/photos/a.317154781638645/5595162900504447/")</f>
        <v>https://www.facebook.com/rapplerdotcom/photos/a.317154781638645/5595162900504447/</v>
      </c>
      <c r="J1863" s="1" t="str">
        <f>IFERROR(__xludf.DUMMYFUNCTION("""COMPUTED_VALUE"""),"2022-07-04T15:45:33.650Z")</f>
        <v>2022-07-04T15:45:33.650Z</v>
      </c>
      <c r="K1863" s="1"/>
    </row>
    <row r="1864">
      <c r="A1864" s="2" t="str">
        <f>IFERROR(__xludf.DUMMYFUNCTION("""COMPUTED_VALUE"""),"https://www.facebook.com/butz.arribe")</f>
        <v>https://www.facebook.com/butz.arribe</v>
      </c>
      <c r="B1864" s="1" t="str">
        <f>IFERROR(__xludf.DUMMYFUNCTION("""COMPUTED_VALUE"""),"Butz Arribe")</f>
        <v>Butz Arribe</v>
      </c>
      <c r="C1864" s="1" t="str">
        <f>IFERROR(__xludf.DUMMYFUNCTION("""COMPUTED_VALUE"""),"Butz")</f>
        <v>Butz</v>
      </c>
      <c r="D1864" s="1" t="str">
        <f>IFERROR(__xludf.DUMMYFUNCTION("""COMPUTED_VALUE"""),"Arribe")</f>
        <v>Arribe</v>
      </c>
      <c r="E1864" s="1" t="str">
        <f>IFERROR(__xludf.DUMMYFUNCTION("""COMPUTED_VALUE"""),"Ok lang yan para tuluyan na kayo makaigit sa inggit")</f>
        <v>Ok lang yan para tuluyan na kayo makaigit sa inggit</v>
      </c>
      <c r="F1864" s="1"/>
      <c r="G1864" s="1" t="str">
        <f>IFERROR(__xludf.DUMMYFUNCTION("""COMPUTED_VALUE"""),"3 mos")</f>
        <v>3 mos</v>
      </c>
      <c r="H1864" s="1" t="str">
        <f>IFERROR(__xludf.DUMMYFUNCTION("""COMPUTED_VALUE"""),"comment")</f>
        <v>comment</v>
      </c>
      <c r="I1864" s="2" t="str">
        <f>IFERROR(__xludf.DUMMYFUNCTION("""COMPUTED_VALUE"""),"https://www.facebook.com/rapplerdotcom/photos/a.317154781638645/5595162900504447/")</f>
        <v>https://www.facebook.com/rapplerdotcom/photos/a.317154781638645/5595162900504447/</v>
      </c>
      <c r="J1864" s="1" t="str">
        <f>IFERROR(__xludf.DUMMYFUNCTION("""COMPUTED_VALUE"""),"2022-07-04T15:45:33.650Z")</f>
        <v>2022-07-04T15:45:33.650Z</v>
      </c>
      <c r="K1864" s="1"/>
    </row>
    <row r="1865">
      <c r="A1865" s="2" t="str">
        <f>IFERROR(__xludf.DUMMYFUNCTION("""COMPUTED_VALUE"""),"https://www.facebook.com/holaissa.jaboneta")</f>
        <v>https://www.facebook.com/holaissa.jaboneta</v>
      </c>
      <c r="B1865" s="1" t="str">
        <f>IFERROR(__xludf.DUMMYFUNCTION("""COMPUTED_VALUE"""),"Holaissa Jaboneta")</f>
        <v>Holaissa Jaboneta</v>
      </c>
      <c r="C1865" s="1" t="str">
        <f>IFERROR(__xludf.DUMMYFUNCTION("""COMPUTED_VALUE"""),"Holaissa")</f>
        <v>Holaissa</v>
      </c>
      <c r="D1865" s="1" t="str">
        <f>IFERROR(__xludf.DUMMYFUNCTION("""COMPUTED_VALUE"""),"Jaboneta")</f>
        <v>Jaboneta</v>
      </c>
      <c r="E1865" s="1" t="str">
        <f>IFERROR(__xludf.DUMMYFUNCTION("""COMPUTED_VALUE"""),"🤭")</f>
        <v>🤭</v>
      </c>
      <c r="F1865" s="1"/>
      <c r="G1865" s="1" t="str">
        <f>IFERROR(__xludf.DUMMYFUNCTION("""COMPUTED_VALUE"""),"3 mos")</f>
        <v>3 mos</v>
      </c>
      <c r="H1865" s="1" t="str">
        <f>IFERROR(__xludf.DUMMYFUNCTION("""COMPUTED_VALUE"""),"comment")</f>
        <v>comment</v>
      </c>
      <c r="I1865" s="2" t="str">
        <f>IFERROR(__xludf.DUMMYFUNCTION("""COMPUTED_VALUE"""),"https://www.facebook.com/rapplerdotcom/photos/a.317154781638645/5595162900504447/")</f>
        <v>https://www.facebook.com/rapplerdotcom/photos/a.317154781638645/5595162900504447/</v>
      </c>
      <c r="J1865" s="1" t="str">
        <f>IFERROR(__xludf.DUMMYFUNCTION("""COMPUTED_VALUE"""),"2022-07-04T15:45:33.650Z")</f>
        <v>2022-07-04T15:45:33.650Z</v>
      </c>
      <c r="K1865" s="1"/>
    </row>
    <row r="1866">
      <c r="A1866" s="2" t="str">
        <f>IFERROR(__xludf.DUMMYFUNCTION("""COMPUTED_VALUE"""),"https://www.facebook.com/JayArziiGee")</f>
        <v>https://www.facebook.com/JayArziiGee</v>
      </c>
      <c r="B1866" s="1" t="str">
        <f>IFERROR(__xludf.DUMMYFUNCTION("""COMPUTED_VALUE"""),"Jay ArZi Gee")</f>
        <v>Jay ArZi Gee</v>
      </c>
      <c r="C1866" s="1" t="str">
        <f>IFERROR(__xludf.DUMMYFUNCTION("""COMPUTED_VALUE"""),"Jay")</f>
        <v>Jay</v>
      </c>
      <c r="D1866" s="1" t="str">
        <f>IFERROR(__xludf.DUMMYFUNCTION("""COMPUTED_VALUE"""),"ArZi Gee")</f>
        <v>ArZi Gee</v>
      </c>
      <c r="E1866" s="1" t="str">
        <f>IFERROR(__xludf.DUMMYFUNCTION("""COMPUTED_VALUE"""),"no to political dynasty. no to uniTHIEVES. NEVER TO MARCOSES")</f>
        <v>no to political dynasty. no to uniTHIEVES. NEVER TO MARCOSES</v>
      </c>
      <c r="F1866" s="1">
        <f>IFERROR(__xludf.DUMMYFUNCTION("""COMPUTED_VALUE"""),6.0)</f>
        <v>6</v>
      </c>
      <c r="G1866" s="1" t="str">
        <f>IFERROR(__xludf.DUMMYFUNCTION("""COMPUTED_VALUE"""),"3 mos")</f>
        <v>3 mos</v>
      </c>
      <c r="H1866" s="1" t="str">
        <f>IFERROR(__xludf.DUMMYFUNCTION("""COMPUTED_VALUE"""),"comment")</f>
        <v>comment</v>
      </c>
      <c r="I1866" s="2" t="str">
        <f>IFERROR(__xludf.DUMMYFUNCTION("""COMPUTED_VALUE"""),"https://www.facebook.com/rapplerdotcom/photos/a.317154781638645/5595162900504447/")</f>
        <v>https://www.facebook.com/rapplerdotcom/photos/a.317154781638645/5595162900504447/</v>
      </c>
      <c r="J1866" s="1" t="str">
        <f>IFERROR(__xludf.DUMMYFUNCTION("""COMPUTED_VALUE"""),"2022-07-04T15:45:33.650Z")</f>
        <v>2022-07-04T15:45:33.650Z</v>
      </c>
      <c r="K1866" s="1"/>
    </row>
    <row r="1867">
      <c r="A1867" s="2" t="str">
        <f>IFERROR(__xludf.DUMMYFUNCTION("""COMPUTED_VALUE"""),"https://www.facebook.com/profile.php?id=100075210031359")</f>
        <v>https://www.facebook.com/profile.php?id=100075210031359</v>
      </c>
      <c r="B1867" s="1" t="str">
        <f>IFERROR(__xludf.DUMMYFUNCTION("""COMPUTED_VALUE"""),"Yna Dayao")</f>
        <v>Yna Dayao</v>
      </c>
      <c r="C1867" s="1" t="str">
        <f>IFERROR(__xludf.DUMMYFUNCTION("""COMPUTED_VALUE"""),"Yna")</f>
        <v>Yna</v>
      </c>
      <c r="D1867" s="1" t="str">
        <f>IFERROR(__xludf.DUMMYFUNCTION("""COMPUTED_VALUE"""),"Dayao")</f>
        <v>Dayao</v>
      </c>
      <c r="E1867" s="1" t="str">
        <f>IFERROR(__xludf.DUMMYFUNCTION("""COMPUTED_VALUE"""),"Popular of being liar")</f>
        <v>Popular of being liar</v>
      </c>
      <c r="F1867" s="1">
        <f>IFERROR(__xludf.DUMMYFUNCTION("""COMPUTED_VALUE"""),4.0)</f>
        <v>4</v>
      </c>
      <c r="G1867" s="1" t="str">
        <f>IFERROR(__xludf.DUMMYFUNCTION("""COMPUTED_VALUE"""),"3 mos")</f>
        <v>3 mos</v>
      </c>
      <c r="H1867" s="1" t="str">
        <f>IFERROR(__xludf.DUMMYFUNCTION("""COMPUTED_VALUE"""),"comment")</f>
        <v>comment</v>
      </c>
      <c r="I1867" s="2" t="str">
        <f>IFERROR(__xludf.DUMMYFUNCTION("""COMPUTED_VALUE"""),"https://www.facebook.com/rapplerdotcom/photos/a.317154781638645/5595162900504447/")</f>
        <v>https://www.facebook.com/rapplerdotcom/photos/a.317154781638645/5595162900504447/</v>
      </c>
      <c r="J1867" s="1" t="str">
        <f>IFERROR(__xludf.DUMMYFUNCTION("""COMPUTED_VALUE"""),"2022-07-04T15:45:33.650Z")</f>
        <v>2022-07-04T15:45:33.650Z</v>
      </c>
      <c r="K1867" s="1"/>
    </row>
    <row r="1868">
      <c r="A1868" s="2" t="str">
        <f>IFERROR(__xludf.DUMMYFUNCTION("""COMPUTED_VALUE"""),"https://www.facebook.com/jimmy.ballesteros")</f>
        <v>https://www.facebook.com/jimmy.ballesteros</v>
      </c>
      <c r="B1868" s="1" t="str">
        <f>IFERROR(__xludf.DUMMYFUNCTION("""COMPUTED_VALUE"""),"Jim Bal")</f>
        <v>Jim Bal</v>
      </c>
      <c r="C1868" s="1" t="str">
        <f>IFERROR(__xludf.DUMMYFUNCTION("""COMPUTED_VALUE"""),"Jim")</f>
        <v>Jim</v>
      </c>
      <c r="D1868" s="1" t="str">
        <f>IFERROR(__xludf.DUMMYFUNCTION("""COMPUTED_VALUE"""),"Bal")</f>
        <v>Bal</v>
      </c>
      <c r="E1868" s="1" t="str">
        <f>IFERROR(__xludf.DUMMYFUNCTION("""COMPUTED_VALUE"""),"Yna Dayao FOREVER THEY SHALL STEAL ..🐊🐊🐊")</f>
        <v>Yna Dayao FOREVER THEY SHALL STEAL ..🐊🐊🐊</v>
      </c>
      <c r="F1868" s="1"/>
      <c r="G1868" s="1" t="str">
        <f>IFERROR(__xludf.DUMMYFUNCTION("""COMPUTED_VALUE"""),"3 mos")</f>
        <v>3 mos</v>
      </c>
      <c r="H1868" s="1" t="str">
        <f>IFERROR(__xludf.DUMMYFUNCTION("""COMPUTED_VALUE"""),"reply")</f>
        <v>reply</v>
      </c>
      <c r="I1868" s="2" t="str">
        <f>IFERROR(__xludf.DUMMYFUNCTION("""COMPUTED_VALUE"""),"https://www.facebook.com/rapplerdotcom/photos/a.317154781638645/5595162900504447/")</f>
        <v>https://www.facebook.com/rapplerdotcom/photos/a.317154781638645/5595162900504447/</v>
      </c>
      <c r="J1868" s="1" t="str">
        <f>IFERROR(__xludf.DUMMYFUNCTION("""COMPUTED_VALUE"""),"2022-07-04T15:45:33.650Z")</f>
        <v>2022-07-04T15:45:33.650Z</v>
      </c>
      <c r="K1868" s="1"/>
    </row>
    <row r="1869">
      <c r="A1869" s="2" t="str">
        <f>IFERROR(__xludf.DUMMYFUNCTION("""COMPUTED_VALUE"""),"https://www.facebook.com/jimmy.ballesteros")</f>
        <v>https://www.facebook.com/jimmy.ballesteros</v>
      </c>
      <c r="B1869" s="1" t="str">
        <f>IFERROR(__xludf.DUMMYFUNCTION("""COMPUTED_VALUE"""),"Jim Bal")</f>
        <v>Jim Bal</v>
      </c>
      <c r="C1869" s="1" t="str">
        <f>IFERROR(__xludf.DUMMYFUNCTION("""COMPUTED_VALUE"""),"Jim")</f>
        <v>Jim</v>
      </c>
      <c r="D1869" s="1" t="str">
        <f>IFERROR(__xludf.DUMMYFUNCTION("""COMPUTED_VALUE"""),"Bal")</f>
        <v>Bal</v>
      </c>
      <c r="E1869" s="1" t="str">
        <f>IFERROR(__xludf.DUMMYFUNCTION("""COMPUTED_VALUE"""),"Poro gutom .. the power hungry MARCOSES .. still needs more power to OWN THE PHILIPPINES.. #LENIKIKO")</f>
        <v>Poro gutom .. the power hungry MARCOSES .. still needs more power to OWN THE PHILIPPINES.. #LENIKIKO</v>
      </c>
      <c r="F1869" s="1">
        <f>IFERROR(__xludf.DUMMYFUNCTION("""COMPUTED_VALUE"""),10.0)</f>
        <v>10</v>
      </c>
      <c r="G1869" s="1" t="str">
        <f>IFERROR(__xludf.DUMMYFUNCTION("""COMPUTED_VALUE"""),"3 mos")</f>
        <v>3 mos</v>
      </c>
      <c r="H1869" s="1" t="str">
        <f>IFERROR(__xludf.DUMMYFUNCTION("""COMPUTED_VALUE"""),"comment")</f>
        <v>comment</v>
      </c>
      <c r="I1869" s="2" t="str">
        <f>IFERROR(__xludf.DUMMYFUNCTION("""COMPUTED_VALUE"""),"https://www.facebook.com/rapplerdotcom/photos/a.317154781638645/5595162900504447/")</f>
        <v>https://www.facebook.com/rapplerdotcom/photos/a.317154781638645/5595162900504447/</v>
      </c>
      <c r="J1869" s="1" t="str">
        <f>IFERROR(__xludf.DUMMYFUNCTION("""COMPUTED_VALUE"""),"2022-07-04T15:45:33.650Z")</f>
        <v>2022-07-04T15:45:33.650Z</v>
      </c>
      <c r="K1869" s="1"/>
    </row>
    <row r="1870">
      <c r="A1870" s="2" t="str">
        <f>IFERROR(__xludf.DUMMYFUNCTION("""COMPUTED_VALUE"""),"https://www.facebook.com/profile.php?id=100011366202531")</f>
        <v>https://www.facebook.com/profile.php?id=100011366202531</v>
      </c>
      <c r="B1870" s="1" t="str">
        <f>IFERROR(__xludf.DUMMYFUNCTION("""COMPUTED_VALUE"""),"Francis Abel")</f>
        <v>Francis Abel</v>
      </c>
      <c r="C1870" s="1" t="str">
        <f>IFERROR(__xludf.DUMMYFUNCTION("""COMPUTED_VALUE"""),"Francis")</f>
        <v>Francis</v>
      </c>
      <c r="D1870" s="1" t="str">
        <f>IFERROR(__xludf.DUMMYFUNCTION("""COMPUTED_VALUE"""),"Abel")</f>
        <v>Abel</v>
      </c>
      <c r="E1870" s="1" t="str">
        <f>IFERROR(__xludf.DUMMYFUNCTION("""COMPUTED_VALUE"""),"Sa totoong buhay, may mga tao talagang ok lang for them na kahit Harapan nang niloloko. It's there life anyway...")</f>
        <v>Sa totoong buhay, may mga tao talagang ok lang for them na kahit Harapan nang niloloko. It's there life anyway...</v>
      </c>
      <c r="F1870" s="1">
        <f>IFERROR(__xludf.DUMMYFUNCTION("""COMPUTED_VALUE"""),1.0)</f>
        <v>1</v>
      </c>
      <c r="G1870" s="1" t="str">
        <f>IFERROR(__xludf.DUMMYFUNCTION("""COMPUTED_VALUE"""),"3 mos")</f>
        <v>3 mos</v>
      </c>
      <c r="H1870" s="1" t="str">
        <f>IFERROR(__xludf.DUMMYFUNCTION("""COMPUTED_VALUE"""),"comment")</f>
        <v>comment</v>
      </c>
      <c r="I1870" s="2" t="str">
        <f>IFERROR(__xludf.DUMMYFUNCTION("""COMPUTED_VALUE"""),"https://www.facebook.com/rapplerdotcom/photos/a.317154781638645/5595162900504447/")</f>
        <v>https://www.facebook.com/rapplerdotcom/photos/a.317154781638645/5595162900504447/</v>
      </c>
      <c r="J1870" s="1" t="str">
        <f>IFERROR(__xludf.DUMMYFUNCTION("""COMPUTED_VALUE"""),"2022-07-04T15:45:33.650Z")</f>
        <v>2022-07-04T15:45:33.650Z</v>
      </c>
      <c r="K1870" s="1"/>
    </row>
    <row r="1871">
      <c r="A1871" s="2" t="str">
        <f>IFERROR(__xludf.DUMMYFUNCTION("""COMPUTED_VALUE"""),"https://www.facebook.com/ferdy.romualdez")</f>
        <v>https://www.facebook.com/ferdy.romualdez</v>
      </c>
      <c r="B1871" s="1" t="str">
        <f>IFERROR(__xludf.DUMMYFUNCTION("""COMPUTED_VALUE"""),"Ferdy Romualdez")</f>
        <v>Ferdy Romualdez</v>
      </c>
      <c r="C1871" s="1" t="str">
        <f>IFERROR(__xludf.DUMMYFUNCTION("""COMPUTED_VALUE"""),"Ferdy")</f>
        <v>Ferdy</v>
      </c>
      <c r="D1871" s="1" t="str">
        <f>IFERROR(__xludf.DUMMYFUNCTION("""COMPUTED_VALUE"""),"Romualdez")</f>
        <v>Romualdez</v>
      </c>
      <c r="E1871" s="1" t="str">
        <f>IFERROR(__xludf.DUMMYFUNCTION("""COMPUTED_VALUE"""),"Kung ayaw ng tao sa isang pamilya walang magagawa ang pamilyang yun..gaya nang nangyari sa mga estrada nakaraang eleksyon. Halos lahat sila natalo..")</f>
        <v>Kung ayaw ng tao sa isang pamilya walang magagawa ang pamilyang yun..gaya nang nangyari sa mga estrada nakaraang eleksyon. Halos lahat sila natalo..</v>
      </c>
      <c r="F1871" s="1">
        <f>IFERROR(__xludf.DUMMYFUNCTION("""COMPUTED_VALUE"""),3.0)</f>
        <v>3</v>
      </c>
      <c r="G1871" s="1" t="str">
        <f>IFERROR(__xludf.DUMMYFUNCTION("""COMPUTED_VALUE"""),"3 mos")</f>
        <v>3 mos</v>
      </c>
      <c r="H1871" s="1" t="str">
        <f>IFERROR(__xludf.DUMMYFUNCTION("""COMPUTED_VALUE"""),"comment")</f>
        <v>comment</v>
      </c>
      <c r="I1871" s="2" t="str">
        <f>IFERROR(__xludf.DUMMYFUNCTION("""COMPUTED_VALUE"""),"https://www.facebook.com/rapplerdotcom/photos/a.317154781638645/5595162900504447/")</f>
        <v>https://www.facebook.com/rapplerdotcom/photos/a.317154781638645/5595162900504447/</v>
      </c>
      <c r="J1871" s="1" t="str">
        <f>IFERROR(__xludf.DUMMYFUNCTION("""COMPUTED_VALUE"""),"2022-07-04T15:45:33.650Z")</f>
        <v>2022-07-04T15:45:33.650Z</v>
      </c>
      <c r="K1871" s="1"/>
    </row>
    <row r="1872">
      <c r="A1872" s="2" t="str">
        <f>IFERROR(__xludf.DUMMYFUNCTION("""COMPUTED_VALUE"""),"https://www.facebook.com/profile.php?id=100009351123949")</f>
        <v>https://www.facebook.com/profile.php?id=100009351123949</v>
      </c>
      <c r="B1872" s="1" t="str">
        <f>IFERROR(__xludf.DUMMYFUNCTION("""COMPUTED_VALUE"""),"Lucibar Gidayawan")</f>
        <v>Lucibar Gidayawan</v>
      </c>
      <c r="C1872" s="1" t="str">
        <f>IFERROR(__xludf.DUMMYFUNCTION("""COMPUTED_VALUE"""),"Lucibar")</f>
        <v>Lucibar</v>
      </c>
      <c r="D1872" s="1" t="str">
        <f>IFERROR(__xludf.DUMMYFUNCTION("""COMPUTED_VALUE"""),"Gidayawan")</f>
        <v>Gidayawan</v>
      </c>
      <c r="E1872" s="1" t="str">
        <f>IFERROR(__xludf.DUMMYFUNCTION("""COMPUTED_VALUE"""),"Nakakasuka. Sindikato talaga hindi na politiko.")</f>
        <v>Nakakasuka. Sindikato talaga hindi na politiko.</v>
      </c>
      <c r="F1872" s="1">
        <f>IFERROR(__xludf.DUMMYFUNCTION("""COMPUTED_VALUE"""),4.0)</f>
        <v>4</v>
      </c>
      <c r="G1872" s="1" t="str">
        <f>IFERROR(__xludf.DUMMYFUNCTION("""COMPUTED_VALUE"""),"3 mos")</f>
        <v>3 mos</v>
      </c>
      <c r="H1872" s="1" t="str">
        <f>IFERROR(__xludf.DUMMYFUNCTION("""COMPUTED_VALUE"""),"comment")</f>
        <v>comment</v>
      </c>
      <c r="I1872" s="2" t="str">
        <f>IFERROR(__xludf.DUMMYFUNCTION("""COMPUTED_VALUE"""),"https://www.facebook.com/rapplerdotcom/photos/a.317154781638645/5595162900504447/")</f>
        <v>https://www.facebook.com/rapplerdotcom/photos/a.317154781638645/5595162900504447/</v>
      </c>
      <c r="J1872" s="1" t="str">
        <f>IFERROR(__xludf.DUMMYFUNCTION("""COMPUTED_VALUE"""),"2022-07-04T15:45:33.650Z")</f>
        <v>2022-07-04T15:45:33.650Z</v>
      </c>
      <c r="K1872" s="1"/>
    </row>
    <row r="1873">
      <c r="A1873" s="2" t="str">
        <f>IFERROR(__xludf.DUMMYFUNCTION("""COMPUTED_VALUE"""),"https://www.facebook.com/jose.tagpi")</f>
        <v>https://www.facebook.com/jose.tagpi</v>
      </c>
      <c r="B1873" s="1" t="str">
        <f>IFERROR(__xludf.DUMMYFUNCTION("""COMPUTED_VALUE"""),"Jose Tagpi")</f>
        <v>Jose Tagpi</v>
      </c>
      <c r="C1873" s="1" t="str">
        <f>IFERROR(__xludf.DUMMYFUNCTION("""COMPUTED_VALUE"""),"Jose")</f>
        <v>Jose</v>
      </c>
      <c r="D1873" s="1" t="str">
        <f>IFERROR(__xludf.DUMMYFUNCTION("""COMPUTED_VALUE"""),"Tagpi")</f>
        <v>Tagpi</v>
      </c>
      <c r="E1873" s="1" t="str">
        <f>IFERROR(__xludf.DUMMYFUNCTION("""COMPUTED_VALUE"""),"Wala naman mga nagawa halos sa probinsiya nila tapos binoboto pa din")</f>
        <v>Wala naman mga nagawa halos sa probinsiya nila tapos binoboto pa din</v>
      </c>
      <c r="F1873" s="1">
        <f>IFERROR(__xludf.DUMMYFUNCTION("""COMPUTED_VALUE"""),6.0)</f>
        <v>6</v>
      </c>
      <c r="G1873" s="1" t="str">
        <f>IFERROR(__xludf.DUMMYFUNCTION("""COMPUTED_VALUE"""),"3 mos")</f>
        <v>3 mos</v>
      </c>
      <c r="H1873" s="1" t="str">
        <f>IFERROR(__xludf.DUMMYFUNCTION("""COMPUTED_VALUE"""),"comment")</f>
        <v>comment</v>
      </c>
      <c r="I1873" s="2" t="str">
        <f>IFERROR(__xludf.DUMMYFUNCTION("""COMPUTED_VALUE"""),"https://www.facebook.com/rapplerdotcom/photos/a.317154781638645/5595162900504447/")</f>
        <v>https://www.facebook.com/rapplerdotcom/photos/a.317154781638645/5595162900504447/</v>
      </c>
      <c r="J1873" s="1" t="str">
        <f>IFERROR(__xludf.DUMMYFUNCTION("""COMPUTED_VALUE"""),"2022-07-04T15:45:33.650Z")</f>
        <v>2022-07-04T15:45:33.650Z</v>
      </c>
      <c r="K1873" s="1"/>
    </row>
    <row r="1874">
      <c r="A1874" s="2" t="str">
        <f>IFERROR(__xludf.DUMMYFUNCTION("""COMPUTED_VALUE"""),"https://www.facebook.com/cidernald")</f>
        <v>https://www.facebook.com/cidernald</v>
      </c>
      <c r="B1874" s="1" t="str">
        <f>IFERROR(__xludf.DUMMYFUNCTION("""COMPUTED_VALUE"""),"Aro Sqr Nhald")</f>
        <v>Aro Sqr Nhald</v>
      </c>
      <c r="C1874" s="1" t="str">
        <f>IFERROR(__xludf.DUMMYFUNCTION("""COMPUTED_VALUE"""),"Aro")</f>
        <v>Aro</v>
      </c>
      <c r="D1874" s="1" t="str">
        <f>IFERROR(__xludf.DUMMYFUNCTION("""COMPUTED_VALUE"""),"Sqr Nhald")</f>
        <v>Sqr Nhald</v>
      </c>
      <c r="E1874" s="1" t="str">
        <f>IFERROR(__xludf.DUMMYFUNCTION("""COMPUTED_VALUE"""),"Awa nlng ... tumigl na kau dmi nio na pera  ...... anu paba need nio  Dun kau sa spain Mag 😑😑MONEY HEIST😶")</f>
        <v>Awa nlng ... tumigl na kau dmi nio na pera  ...... anu paba need nio  Dun kau sa spain Mag 😑😑MONEY HEIST😶</v>
      </c>
      <c r="F1874" s="1">
        <f>IFERROR(__xludf.DUMMYFUNCTION("""COMPUTED_VALUE"""),5.0)</f>
        <v>5</v>
      </c>
      <c r="G1874" s="1" t="str">
        <f>IFERROR(__xludf.DUMMYFUNCTION("""COMPUTED_VALUE"""),"3 mos")</f>
        <v>3 mos</v>
      </c>
      <c r="H1874" s="1" t="str">
        <f>IFERROR(__xludf.DUMMYFUNCTION("""COMPUTED_VALUE"""),"comment")</f>
        <v>comment</v>
      </c>
      <c r="I1874" s="2" t="str">
        <f>IFERROR(__xludf.DUMMYFUNCTION("""COMPUTED_VALUE"""),"https://www.facebook.com/rapplerdotcom/photos/a.317154781638645/5595162900504447/")</f>
        <v>https://www.facebook.com/rapplerdotcom/photos/a.317154781638645/5595162900504447/</v>
      </c>
      <c r="J1874" s="1" t="str">
        <f>IFERROR(__xludf.DUMMYFUNCTION("""COMPUTED_VALUE"""),"2022-07-04T15:45:33.650Z")</f>
        <v>2022-07-04T15:45:33.650Z</v>
      </c>
      <c r="K1874" s="1"/>
    </row>
    <row r="1875">
      <c r="A1875" s="2" t="str">
        <f>IFERROR(__xludf.DUMMYFUNCTION("""COMPUTED_VALUE"""),"https://www.facebook.com/benjo.albano")</f>
        <v>https://www.facebook.com/benjo.albano</v>
      </c>
      <c r="B1875" s="1" t="str">
        <f>IFERROR(__xludf.DUMMYFUNCTION("""COMPUTED_VALUE"""),"Benjo Albano")</f>
        <v>Benjo Albano</v>
      </c>
      <c r="C1875" s="1" t="str">
        <f>IFERROR(__xludf.DUMMYFUNCTION("""COMPUTED_VALUE"""),"Benjo")</f>
        <v>Benjo</v>
      </c>
      <c r="D1875" s="1" t="str">
        <f>IFERROR(__xludf.DUMMYFUNCTION("""COMPUTED_VALUE"""),"Albano")</f>
        <v>Albano</v>
      </c>
      <c r="E1875" s="1" t="str">
        <f>IFERROR(__xludf.DUMMYFUNCTION("""COMPUTED_VALUE"""),"Maraming Salamat Caloocan, CAMANAVA  ❤️ 😊  17th President of the Republic of the Philippines, Her Excellency Leni Robredo 😇")</f>
        <v>Maraming Salamat Caloocan, CAMANAVA  ❤️ 😊  17th President of the Republic of the Philippines, Her Excellency Leni Robredo 😇</v>
      </c>
      <c r="F1875" s="1">
        <f>IFERROR(__xludf.DUMMYFUNCTION("""COMPUTED_VALUE"""),1.0)</f>
        <v>1</v>
      </c>
      <c r="G1875" s="1" t="str">
        <f>IFERROR(__xludf.DUMMYFUNCTION("""COMPUTED_VALUE"""),"3 mos")</f>
        <v>3 mos</v>
      </c>
      <c r="H1875" s="1" t="str">
        <f>IFERROR(__xludf.DUMMYFUNCTION("""COMPUTED_VALUE"""),"comment")</f>
        <v>comment</v>
      </c>
      <c r="I187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75" s="1" t="str">
        <f>IFERROR(__xludf.DUMMYFUNCTION("""COMPUTED_VALUE"""),"2022-07-04T15:46:23.006Z")</f>
        <v>2022-07-04T15:46:23.006Z</v>
      </c>
      <c r="K1875" s="1"/>
    </row>
    <row r="1876">
      <c r="A1876" s="2" t="str">
        <f>IFERROR(__xludf.DUMMYFUNCTION("""COMPUTED_VALUE"""),"https://www.facebook.com/mabel.c.arboleda")</f>
        <v>https://www.facebook.com/mabel.c.arboleda</v>
      </c>
      <c r="B1876" s="1" t="str">
        <f>IFERROR(__xludf.DUMMYFUNCTION("""COMPUTED_VALUE"""),"Mabel Coste Arboleda")</f>
        <v>Mabel Coste Arboleda</v>
      </c>
      <c r="C1876" s="1" t="str">
        <f>IFERROR(__xludf.DUMMYFUNCTION("""COMPUTED_VALUE"""),"Mabel")</f>
        <v>Mabel</v>
      </c>
      <c r="D1876" s="1" t="str">
        <f>IFERROR(__xludf.DUMMYFUNCTION("""COMPUTED_VALUE"""),"Coste Arboleda")</f>
        <v>Coste Arboleda</v>
      </c>
      <c r="E1876" s="1" t="str">
        <f>IFERROR(__xludf.DUMMYFUNCTION("""COMPUTED_VALUE"""),"Nandyan kmi ng family ko..Well organized at mkikita m n pinairal din ng mga tao ang disiplina kc nkikinig sila s mga marshall..Separate Ang mga seniors tlgng sinisigurado ns magandang place sila at secured. Umiral din ang bayanihan n traditional n ugali n"&amp;"ting mga Pinoy.Lahat may malasakit s kapwa tao..Sarap mging Pinoy pag ganito ang scenario")</f>
        <v>Nandyan kmi ng family ko..Well organized at mkikita m n pinairal din ng mga tao ang disiplina kc nkikinig sila s mga marshall..Separate Ang mga seniors tlgng sinisigurado ns magandang place sila at secured. Umiral din ang bayanihan n traditional n ugali nting mga Pinoy.Lahat may malasakit s kapwa tao..Sarap mging Pinoy pag ganito ang scenario</v>
      </c>
      <c r="F1876" s="1">
        <f>IFERROR(__xludf.DUMMYFUNCTION("""COMPUTED_VALUE"""),27.0)</f>
        <v>27</v>
      </c>
      <c r="G1876" s="1" t="str">
        <f>IFERROR(__xludf.DUMMYFUNCTION("""COMPUTED_VALUE"""),"3 mos")</f>
        <v>3 mos</v>
      </c>
      <c r="H1876" s="1" t="str">
        <f>IFERROR(__xludf.DUMMYFUNCTION("""COMPUTED_VALUE"""),"comment")</f>
        <v>comment</v>
      </c>
      <c r="I187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76" s="1" t="str">
        <f>IFERROR(__xludf.DUMMYFUNCTION("""COMPUTED_VALUE"""),"2022-07-04T15:46:23.006Z")</f>
        <v>2022-07-04T15:46:23.006Z</v>
      </c>
      <c r="K1876" s="1"/>
    </row>
    <row r="1877">
      <c r="A1877" s="2" t="str">
        <f>IFERROR(__xludf.DUMMYFUNCTION("""COMPUTED_VALUE"""),"https://www.facebook.com/reymar.falcunaya")</f>
        <v>https://www.facebook.com/reymar.falcunaya</v>
      </c>
      <c r="B1877" s="1" t="str">
        <f>IFERROR(__xludf.DUMMYFUNCTION("""COMPUTED_VALUE"""),"Reymar Falcunaya")</f>
        <v>Reymar Falcunaya</v>
      </c>
      <c r="C1877" s="1" t="str">
        <f>IFERROR(__xludf.DUMMYFUNCTION("""COMPUTED_VALUE"""),"Reymar")</f>
        <v>Reymar</v>
      </c>
      <c r="D1877" s="1" t="str">
        <f>IFERROR(__xludf.DUMMYFUNCTION("""COMPUTED_VALUE"""),"Falcunaya")</f>
        <v>Falcunaya</v>
      </c>
      <c r="E1877" s="1" t="str">
        <f>IFERROR(__xludf.DUMMYFUNCTION("""COMPUTED_VALUE"""),"Mabel JordanCoste Arboleda hahhaaa kasi nga malaki pa space kaya organized")</f>
        <v>Mabel JordanCoste Arboleda hahhaaa kasi nga malaki pa space kaya organized</v>
      </c>
      <c r="F1877" s="1">
        <f>IFERROR(__xludf.DUMMYFUNCTION("""COMPUTED_VALUE"""),3.0)</f>
        <v>3</v>
      </c>
      <c r="G1877" s="1" t="str">
        <f>IFERROR(__xludf.DUMMYFUNCTION("""COMPUTED_VALUE"""),"3 mos")</f>
        <v>3 mos</v>
      </c>
      <c r="H1877" s="1" t="str">
        <f>IFERROR(__xludf.DUMMYFUNCTION("""COMPUTED_VALUE"""),"reply")</f>
        <v>reply</v>
      </c>
      <c r="I187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77" s="1" t="str">
        <f>IFERROR(__xludf.DUMMYFUNCTION("""COMPUTED_VALUE"""),"2022-07-04T15:46:23.006Z")</f>
        <v>2022-07-04T15:46:23.006Z</v>
      </c>
      <c r="K1877" s="1"/>
    </row>
    <row r="1878">
      <c r="A1878" s="2" t="str">
        <f>IFERROR(__xludf.DUMMYFUNCTION("""COMPUTED_VALUE"""),"https://www.facebook.com/cecile.agobian")</f>
        <v>https://www.facebook.com/cecile.agobian</v>
      </c>
      <c r="B1878" s="1" t="str">
        <f>IFERROR(__xludf.DUMMYFUNCTION("""COMPUTED_VALUE"""),"Cecile Agobian")</f>
        <v>Cecile Agobian</v>
      </c>
      <c r="C1878" s="1" t="str">
        <f>IFERROR(__xludf.DUMMYFUNCTION("""COMPUTED_VALUE"""),"Cecile")</f>
        <v>Cecile</v>
      </c>
      <c r="D1878" s="1" t="str">
        <f>IFERROR(__xludf.DUMMYFUNCTION("""COMPUTED_VALUE"""),"Agobian")</f>
        <v>Agobian</v>
      </c>
      <c r="E1878" s="1" t="str">
        <f>IFERROR(__xludf.DUMMYFUNCTION("""COMPUTED_VALUE"""),"Reymar Falcunaya troll")</f>
        <v>Reymar Falcunaya troll</v>
      </c>
      <c r="F1878" s="1">
        <f>IFERROR(__xludf.DUMMYFUNCTION("""COMPUTED_VALUE"""),1.0)</f>
        <v>1</v>
      </c>
      <c r="G1878" s="1" t="str">
        <f>IFERROR(__xludf.DUMMYFUNCTION("""COMPUTED_VALUE"""),"3 mos")</f>
        <v>3 mos</v>
      </c>
      <c r="H1878" s="1" t="str">
        <f>IFERROR(__xludf.DUMMYFUNCTION("""COMPUTED_VALUE"""),"reply")</f>
        <v>reply</v>
      </c>
      <c r="I187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78" s="1" t="str">
        <f>IFERROR(__xludf.DUMMYFUNCTION("""COMPUTED_VALUE"""),"2022-07-04T15:46:23.006Z")</f>
        <v>2022-07-04T15:46:23.006Z</v>
      </c>
      <c r="K1878" s="1"/>
    </row>
    <row r="1879">
      <c r="A1879" s="2" t="str">
        <f>IFERROR(__xludf.DUMMYFUNCTION("""COMPUTED_VALUE"""),"https://www.facebook.com/poli.lidi")</f>
        <v>https://www.facebook.com/poli.lidi</v>
      </c>
      <c r="B1879" s="1" t="str">
        <f>IFERROR(__xludf.DUMMYFUNCTION("""COMPUTED_VALUE"""),"Po Li")</f>
        <v>Po Li</v>
      </c>
      <c r="C1879" s="1" t="str">
        <f>IFERROR(__xludf.DUMMYFUNCTION("""COMPUTED_VALUE"""),"Po")</f>
        <v>Po</v>
      </c>
      <c r="D1879" s="1" t="str">
        <f>IFERROR(__xludf.DUMMYFUNCTION("""COMPUTED_VALUE"""),"Li")</f>
        <v>Li</v>
      </c>
      <c r="E1879" s="1" t="str">
        <f>IFERROR(__xludf.DUMMYFUNCTION("""COMPUTED_VALUE"""),"Ingat mga #KAKAMPINK God bless let's#LENIKIKO and our senatorial candidates lead thank you for your hard work💖💗💓💞💕")</f>
        <v>Ingat mga #KAKAMPINK God bless let's#LENIKIKO and our senatorial candidates lead thank you for your hard work💖💗💓💞💕</v>
      </c>
      <c r="F1879" s="1">
        <f>IFERROR(__xludf.DUMMYFUNCTION("""COMPUTED_VALUE"""),55.0)</f>
        <v>55</v>
      </c>
      <c r="G1879" s="1" t="str">
        <f>IFERROR(__xludf.DUMMYFUNCTION("""COMPUTED_VALUE"""),"3 mos")</f>
        <v>3 mos</v>
      </c>
      <c r="H1879" s="1" t="str">
        <f>IFERROR(__xludf.DUMMYFUNCTION("""COMPUTED_VALUE"""),"comment")</f>
        <v>comment</v>
      </c>
      <c r="I187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79" s="1" t="str">
        <f>IFERROR(__xludf.DUMMYFUNCTION("""COMPUTED_VALUE"""),"2022-07-04T15:46:23.006Z")</f>
        <v>2022-07-04T15:46:23.006Z</v>
      </c>
      <c r="K1879" s="1"/>
    </row>
    <row r="1880">
      <c r="A1880" s="2" t="str">
        <f>IFERROR(__xludf.DUMMYFUNCTION("""COMPUTED_VALUE"""),"https://www.facebook.com/cehfabre")</f>
        <v>https://www.facebook.com/cehfabre</v>
      </c>
      <c r="B1880" s="1" t="str">
        <f>IFERROR(__xludf.DUMMYFUNCTION("""COMPUTED_VALUE"""),"Edith H. Fabre")</f>
        <v>Edith H. Fabre</v>
      </c>
      <c r="C1880" s="1" t="str">
        <f>IFERROR(__xludf.DUMMYFUNCTION("""COMPUTED_VALUE"""),"Edith")</f>
        <v>Edith</v>
      </c>
      <c r="D1880" s="1" t="str">
        <f>IFERROR(__xludf.DUMMYFUNCTION("""COMPUTED_VALUE"""),"H. Fabre")</f>
        <v>H. Fabre</v>
      </c>
      <c r="E1880" s="1" t="str">
        <f>IFERROR(__xludf.DUMMYFUNCTION("""COMPUTED_VALUE"""),"Mabuhay kayo CaMaNaVa! #LetLeniKikoLead2022 #KulayRosasAngBukas")</f>
        <v>Mabuhay kayo CaMaNaVa! #LetLeniKikoLead2022 #KulayRosasAngBukas</v>
      </c>
      <c r="F1880" s="1">
        <f>IFERROR(__xludf.DUMMYFUNCTION("""COMPUTED_VALUE"""),1.0)</f>
        <v>1</v>
      </c>
      <c r="G1880" s="1" t="str">
        <f>IFERROR(__xludf.DUMMYFUNCTION("""COMPUTED_VALUE"""),"3 mos")</f>
        <v>3 mos</v>
      </c>
      <c r="H1880" s="1" t="str">
        <f>IFERROR(__xludf.DUMMYFUNCTION("""COMPUTED_VALUE"""),"comment")</f>
        <v>comment</v>
      </c>
      <c r="I188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0" s="1" t="str">
        <f>IFERROR(__xludf.DUMMYFUNCTION("""COMPUTED_VALUE"""),"2022-07-04T15:46:23.006Z")</f>
        <v>2022-07-04T15:46:23.006Z</v>
      </c>
      <c r="K1880" s="1"/>
    </row>
    <row r="1881">
      <c r="A1881" s="2" t="str">
        <f>IFERROR(__xludf.DUMMYFUNCTION("""COMPUTED_VALUE"""),"https://www.facebook.com/edna.bautista.37")</f>
        <v>https://www.facebook.com/edna.bautista.37</v>
      </c>
      <c r="B1881" s="1" t="str">
        <f>IFERROR(__xludf.DUMMYFUNCTION("""COMPUTED_VALUE"""),"Edna Bautista")</f>
        <v>Edna Bautista</v>
      </c>
      <c r="C1881" s="1" t="str">
        <f>IFERROR(__xludf.DUMMYFUNCTION("""COMPUTED_VALUE"""),"Edna")</f>
        <v>Edna</v>
      </c>
      <c r="D1881" s="1" t="str">
        <f>IFERROR(__xludf.DUMMYFUNCTION("""COMPUTED_VALUE"""),"Bautista")</f>
        <v>Bautista</v>
      </c>
      <c r="E1881" s="1" t="str">
        <f>IFERROR(__xludf.DUMMYFUNCTION("""COMPUTED_VALUE"""),"Salamat CAMANAVA. Ingat kayo and God bless everyone 🙏 🌸🌸🌸")</f>
        <v>Salamat CAMANAVA. Ingat kayo and God bless everyone 🙏 🌸🌸🌸</v>
      </c>
      <c r="F1881" s="1">
        <f>IFERROR(__xludf.DUMMYFUNCTION("""COMPUTED_VALUE"""),54.0)</f>
        <v>54</v>
      </c>
      <c r="G1881" s="1" t="str">
        <f>IFERROR(__xludf.DUMMYFUNCTION("""COMPUTED_VALUE"""),"3 mos")</f>
        <v>3 mos</v>
      </c>
      <c r="H1881" s="1" t="str">
        <f>IFERROR(__xludf.DUMMYFUNCTION("""COMPUTED_VALUE"""),"comment")</f>
        <v>comment</v>
      </c>
      <c r="I188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1" s="1" t="str">
        <f>IFERROR(__xludf.DUMMYFUNCTION("""COMPUTED_VALUE"""),"2022-07-04T15:46:23.006Z")</f>
        <v>2022-07-04T15:46:23.006Z</v>
      </c>
      <c r="K1881" s="1"/>
    </row>
    <row r="1882">
      <c r="A1882" s="2" t="str">
        <f>IFERROR(__xludf.DUMMYFUNCTION("""COMPUTED_VALUE"""),"https://www.facebook.com/imeldatorres.perocho")</f>
        <v>https://www.facebook.com/imeldatorres.perocho</v>
      </c>
      <c r="B1882" s="1" t="str">
        <f>IFERROR(__xludf.DUMMYFUNCTION("""COMPUTED_VALUE"""),"Imelda Torres Perocho")</f>
        <v>Imelda Torres Perocho</v>
      </c>
      <c r="C1882" s="1" t="str">
        <f>IFERROR(__xludf.DUMMYFUNCTION("""COMPUTED_VALUE"""),"Imelda")</f>
        <v>Imelda</v>
      </c>
      <c r="D1882" s="1" t="str">
        <f>IFERROR(__xludf.DUMMYFUNCTION("""COMPUTED_VALUE"""),"Torres Perocho")</f>
        <v>Torres Perocho</v>
      </c>
      <c r="E1882" s="1" t="str">
        <f>IFERROR(__xludf.DUMMYFUNCTION("""COMPUTED_VALUE"""),"Edna Bautista ano ibig sabihin nga CAMANAVA?")</f>
        <v>Edna Bautista ano ibig sabihin nga CAMANAVA?</v>
      </c>
      <c r="F1882" s="1">
        <f>IFERROR(__xludf.DUMMYFUNCTION("""COMPUTED_VALUE"""),1.0)</f>
        <v>1</v>
      </c>
      <c r="G1882" s="1" t="str">
        <f>IFERROR(__xludf.DUMMYFUNCTION("""COMPUTED_VALUE"""),"3 mos")</f>
        <v>3 mos</v>
      </c>
      <c r="H1882" s="1" t="str">
        <f>IFERROR(__xludf.DUMMYFUNCTION("""COMPUTED_VALUE"""),"reply")</f>
        <v>reply</v>
      </c>
      <c r="I188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2" s="1" t="str">
        <f>IFERROR(__xludf.DUMMYFUNCTION("""COMPUTED_VALUE"""),"2022-07-04T15:46:23.006Z")</f>
        <v>2022-07-04T15:46:23.006Z</v>
      </c>
      <c r="K1882" s="1"/>
    </row>
    <row r="1883">
      <c r="A1883" s="2" t="str">
        <f>IFERROR(__xludf.DUMMYFUNCTION("""COMPUTED_VALUE"""),"https://www.facebook.com/xyrinageneve.tulbe")</f>
        <v>https://www.facebook.com/xyrinageneve.tulbe</v>
      </c>
      <c r="B1883" s="1" t="str">
        <f>IFERROR(__xludf.DUMMYFUNCTION("""COMPUTED_VALUE"""),"Xyrina Geneve")</f>
        <v>Xyrina Geneve</v>
      </c>
      <c r="C1883" s="1" t="str">
        <f>IFERROR(__xludf.DUMMYFUNCTION("""COMPUTED_VALUE"""),"Xyrina")</f>
        <v>Xyrina</v>
      </c>
      <c r="D1883" s="1" t="str">
        <f>IFERROR(__xludf.DUMMYFUNCTION("""COMPUTED_VALUE"""),"Geneve")</f>
        <v>Geneve</v>
      </c>
      <c r="E1883" s="1" t="str">
        <f>IFERROR(__xludf.DUMMYFUNCTION("""COMPUTED_VALUE"""),"Imelda Torres Perocho Caloocan, Malabon, Navotas, Valenzuela po")</f>
        <v>Imelda Torres Perocho Caloocan, Malabon, Navotas, Valenzuela po</v>
      </c>
      <c r="F1883" s="1">
        <f>IFERROR(__xludf.DUMMYFUNCTION("""COMPUTED_VALUE"""),2.0)</f>
        <v>2</v>
      </c>
      <c r="G1883" s="1" t="str">
        <f>IFERROR(__xludf.DUMMYFUNCTION("""COMPUTED_VALUE"""),"3 mos")</f>
        <v>3 mos</v>
      </c>
      <c r="H1883" s="1" t="str">
        <f>IFERROR(__xludf.DUMMYFUNCTION("""COMPUTED_VALUE"""),"reply")</f>
        <v>reply</v>
      </c>
      <c r="I188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3" s="1" t="str">
        <f>IFERROR(__xludf.DUMMYFUNCTION("""COMPUTED_VALUE"""),"2022-07-04T15:46:23.006Z")</f>
        <v>2022-07-04T15:46:23.006Z</v>
      </c>
      <c r="K1883" s="1"/>
    </row>
    <row r="1884">
      <c r="A1884" s="2" t="str">
        <f>IFERROR(__xludf.DUMMYFUNCTION("""COMPUTED_VALUE"""),"https://www.facebook.com/xyrinageneve.tulbe")</f>
        <v>https://www.facebook.com/xyrinageneve.tulbe</v>
      </c>
      <c r="B1884" s="1" t="str">
        <f>IFERROR(__xludf.DUMMYFUNCTION("""COMPUTED_VALUE"""),"Xyrina Geneve")</f>
        <v>Xyrina Geneve</v>
      </c>
      <c r="C1884" s="1" t="str">
        <f>IFERROR(__xludf.DUMMYFUNCTION("""COMPUTED_VALUE"""),"Xyrina")</f>
        <v>Xyrina</v>
      </c>
      <c r="D1884" s="1" t="str">
        <f>IFERROR(__xludf.DUMMYFUNCTION("""COMPUTED_VALUE"""),"Geneve")</f>
        <v>Geneve</v>
      </c>
      <c r="E1884" s="1" t="str">
        <f>IFERROR(__xludf.DUMMYFUNCTION("""COMPUTED_VALUE"""),"Imelda Torres Perocho lugar po yan hehe")</f>
        <v>Imelda Torres Perocho lugar po yan hehe</v>
      </c>
      <c r="F1884" s="1">
        <f>IFERROR(__xludf.DUMMYFUNCTION("""COMPUTED_VALUE"""),1.0)</f>
        <v>1</v>
      </c>
      <c r="G1884" s="1" t="str">
        <f>IFERROR(__xludf.DUMMYFUNCTION("""COMPUTED_VALUE"""),"3 mos")</f>
        <v>3 mos</v>
      </c>
      <c r="H1884" s="1" t="str">
        <f>IFERROR(__xludf.DUMMYFUNCTION("""COMPUTED_VALUE"""),"reply")</f>
        <v>reply</v>
      </c>
      <c r="I188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4" s="1" t="str">
        <f>IFERROR(__xludf.DUMMYFUNCTION("""COMPUTED_VALUE"""),"2022-07-04T15:46:23.006Z")</f>
        <v>2022-07-04T15:46:23.006Z</v>
      </c>
      <c r="K1884" s="1"/>
    </row>
    <row r="1885">
      <c r="A1885" s="2" t="str">
        <f>IFERROR(__xludf.DUMMYFUNCTION("""COMPUTED_VALUE"""),"https://www.facebook.com/edna.bautista.37")</f>
        <v>https://www.facebook.com/edna.bautista.37</v>
      </c>
      <c r="B1885" s="1" t="str">
        <f>IFERROR(__xludf.DUMMYFUNCTION("""COMPUTED_VALUE"""),"Edna Bautista")</f>
        <v>Edna Bautista</v>
      </c>
      <c r="C1885" s="1" t="str">
        <f>IFERROR(__xludf.DUMMYFUNCTION("""COMPUTED_VALUE"""),"Edna")</f>
        <v>Edna</v>
      </c>
      <c r="D1885" s="1" t="str">
        <f>IFERROR(__xludf.DUMMYFUNCTION("""COMPUTED_VALUE"""),"Bautista")</f>
        <v>Bautista</v>
      </c>
      <c r="E1885" s="1" t="str">
        <f>IFERROR(__xludf.DUMMYFUNCTION("""COMPUTED_VALUE"""),"Imelda Torres Perocho Caloocan, Malabon, Navotas and Valenzuela ma'am")</f>
        <v>Imelda Torres Perocho Caloocan, Malabon, Navotas and Valenzuela ma'am</v>
      </c>
      <c r="F1885" s="1">
        <f>IFERROR(__xludf.DUMMYFUNCTION("""COMPUTED_VALUE"""),1.0)</f>
        <v>1</v>
      </c>
      <c r="G1885" s="1" t="str">
        <f>IFERROR(__xludf.DUMMYFUNCTION("""COMPUTED_VALUE"""),"3 mos")</f>
        <v>3 mos</v>
      </c>
      <c r="H1885" s="1" t="str">
        <f>IFERROR(__xludf.DUMMYFUNCTION("""COMPUTED_VALUE"""),"reply")</f>
        <v>reply</v>
      </c>
      <c r="I188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5" s="1" t="str">
        <f>IFERROR(__xludf.DUMMYFUNCTION("""COMPUTED_VALUE"""),"2022-07-04T15:46:23.006Z")</f>
        <v>2022-07-04T15:46:23.006Z</v>
      </c>
      <c r="K1885" s="1"/>
    </row>
    <row r="1886">
      <c r="A1886" s="2" t="str">
        <f>IFERROR(__xludf.DUMMYFUNCTION("""COMPUTED_VALUE"""),"https://www.facebook.com/profile.php?id=100005010463773")</f>
        <v>https://www.facebook.com/profile.php?id=100005010463773</v>
      </c>
      <c r="B1886" s="1" t="str">
        <f>IFERROR(__xludf.DUMMYFUNCTION("""COMPUTED_VALUE"""),"Nene Fuentes Serraon")</f>
        <v>Nene Fuentes Serraon</v>
      </c>
      <c r="C1886" s="1" t="str">
        <f>IFERROR(__xludf.DUMMYFUNCTION("""COMPUTED_VALUE"""),"Nene")</f>
        <v>Nene</v>
      </c>
      <c r="D1886" s="1" t="str">
        <f>IFERROR(__xludf.DUMMYFUNCTION("""COMPUTED_VALUE"""),"Fuentes Serraon")</f>
        <v>Fuentes Serraon</v>
      </c>
      <c r="E1886" s="1" t="str">
        <f>IFERROR(__xludf.DUMMYFUNCTION("""COMPUTED_VALUE"""),"Xyrina Geneve Thanks! matanong din sana ako😄")</f>
        <v>Xyrina Geneve Thanks! matanong din sana ako😄</v>
      </c>
      <c r="F1886" s="1">
        <f>IFERROR(__xludf.DUMMYFUNCTION("""COMPUTED_VALUE"""),1.0)</f>
        <v>1</v>
      </c>
      <c r="G1886" s="1" t="str">
        <f>IFERROR(__xludf.DUMMYFUNCTION("""COMPUTED_VALUE"""),"3 mos")</f>
        <v>3 mos</v>
      </c>
      <c r="H1886" s="1" t="str">
        <f>IFERROR(__xludf.DUMMYFUNCTION("""COMPUTED_VALUE"""),"reply")</f>
        <v>reply</v>
      </c>
      <c r="I188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6" s="1" t="str">
        <f>IFERROR(__xludf.DUMMYFUNCTION("""COMPUTED_VALUE"""),"2022-07-04T15:46:23.006Z")</f>
        <v>2022-07-04T15:46:23.006Z</v>
      </c>
      <c r="K1886" s="1"/>
    </row>
    <row r="1887">
      <c r="A1887" s="2" t="str">
        <f>IFERROR(__xludf.DUMMYFUNCTION("""COMPUTED_VALUE"""),"https://www.facebook.com/imeldatorres.perocho")</f>
        <v>https://www.facebook.com/imeldatorres.perocho</v>
      </c>
      <c r="B1887" s="1" t="str">
        <f>IFERROR(__xludf.DUMMYFUNCTION("""COMPUTED_VALUE"""),"Imelda Torres Perocho")</f>
        <v>Imelda Torres Perocho</v>
      </c>
      <c r="C1887" s="1" t="str">
        <f>IFERROR(__xludf.DUMMYFUNCTION("""COMPUTED_VALUE"""),"Imelda")</f>
        <v>Imelda</v>
      </c>
      <c r="D1887" s="1" t="str">
        <f>IFERROR(__xludf.DUMMYFUNCTION("""COMPUTED_VALUE"""),"Torres Perocho")</f>
        <v>Torres Perocho</v>
      </c>
      <c r="E1887" s="1" t="str">
        <f>IFERROR(__xludf.DUMMYFUNCTION("""COMPUTED_VALUE"""),"Salamat sa inyo💕")</f>
        <v>Salamat sa inyo💕</v>
      </c>
      <c r="F1887" s="1"/>
      <c r="G1887" s="1" t="str">
        <f>IFERROR(__xludf.DUMMYFUNCTION("""COMPUTED_VALUE"""),"3 mos")</f>
        <v>3 mos</v>
      </c>
      <c r="H1887" s="1" t="str">
        <f>IFERROR(__xludf.DUMMYFUNCTION("""COMPUTED_VALUE"""),"reply")</f>
        <v>reply</v>
      </c>
      <c r="I188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7" s="1" t="str">
        <f>IFERROR(__xludf.DUMMYFUNCTION("""COMPUTED_VALUE"""),"2022-07-04T15:46:23.006Z")</f>
        <v>2022-07-04T15:46:23.006Z</v>
      </c>
      <c r="K1887" s="1"/>
    </row>
    <row r="1888">
      <c r="A1888" s="2" t="str">
        <f>IFERROR(__xludf.DUMMYFUNCTION("""COMPUTED_VALUE"""),"https://www.facebook.com/armando.guevarra.90")</f>
        <v>https://www.facebook.com/armando.guevarra.90</v>
      </c>
      <c r="B1888" s="1" t="str">
        <f>IFERROR(__xludf.DUMMYFUNCTION("""COMPUTED_VALUE"""),"Armando Guevarra")</f>
        <v>Armando Guevarra</v>
      </c>
      <c r="C1888" s="1" t="str">
        <f>IFERROR(__xludf.DUMMYFUNCTION("""COMPUTED_VALUE"""),"Armando")</f>
        <v>Armando</v>
      </c>
      <c r="D1888" s="1" t="str">
        <f>IFERROR(__xludf.DUMMYFUNCTION("""COMPUTED_VALUE"""),"Guevarra")</f>
        <v>Guevarra</v>
      </c>
      <c r="E1888" s="1" t="str">
        <f>IFERROR(__xludf.DUMMYFUNCTION("""COMPUTED_VALUE"""),"Edna Bautista caloocan malabon navotas valensuela")</f>
        <v>Edna Bautista caloocan malabon navotas valensuela</v>
      </c>
      <c r="F1888" s="1"/>
      <c r="G1888" s="1" t="str">
        <f>IFERROR(__xludf.DUMMYFUNCTION("""COMPUTED_VALUE"""),"3 mos")</f>
        <v>3 mos</v>
      </c>
      <c r="H1888" s="1" t="str">
        <f>IFERROR(__xludf.DUMMYFUNCTION("""COMPUTED_VALUE"""),"reply")</f>
        <v>reply</v>
      </c>
      <c r="I188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8" s="1" t="str">
        <f>IFERROR(__xludf.DUMMYFUNCTION("""COMPUTED_VALUE"""),"2022-07-04T15:46:23.006Z")</f>
        <v>2022-07-04T15:46:23.006Z</v>
      </c>
      <c r="K1888" s="1"/>
    </row>
    <row r="1889">
      <c r="A1889" s="2" t="str">
        <f>IFERROR(__xludf.DUMMYFUNCTION("""COMPUTED_VALUE"""),"https://www.facebook.com/cheryl.belleza")</f>
        <v>https://www.facebook.com/cheryl.belleza</v>
      </c>
      <c r="B1889" s="1" t="str">
        <f>IFERROR(__xludf.DUMMYFUNCTION("""COMPUTED_VALUE"""),"Belleza Che")</f>
        <v>Belleza Che</v>
      </c>
      <c r="C1889" s="1" t="str">
        <f>IFERROR(__xludf.DUMMYFUNCTION("""COMPUTED_VALUE"""),"Belleza")</f>
        <v>Belleza</v>
      </c>
      <c r="D1889" s="1" t="str">
        <f>IFERROR(__xludf.DUMMYFUNCTION("""COMPUTED_VALUE"""),"Che")</f>
        <v>Che</v>
      </c>
      <c r="E1889" s="1" t="str">
        <f>IFERROR(__xludf.DUMMYFUNCTION("""COMPUTED_VALUE"""),"Keep hydrated mga kakampinks😍💖 Team Bahay, Silang Cavite")</f>
        <v>Keep hydrated mga kakampinks😍💖 Team Bahay, Silang Cavite</v>
      </c>
      <c r="F1889" s="1">
        <f>IFERROR(__xludf.DUMMYFUNCTION("""COMPUTED_VALUE"""),40.0)</f>
        <v>40</v>
      </c>
      <c r="G1889" s="1" t="str">
        <f>IFERROR(__xludf.DUMMYFUNCTION("""COMPUTED_VALUE"""),"3 mos")</f>
        <v>3 mos</v>
      </c>
      <c r="H1889" s="1" t="str">
        <f>IFERROR(__xludf.DUMMYFUNCTION("""COMPUTED_VALUE"""),"comment")</f>
        <v>comment</v>
      </c>
      <c r="I188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89" s="1" t="str">
        <f>IFERROR(__xludf.DUMMYFUNCTION("""COMPUTED_VALUE"""),"2022-07-04T15:46:23.006Z")</f>
        <v>2022-07-04T15:46:23.006Z</v>
      </c>
      <c r="K1889" s="1"/>
    </row>
    <row r="1890">
      <c r="A1890" s="2" t="str">
        <f>IFERROR(__xludf.DUMMYFUNCTION("""COMPUTED_VALUE"""),"https://www.facebook.com/velvet.marj")</f>
        <v>https://www.facebook.com/velvet.marj</v>
      </c>
      <c r="B1890" s="1" t="str">
        <f>IFERROR(__xludf.DUMMYFUNCTION("""COMPUTED_VALUE"""),"Marj Sumagaysay")</f>
        <v>Marj Sumagaysay</v>
      </c>
      <c r="C1890" s="1" t="str">
        <f>IFERROR(__xludf.DUMMYFUNCTION("""COMPUTED_VALUE"""),"Marj")</f>
        <v>Marj</v>
      </c>
      <c r="D1890" s="1" t="str">
        <f>IFERROR(__xludf.DUMMYFUNCTION("""COMPUTED_VALUE"""),"Sumagaysay")</f>
        <v>Sumagaysay</v>
      </c>
      <c r="E1890" s="1" t="str">
        <f>IFERROR(__xludf.DUMMYFUNCTION("""COMPUTED_VALUE"""),"Mahaba pa po ang pila sa labas ng gates. Kaya napilitang buksan ang St. Mary's to accommodate yung mga tao.")</f>
        <v>Mahaba pa po ang pila sa labas ng gates. Kaya napilitang buksan ang St. Mary's to accommodate yung mga tao.</v>
      </c>
      <c r="F1890" s="1">
        <f>IFERROR(__xludf.DUMMYFUNCTION("""COMPUTED_VALUE"""),26.0)</f>
        <v>26</v>
      </c>
      <c r="G1890" s="1" t="str">
        <f>IFERROR(__xludf.DUMMYFUNCTION("""COMPUTED_VALUE"""),"3 mos")</f>
        <v>3 mos</v>
      </c>
      <c r="H1890" s="1" t="str">
        <f>IFERROR(__xludf.DUMMYFUNCTION("""COMPUTED_VALUE"""),"comment")</f>
        <v>comment</v>
      </c>
      <c r="I189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0" s="1" t="str">
        <f>IFERROR(__xludf.DUMMYFUNCTION("""COMPUTED_VALUE"""),"2022-07-04T15:46:23.006Z")</f>
        <v>2022-07-04T15:46:23.006Z</v>
      </c>
      <c r="K1890" s="1"/>
    </row>
    <row r="1891">
      <c r="A1891" s="2" t="str">
        <f>IFERROR(__xludf.DUMMYFUNCTION("""COMPUTED_VALUE"""),"https://www.facebook.com/nilo.seda")</f>
        <v>https://www.facebook.com/nilo.seda</v>
      </c>
      <c r="B1891" s="1" t="str">
        <f>IFERROR(__xludf.DUMMYFUNCTION("""COMPUTED_VALUE"""),"Nilo Sasot Seda")</f>
        <v>Nilo Sasot Seda</v>
      </c>
      <c r="C1891" s="1" t="str">
        <f>IFERROR(__xludf.DUMMYFUNCTION("""COMPUTED_VALUE"""),"Nilo")</f>
        <v>Nilo</v>
      </c>
      <c r="D1891" s="1" t="str">
        <f>IFERROR(__xludf.DUMMYFUNCTION("""COMPUTED_VALUE"""),"Sasot Seda")</f>
        <v>Sasot Seda</v>
      </c>
      <c r="E1891" s="1" t="str">
        <f>IFERROR(__xludf.DUMMYFUNCTION("""COMPUTED_VALUE"""),"Thank you CAMANAVA, IPANALO NATIN #LENIKIKO TEAM.GODBLESS.")</f>
        <v>Thank you CAMANAVA, IPANALO NATIN #LENIKIKO TEAM.GODBLESS.</v>
      </c>
      <c r="F1891" s="1">
        <f>IFERROR(__xludf.DUMMYFUNCTION("""COMPUTED_VALUE"""),1.0)</f>
        <v>1</v>
      </c>
      <c r="G1891" s="1" t="str">
        <f>IFERROR(__xludf.DUMMYFUNCTION("""COMPUTED_VALUE"""),"3 mos")</f>
        <v>3 mos</v>
      </c>
      <c r="H1891" s="1" t="str">
        <f>IFERROR(__xludf.DUMMYFUNCTION("""COMPUTED_VALUE"""),"comment")</f>
        <v>comment</v>
      </c>
      <c r="I189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1" s="1" t="str">
        <f>IFERROR(__xludf.DUMMYFUNCTION("""COMPUTED_VALUE"""),"2022-07-04T15:46:23.006Z")</f>
        <v>2022-07-04T15:46:23.006Z</v>
      </c>
      <c r="K1891" s="1"/>
    </row>
    <row r="1892">
      <c r="A1892" s="2" t="str">
        <f>IFERROR(__xludf.DUMMYFUNCTION("""COMPUTED_VALUE"""),"https://www.facebook.com/jamostiago")</f>
        <v>https://www.facebook.com/jamostiago</v>
      </c>
      <c r="B1892" s="1" t="str">
        <f>IFERROR(__xludf.DUMMYFUNCTION("""COMPUTED_VALUE"""),"James Aaron")</f>
        <v>James Aaron</v>
      </c>
      <c r="C1892" s="1" t="str">
        <f>IFERROR(__xludf.DUMMYFUNCTION("""COMPUTED_VALUE"""),"James")</f>
        <v>James</v>
      </c>
      <c r="D1892" s="1" t="str">
        <f>IFERROR(__xludf.DUMMYFUNCTION("""COMPUTED_VALUE"""),"Aaron")</f>
        <v>Aaron</v>
      </c>
      <c r="E1892" s="1" t="str">
        <f>IFERROR(__xludf.DUMMYFUNCTION("""COMPUTED_VALUE"""),"Kier Ofrasio lapit na mapuno")</f>
        <v>Kier Ofrasio lapit na mapuno</v>
      </c>
      <c r="F1892" s="1">
        <f>IFERROR(__xludf.DUMMYFUNCTION("""COMPUTED_VALUE"""),5.0)</f>
        <v>5</v>
      </c>
      <c r="G1892" s="1" t="str">
        <f>IFERROR(__xludf.DUMMYFUNCTION("""COMPUTED_VALUE"""),"3 mos")</f>
        <v>3 mos</v>
      </c>
      <c r="H1892" s="1" t="str">
        <f>IFERROR(__xludf.DUMMYFUNCTION("""COMPUTED_VALUE"""),"comment")</f>
        <v>comment</v>
      </c>
      <c r="I189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2" s="1" t="str">
        <f>IFERROR(__xludf.DUMMYFUNCTION("""COMPUTED_VALUE"""),"2022-07-04T15:46:23.006Z")</f>
        <v>2022-07-04T15:46:23.006Z</v>
      </c>
      <c r="K1892" s="1"/>
    </row>
    <row r="1893">
      <c r="A1893" s="2" t="str">
        <f>IFERROR(__xludf.DUMMYFUNCTION("""COMPUTED_VALUE"""),"https://www.facebook.com/stevenchoocy")</f>
        <v>https://www.facebook.com/stevenchoocy</v>
      </c>
      <c r="B1893" s="1" t="str">
        <f>IFERROR(__xludf.DUMMYFUNCTION("""COMPUTED_VALUE"""),"Steven Choo")</f>
        <v>Steven Choo</v>
      </c>
      <c r="C1893" s="1" t="str">
        <f>IFERROR(__xludf.DUMMYFUNCTION("""COMPUTED_VALUE"""),"Steven")</f>
        <v>Steven</v>
      </c>
      <c r="D1893" s="1" t="str">
        <f>IFERROR(__xludf.DUMMYFUNCTION("""COMPUTED_VALUE"""),"Choo")</f>
        <v>Choo</v>
      </c>
      <c r="E1893" s="1" t="str">
        <f>IFERROR(__xludf.DUMMYFUNCTION("""COMPUTED_VALUE"""),"Doesn't mean she will be elected  as President")</f>
        <v>Doesn't mean she will be elected  as President</v>
      </c>
      <c r="F1893" s="1">
        <f>IFERROR(__xludf.DUMMYFUNCTION("""COMPUTED_VALUE"""),2.0)</f>
        <v>2</v>
      </c>
      <c r="G1893" s="1" t="str">
        <f>IFERROR(__xludf.DUMMYFUNCTION("""COMPUTED_VALUE"""),"3 mos")</f>
        <v>3 mos</v>
      </c>
      <c r="H1893" s="1" t="str">
        <f>IFERROR(__xludf.DUMMYFUNCTION("""COMPUTED_VALUE"""),"comment")</f>
        <v>comment</v>
      </c>
      <c r="I189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3" s="1" t="str">
        <f>IFERROR(__xludf.DUMMYFUNCTION("""COMPUTED_VALUE"""),"2022-07-04T15:46:23.006Z")</f>
        <v>2022-07-04T15:46:23.006Z</v>
      </c>
      <c r="K1893" s="1"/>
    </row>
    <row r="1894">
      <c r="A1894" s="2" t="str">
        <f>IFERROR(__xludf.DUMMYFUNCTION("""COMPUTED_VALUE"""),"https://www.facebook.com/nolie.mantaring")</f>
        <v>https://www.facebook.com/nolie.mantaring</v>
      </c>
      <c r="B1894" s="1" t="str">
        <f>IFERROR(__xludf.DUMMYFUNCTION("""COMPUTED_VALUE"""),"Nolie HM")</f>
        <v>Nolie HM</v>
      </c>
      <c r="C1894" s="1" t="str">
        <f>IFERROR(__xludf.DUMMYFUNCTION("""COMPUTED_VALUE"""),"Nolie")</f>
        <v>Nolie</v>
      </c>
      <c r="D1894" s="1" t="str">
        <f>IFERROR(__xludf.DUMMYFUNCTION("""COMPUTED_VALUE"""),"HM")</f>
        <v>HM</v>
      </c>
      <c r="E1894" s="1" t="str">
        <f>IFERROR(__xludf.DUMMYFUNCTION("""COMPUTED_VALUE"""),"Steven Choo ...doesn't mean he will be elected as president..😉")</f>
        <v>Steven Choo ...doesn't mean he will be elected as president..😉</v>
      </c>
      <c r="F1894" s="1">
        <f>IFERROR(__xludf.DUMMYFUNCTION("""COMPUTED_VALUE"""),23.0)</f>
        <v>23</v>
      </c>
      <c r="G1894" s="1" t="str">
        <f>IFERROR(__xludf.DUMMYFUNCTION("""COMPUTED_VALUE"""),"3 mos")</f>
        <v>3 mos</v>
      </c>
      <c r="H1894" s="1" t="str">
        <f>IFERROR(__xludf.DUMMYFUNCTION("""COMPUTED_VALUE"""),"reply")</f>
        <v>reply</v>
      </c>
      <c r="I189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4" s="1" t="str">
        <f>IFERROR(__xludf.DUMMYFUNCTION("""COMPUTED_VALUE"""),"2022-07-04T15:46:23.006Z")</f>
        <v>2022-07-04T15:46:23.006Z</v>
      </c>
      <c r="K1894" s="1"/>
    </row>
    <row r="1895">
      <c r="A1895" s="2" t="str">
        <f>IFERROR(__xludf.DUMMYFUNCTION("""COMPUTED_VALUE"""),"https://www.facebook.com/profile.php?id=100013497646924")</f>
        <v>https://www.facebook.com/profile.php?id=100013497646924</v>
      </c>
      <c r="B1895" s="1" t="str">
        <f>IFERROR(__xludf.DUMMYFUNCTION("""COMPUTED_VALUE"""),"John Canalan")</f>
        <v>John Canalan</v>
      </c>
      <c r="C1895" s="1" t="str">
        <f>IFERROR(__xludf.DUMMYFUNCTION("""COMPUTED_VALUE"""),"John")</f>
        <v>John</v>
      </c>
      <c r="D1895" s="1" t="str">
        <f>IFERROR(__xludf.DUMMYFUNCTION("""COMPUTED_VALUE"""),"Canalan")</f>
        <v>Canalan</v>
      </c>
      <c r="E1895" s="1" t="str">
        <f>IFERROR(__xludf.DUMMYFUNCTION("""COMPUTED_VALUE"""),"Nolie HM goodluck sa May 9")</f>
        <v>Nolie HM goodluck sa May 9</v>
      </c>
      <c r="F1895" s="1"/>
      <c r="G1895" s="1" t="str">
        <f>IFERROR(__xludf.DUMMYFUNCTION("""COMPUTED_VALUE"""),"3 mos")</f>
        <v>3 mos</v>
      </c>
      <c r="H1895" s="1" t="str">
        <f>IFERROR(__xludf.DUMMYFUNCTION("""COMPUTED_VALUE"""),"reply")</f>
        <v>reply</v>
      </c>
      <c r="I189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5" s="1" t="str">
        <f>IFERROR(__xludf.DUMMYFUNCTION("""COMPUTED_VALUE"""),"2022-07-04T15:46:23.006Z")</f>
        <v>2022-07-04T15:46:23.006Z</v>
      </c>
      <c r="K1895" s="1"/>
    </row>
    <row r="1896">
      <c r="A1896" s="2" t="str">
        <f>IFERROR(__xludf.DUMMYFUNCTION("""COMPUTED_VALUE"""),"https://www.facebook.com/cecile.agobian")</f>
        <v>https://www.facebook.com/cecile.agobian</v>
      </c>
      <c r="B1896" s="1" t="str">
        <f>IFERROR(__xludf.DUMMYFUNCTION("""COMPUTED_VALUE"""),"Cecile Agobian")</f>
        <v>Cecile Agobian</v>
      </c>
      <c r="C1896" s="1" t="str">
        <f>IFERROR(__xludf.DUMMYFUNCTION("""COMPUTED_VALUE"""),"Cecile")</f>
        <v>Cecile</v>
      </c>
      <c r="D1896" s="1" t="str">
        <f>IFERROR(__xludf.DUMMYFUNCTION("""COMPUTED_VALUE"""),"Agobian")</f>
        <v>Agobian</v>
      </c>
      <c r="E1896" s="1" t="str">
        <f>IFERROR(__xludf.DUMMYFUNCTION("""COMPUTED_VALUE"""),"Nolie HM a dose of your own arrogance...")</f>
        <v>Nolie HM a dose of your own arrogance...</v>
      </c>
      <c r="F1896" s="1"/>
      <c r="G1896" s="1" t="str">
        <f>IFERROR(__xludf.DUMMYFUNCTION("""COMPUTED_VALUE"""),"3 mos")</f>
        <v>3 mos</v>
      </c>
      <c r="H1896" s="1" t="str">
        <f>IFERROR(__xludf.DUMMYFUNCTION("""COMPUTED_VALUE"""),"reply")</f>
        <v>reply</v>
      </c>
      <c r="I189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6" s="1" t="str">
        <f>IFERROR(__xludf.DUMMYFUNCTION("""COMPUTED_VALUE"""),"2022-07-04T15:46:23.006Z")</f>
        <v>2022-07-04T15:46:23.006Z</v>
      </c>
      <c r="K1896" s="1"/>
    </row>
    <row r="1897">
      <c r="A1897" s="2" t="str">
        <f>IFERROR(__xludf.DUMMYFUNCTION("""COMPUTED_VALUE"""),"https://www.facebook.com/emil.paragas")</f>
        <v>https://www.facebook.com/emil.paragas</v>
      </c>
      <c r="B1897" s="1" t="str">
        <f>IFERROR(__xludf.DUMMYFUNCTION("""COMPUTED_VALUE"""),"Emil Paragas")</f>
        <v>Emil Paragas</v>
      </c>
      <c r="C1897" s="1" t="str">
        <f>IFERROR(__xludf.DUMMYFUNCTION("""COMPUTED_VALUE"""),"Emil")</f>
        <v>Emil</v>
      </c>
      <c r="D1897" s="1" t="str">
        <f>IFERROR(__xludf.DUMMYFUNCTION("""COMPUTED_VALUE"""),"Paragas")</f>
        <v>Paragas</v>
      </c>
      <c r="E1897" s="1" t="str">
        <f>IFERROR(__xludf.DUMMYFUNCTION("""COMPUTED_VALUE"""),"Maliit yung venue, maraming di makakapasok. Pero, PADAYON mga kaigsuonan... #IpanaloNa10To  #LeniKiko2022  #CaMaNaVaIsPink")</f>
        <v>Maliit yung venue, maraming di makakapasok. Pero, PADAYON mga kaigsuonan... #IpanaloNa10To  #LeniKiko2022  #CaMaNaVaIsPink</v>
      </c>
      <c r="F1897" s="1">
        <f>IFERROR(__xludf.DUMMYFUNCTION("""COMPUTED_VALUE"""),17.0)</f>
        <v>17</v>
      </c>
      <c r="G1897" s="1" t="str">
        <f>IFERROR(__xludf.DUMMYFUNCTION("""COMPUTED_VALUE"""),"3 mos")</f>
        <v>3 mos</v>
      </c>
      <c r="H1897" s="1" t="str">
        <f>IFERROR(__xludf.DUMMYFUNCTION("""COMPUTED_VALUE"""),"comment")</f>
        <v>comment</v>
      </c>
      <c r="I189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7" s="1" t="str">
        <f>IFERROR(__xludf.DUMMYFUNCTION("""COMPUTED_VALUE"""),"2022-07-04T15:46:23.006Z")</f>
        <v>2022-07-04T15:46:23.006Z</v>
      </c>
      <c r="K1897" s="1"/>
    </row>
    <row r="1898">
      <c r="A1898" s="2" t="str">
        <f>IFERROR(__xludf.DUMMYFUNCTION("""COMPUTED_VALUE"""),"https://www.facebook.com/nilo.asas")</f>
        <v>https://www.facebook.com/nilo.asas</v>
      </c>
      <c r="B1898" s="1" t="str">
        <f>IFERROR(__xludf.DUMMYFUNCTION("""COMPUTED_VALUE"""),"Nilo Asas")</f>
        <v>Nilo Asas</v>
      </c>
      <c r="C1898" s="1" t="str">
        <f>IFERROR(__xludf.DUMMYFUNCTION("""COMPUTED_VALUE"""),"Nilo")</f>
        <v>Nilo</v>
      </c>
      <c r="D1898" s="1" t="str">
        <f>IFERROR(__xludf.DUMMYFUNCTION("""COMPUTED_VALUE"""),"Asas")</f>
        <v>Asas</v>
      </c>
      <c r="E1898" s="1" t="str">
        <f>IFERROR(__xludf.DUMMYFUNCTION("""COMPUTED_VALUE"""),"Emil Paragas arang luaga pede mag basketball.")</f>
        <v>Emil Paragas arang luaga pede mag basketball.</v>
      </c>
      <c r="F1898" s="1">
        <f>IFERROR(__xludf.DUMMYFUNCTION("""COMPUTED_VALUE"""),1.0)</f>
        <v>1</v>
      </c>
      <c r="G1898" s="1" t="str">
        <f>IFERROR(__xludf.DUMMYFUNCTION("""COMPUTED_VALUE"""),"3 mos")</f>
        <v>3 mos</v>
      </c>
      <c r="H1898" s="1" t="str">
        <f>IFERROR(__xludf.DUMMYFUNCTION("""COMPUTED_VALUE"""),"reply")</f>
        <v>reply</v>
      </c>
      <c r="I189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8" s="1" t="str">
        <f>IFERROR(__xludf.DUMMYFUNCTION("""COMPUTED_VALUE"""),"2022-07-04T15:46:23.006Z")</f>
        <v>2022-07-04T15:46:23.006Z</v>
      </c>
      <c r="K1898" s="1"/>
    </row>
    <row r="1899">
      <c r="A1899" s="2" t="str">
        <f>IFERROR(__xludf.DUMMYFUNCTION("""COMPUTED_VALUE"""),"https://www.facebook.com/ronan.alejandro")</f>
        <v>https://www.facebook.com/ronan.alejandro</v>
      </c>
      <c r="B1899" s="1" t="str">
        <f>IFERROR(__xludf.DUMMYFUNCTION("""COMPUTED_VALUE"""),"Nanun Nanun Alejandro")</f>
        <v>Nanun Nanun Alejandro</v>
      </c>
      <c r="C1899" s="1" t="str">
        <f>IFERROR(__xludf.DUMMYFUNCTION("""COMPUTED_VALUE"""),"Nanun")</f>
        <v>Nanun</v>
      </c>
      <c r="D1899" s="1" t="str">
        <f>IFERROR(__xludf.DUMMYFUNCTION("""COMPUTED_VALUE"""),"Nanun Alejandro")</f>
        <v>Nanun Alejandro</v>
      </c>
      <c r="E1899" s="1" t="str">
        <f>IFERROR(__xludf.DUMMYFUNCTION("""COMPUTED_VALUE"""),"Emil Paragas bukas din yung kabilang field ng St Mary’s Academy")</f>
        <v>Emil Paragas bukas din yung kabilang field ng St Mary’s Academy</v>
      </c>
      <c r="F1899" s="1">
        <f>IFERROR(__xludf.DUMMYFUNCTION("""COMPUTED_VALUE"""),1.0)</f>
        <v>1</v>
      </c>
      <c r="G1899" s="1" t="str">
        <f>IFERROR(__xludf.DUMMYFUNCTION("""COMPUTED_VALUE"""),"3 mos")</f>
        <v>3 mos</v>
      </c>
      <c r="H1899" s="1" t="str">
        <f>IFERROR(__xludf.DUMMYFUNCTION("""COMPUTED_VALUE"""),"reply")</f>
        <v>reply</v>
      </c>
      <c r="I189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899" s="1" t="str">
        <f>IFERROR(__xludf.DUMMYFUNCTION("""COMPUTED_VALUE"""),"2022-07-04T15:46:23.006Z")</f>
        <v>2022-07-04T15:46:23.006Z</v>
      </c>
      <c r="K1899" s="1"/>
    </row>
    <row r="1900">
      <c r="A1900" s="2" t="str">
        <f>IFERROR(__xludf.DUMMYFUNCTION("""COMPUTED_VALUE"""),"https://www.facebook.com/babie.canete")</f>
        <v>https://www.facebook.com/babie.canete</v>
      </c>
      <c r="B1900" s="1" t="str">
        <f>IFERROR(__xludf.DUMMYFUNCTION("""COMPUTED_VALUE"""),"Babie HC")</f>
        <v>Babie HC</v>
      </c>
      <c r="C1900" s="1" t="str">
        <f>IFERROR(__xludf.DUMMYFUNCTION("""COMPUTED_VALUE"""),"Babie")</f>
        <v>Babie</v>
      </c>
      <c r="D1900" s="1" t="str">
        <f>IFERROR(__xludf.DUMMYFUNCTION("""COMPUTED_VALUE"""),"HC")</f>
        <v>HC</v>
      </c>
      <c r="E1900" s="1" t="str">
        <f>IFERROR(__xludf.DUMMYFUNCTION("""COMPUTED_VALUE"""),"Nilo Asas alas 2 pa lang, hours before ang program magsugod💗")</f>
        <v>Nilo Asas alas 2 pa lang, hours before ang program magsugod💗</v>
      </c>
      <c r="F1900" s="1"/>
      <c r="G1900" s="1" t="str">
        <f>IFERROR(__xludf.DUMMYFUNCTION("""COMPUTED_VALUE"""),"3 mos")</f>
        <v>3 mos</v>
      </c>
      <c r="H1900" s="1" t="str">
        <f>IFERROR(__xludf.DUMMYFUNCTION("""COMPUTED_VALUE"""),"reply")</f>
        <v>reply</v>
      </c>
      <c r="I190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0" s="1" t="str">
        <f>IFERROR(__xludf.DUMMYFUNCTION("""COMPUTED_VALUE"""),"2022-07-04T15:46:23.007Z")</f>
        <v>2022-07-04T15:46:23.007Z</v>
      </c>
      <c r="K1900" s="1"/>
    </row>
    <row r="1901">
      <c r="A1901" s="2" t="str">
        <f>IFERROR(__xludf.DUMMYFUNCTION("""COMPUTED_VALUE"""),"https://www.facebook.com/emil.paragas")</f>
        <v>https://www.facebook.com/emil.paragas</v>
      </c>
      <c r="B1901" s="1" t="str">
        <f>IFERROR(__xludf.DUMMYFUNCTION("""COMPUTED_VALUE"""),"Emil Paragas")</f>
        <v>Emil Paragas</v>
      </c>
      <c r="C1901" s="1" t="str">
        <f>IFERROR(__xludf.DUMMYFUNCTION("""COMPUTED_VALUE"""),"Emil")</f>
        <v>Emil</v>
      </c>
      <c r="D1901" s="1" t="str">
        <f>IFERROR(__xludf.DUMMYFUNCTION("""COMPUTED_VALUE"""),"Paragas")</f>
        <v>Paragas</v>
      </c>
      <c r="E1901" s="1" t="str">
        <f>IFERROR(__xludf.DUMMYFUNCTION("""COMPUTED_VALUE"""),"Nilo Asas karon, unya, ambot na lang. Nakit-an na jud sa mga rallies, kulang jud ang area. PADAYON gihapon. 💖")</f>
        <v>Nilo Asas karon, unya, ambot na lang. Nakit-an na jud sa mga rallies, kulang jud ang area. PADAYON gihapon. 💖</v>
      </c>
      <c r="F1901" s="1"/>
      <c r="G1901" s="1" t="str">
        <f>IFERROR(__xludf.DUMMYFUNCTION("""COMPUTED_VALUE"""),"3 mos")</f>
        <v>3 mos</v>
      </c>
      <c r="H1901" s="1" t="str">
        <f>IFERROR(__xludf.DUMMYFUNCTION("""COMPUTED_VALUE"""),"reply")</f>
        <v>reply</v>
      </c>
      <c r="I190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1" s="1" t="str">
        <f>IFERROR(__xludf.DUMMYFUNCTION("""COMPUTED_VALUE"""),"2022-07-04T15:46:23.007Z")</f>
        <v>2022-07-04T15:46:23.007Z</v>
      </c>
      <c r="K1901" s="1"/>
    </row>
    <row r="1902">
      <c r="A1902" s="2" t="str">
        <f>IFERROR(__xludf.DUMMYFUNCTION("""COMPUTED_VALUE"""),"https://www.facebook.com/emil.paragas")</f>
        <v>https://www.facebook.com/emil.paragas</v>
      </c>
      <c r="B1902" s="1" t="str">
        <f>IFERROR(__xludf.DUMMYFUNCTION("""COMPUTED_VALUE"""),"Emil Paragas")</f>
        <v>Emil Paragas</v>
      </c>
      <c r="C1902" s="1" t="str">
        <f>IFERROR(__xludf.DUMMYFUNCTION("""COMPUTED_VALUE"""),"Emil")</f>
        <v>Emil</v>
      </c>
      <c r="D1902" s="1" t="str">
        <f>IFERROR(__xludf.DUMMYFUNCTION("""COMPUTED_VALUE"""),"Paragas")</f>
        <v>Paragas</v>
      </c>
      <c r="E1902" s="1" t="str">
        <f>IFERROR(__xludf.DUMMYFUNCTION("""COMPUTED_VALUE"""),"Nanun Nanun Alejandro St. Mary's, yun po bang OLGA?")</f>
        <v>Nanun Nanun Alejandro St. Mary's, yun po bang OLGA?</v>
      </c>
      <c r="F1902" s="1">
        <f>IFERROR(__xludf.DUMMYFUNCTION("""COMPUTED_VALUE"""),1.0)</f>
        <v>1</v>
      </c>
      <c r="G1902" s="1" t="str">
        <f>IFERROR(__xludf.DUMMYFUNCTION("""COMPUTED_VALUE"""),"3 mos")</f>
        <v>3 mos</v>
      </c>
      <c r="H1902" s="1" t="str">
        <f>IFERROR(__xludf.DUMMYFUNCTION("""COMPUTED_VALUE"""),"reply")</f>
        <v>reply</v>
      </c>
      <c r="I190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2" s="1" t="str">
        <f>IFERROR(__xludf.DUMMYFUNCTION("""COMPUTED_VALUE"""),"2022-07-04T15:46:23.007Z")</f>
        <v>2022-07-04T15:46:23.007Z</v>
      </c>
      <c r="K1902" s="1"/>
    </row>
    <row r="1903">
      <c r="A1903" s="2" t="str">
        <f>IFERROR(__xludf.DUMMYFUNCTION("""COMPUTED_VALUE"""),"https://www.facebook.com/ronan.alejandro")</f>
        <v>https://www.facebook.com/ronan.alejandro</v>
      </c>
      <c r="B1903" s="1" t="str">
        <f>IFERROR(__xludf.DUMMYFUNCTION("""COMPUTED_VALUE"""),"Nanun Nanun Alejandro")</f>
        <v>Nanun Nanun Alejandro</v>
      </c>
      <c r="C1903" s="1" t="str">
        <f>IFERROR(__xludf.DUMMYFUNCTION("""COMPUTED_VALUE"""),"Nanun")</f>
        <v>Nanun</v>
      </c>
      <c r="D1903" s="1" t="str">
        <f>IFERROR(__xludf.DUMMYFUNCTION("""COMPUTED_VALUE"""),"Nanun Alejandro")</f>
        <v>Nanun Alejandro</v>
      </c>
      <c r="E1903" s="1" t="str">
        <f>IFERROR(__xludf.DUMMYFUNCTION("""COMPUTED_VALUE"""),"Emil Paragas yes, iopen din ata")</f>
        <v>Emil Paragas yes, iopen din ata</v>
      </c>
      <c r="F1903" s="1">
        <f>IFERROR(__xludf.DUMMYFUNCTION("""COMPUTED_VALUE"""),1.0)</f>
        <v>1</v>
      </c>
      <c r="G1903" s="1" t="str">
        <f>IFERROR(__xludf.DUMMYFUNCTION("""COMPUTED_VALUE"""),"3 mos")</f>
        <v>3 mos</v>
      </c>
      <c r="H1903" s="1" t="str">
        <f>IFERROR(__xludf.DUMMYFUNCTION("""COMPUTED_VALUE"""),"reply")</f>
        <v>reply</v>
      </c>
      <c r="I190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3" s="1" t="str">
        <f>IFERROR(__xludf.DUMMYFUNCTION("""COMPUTED_VALUE"""),"2022-07-04T15:46:23.007Z")</f>
        <v>2022-07-04T15:46:23.007Z</v>
      </c>
      <c r="K1903" s="1"/>
    </row>
    <row r="1904">
      <c r="A1904" s="2" t="str">
        <f>IFERROR(__xludf.DUMMYFUNCTION("""COMPUTED_VALUE"""),"https://www.facebook.com/emil.paragas")</f>
        <v>https://www.facebook.com/emil.paragas</v>
      </c>
      <c r="B1904" s="1" t="str">
        <f>IFERROR(__xludf.DUMMYFUNCTION("""COMPUTED_VALUE"""),"Emil Paragas")</f>
        <v>Emil Paragas</v>
      </c>
      <c r="C1904" s="1" t="str">
        <f>IFERROR(__xludf.DUMMYFUNCTION("""COMPUTED_VALUE"""),"Emil")</f>
        <v>Emil</v>
      </c>
      <c r="D1904" s="1" t="str">
        <f>IFERROR(__xludf.DUMMYFUNCTION("""COMPUTED_VALUE"""),"Paragas")</f>
        <v>Paragas</v>
      </c>
      <c r="E1904" s="1" t="str">
        <f>IFERROR(__xludf.DUMMYFUNCTION("""COMPUTED_VALUE"""),"Nilo Asas hello po, nakit-an na nimo unsa kadaghan ang tawo? Sayon pa, madoble pa o baka matriple pa ang numero.")</f>
        <v>Nilo Asas hello po, nakit-an na nimo unsa kadaghan ang tawo? Sayon pa, madoble pa o baka matriple pa ang numero.</v>
      </c>
      <c r="F1904" s="1"/>
      <c r="G1904" s="1" t="str">
        <f>IFERROR(__xludf.DUMMYFUNCTION("""COMPUTED_VALUE"""),"3 mos")</f>
        <v>3 mos</v>
      </c>
      <c r="H1904" s="1" t="str">
        <f>IFERROR(__xludf.DUMMYFUNCTION("""COMPUTED_VALUE"""),"reply")</f>
        <v>reply</v>
      </c>
      <c r="I190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4" s="1" t="str">
        <f>IFERROR(__xludf.DUMMYFUNCTION("""COMPUTED_VALUE"""),"2022-07-04T15:46:23.007Z")</f>
        <v>2022-07-04T15:46:23.007Z</v>
      </c>
      <c r="K1904" s="1"/>
    </row>
    <row r="1905">
      <c r="A1905" s="2" t="str">
        <f>IFERROR(__xludf.DUMMYFUNCTION("""COMPUTED_VALUE"""),"https://www.facebook.com/nilo.asas")</f>
        <v>https://www.facebook.com/nilo.asas</v>
      </c>
      <c r="B1905" s="1" t="str">
        <f>IFERROR(__xludf.DUMMYFUNCTION("""COMPUTED_VALUE"""),"Nilo Asas")</f>
        <v>Nilo Asas</v>
      </c>
      <c r="C1905" s="1" t="str">
        <f>IFERROR(__xludf.DUMMYFUNCTION("""COMPUTED_VALUE"""),"Nilo")</f>
        <v>Nilo</v>
      </c>
      <c r="D1905" s="1" t="str">
        <f>IFERROR(__xludf.DUMMYFUNCTION("""COMPUTED_VALUE"""),"Asas")</f>
        <v>Asas</v>
      </c>
      <c r="E1905" s="1" t="str">
        <f>IFERROR(__xludf.DUMMYFUNCTION("""COMPUTED_VALUE"""),"Emil Paragas dili gyod makit an kay bisan lobo mahimo g tawo galing noh")</f>
        <v>Emil Paragas dili gyod makit an kay bisan lobo mahimo g tawo galing noh</v>
      </c>
      <c r="F1905" s="1">
        <f>IFERROR(__xludf.DUMMYFUNCTION("""COMPUTED_VALUE"""),1.0)</f>
        <v>1</v>
      </c>
      <c r="G1905" s="1" t="str">
        <f>IFERROR(__xludf.DUMMYFUNCTION("""COMPUTED_VALUE"""),"3 mos")</f>
        <v>3 mos</v>
      </c>
      <c r="H1905" s="1" t="str">
        <f>IFERROR(__xludf.DUMMYFUNCTION("""COMPUTED_VALUE"""),"reply")</f>
        <v>reply</v>
      </c>
      <c r="I190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5" s="1" t="str">
        <f>IFERROR(__xludf.DUMMYFUNCTION("""COMPUTED_VALUE"""),"2022-07-04T15:46:23.007Z")</f>
        <v>2022-07-04T15:46:23.007Z</v>
      </c>
      <c r="K1905" s="1"/>
    </row>
    <row r="1906">
      <c r="A1906" s="2" t="str">
        <f>IFERROR(__xludf.DUMMYFUNCTION("""COMPUTED_VALUE"""),"https://www.facebook.com/nilo.asas")</f>
        <v>https://www.facebook.com/nilo.asas</v>
      </c>
      <c r="B1906" s="1" t="str">
        <f>IFERROR(__xludf.DUMMYFUNCTION("""COMPUTED_VALUE"""),"Nilo Asas")</f>
        <v>Nilo Asas</v>
      </c>
      <c r="C1906" s="1" t="str">
        <f>IFERROR(__xludf.DUMMYFUNCTION("""COMPUTED_VALUE"""),"Nilo")</f>
        <v>Nilo</v>
      </c>
      <c r="D1906" s="1" t="str">
        <f>IFERROR(__xludf.DUMMYFUNCTION("""COMPUTED_VALUE"""),"Asas")</f>
        <v>Asas</v>
      </c>
      <c r="E1906" s="1" t="str">
        <f>IFERROR(__xludf.DUMMYFUNCTION("""COMPUTED_VALUE"""),"Emil Paragas eh rambol mo basin daghan trak ug naya field trip uso raba karon basta naay 500 hehehe.")</f>
        <v>Emil Paragas eh rambol mo basin daghan trak ug naya field trip uso raba karon basta naay 500 hehehe.</v>
      </c>
      <c r="F1906" s="1">
        <f>IFERROR(__xludf.DUMMYFUNCTION("""COMPUTED_VALUE"""),1.0)</f>
        <v>1</v>
      </c>
      <c r="G1906" s="1" t="str">
        <f>IFERROR(__xludf.DUMMYFUNCTION("""COMPUTED_VALUE"""),"3 mos")</f>
        <v>3 mos</v>
      </c>
      <c r="H1906" s="1" t="str">
        <f>IFERROR(__xludf.DUMMYFUNCTION("""COMPUTED_VALUE"""),"reply")</f>
        <v>reply</v>
      </c>
      <c r="I190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6" s="1" t="str">
        <f>IFERROR(__xludf.DUMMYFUNCTION("""COMPUTED_VALUE"""),"2022-07-04T15:46:23.007Z")</f>
        <v>2022-07-04T15:46:23.007Z</v>
      </c>
      <c r="K1906" s="1"/>
    </row>
    <row r="1907">
      <c r="A1907" s="2" t="str">
        <f>IFERROR(__xludf.DUMMYFUNCTION("""COMPUTED_VALUE"""),"https://www.facebook.com/emil.paragas")</f>
        <v>https://www.facebook.com/emil.paragas</v>
      </c>
      <c r="B1907" s="1" t="str">
        <f>IFERROR(__xludf.DUMMYFUNCTION("""COMPUTED_VALUE"""),"Emil Paragas")</f>
        <v>Emil Paragas</v>
      </c>
      <c r="C1907" s="1" t="str">
        <f>IFERROR(__xludf.DUMMYFUNCTION("""COMPUTED_VALUE"""),"Emil")</f>
        <v>Emil</v>
      </c>
      <c r="D1907" s="1" t="str">
        <f>IFERROR(__xludf.DUMMYFUNCTION("""COMPUTED_VALUE"""),"Paragas")</f>
        <v>Paragas</v>
      </c>
      <c r="E1907" s="1" t="str">
        <f>IFERROR(__xludf.DUMMYFUNCTION("""COMPUTED_VALUE"""),"Nilo Asas nakapiyong imong mata hahaha o buta hahaha kalooy hahahaha")</f>
        <v>Nilo Asas nakapiyong imong mata hahaha o buta hahaha kalooy hahahaha</v>
      </c>
      <c r="F1907" s="1"/>
      <c r="G1907" s="1" t="str">
        <f>IFERROR(__xludf.DUMMYFUNCTION("""COMPUTED_VALUE"""),"3 mos")</f>
        <v>3 mos</v>
      </c>
      <c r="H1907" s="1" t="str">
        <f>IFERROR(__xludf.DUMMYFUNCTION("""COMPUTED_VALUE"""),"reply")</f>
        <v>reply</v>
      </c>
      <c r="I190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7" s="1" t="str">
        <f>IFERROR(__xludf.DUMMYFUNCTION("""COMPUTED_VALUE"""),"2022-07-04T15:46:23.007Z")</f>
        <v>2022-07-04T15:46:23.007Z</v>
      </c>
      <c r="K1907" s="1"/>
    </row>
    <row r="1908">
      <c r="A1908" s="2" t="str">
        <f>IFERROR(__xludf.DUMMYFUNCTION("""COMPUTED_VALUE"""),"https://www.facebook.com/edna.aspe")</f>
        <v>https://www.facebook.com/edna.aspe</v>
      </c>
      <c r="B1908" s="1" t="str">
        <f>IFERROR(__xludf.DUMMYFUNCTION("""COMPUTED_VALUE"""),"Edna Aspe")</f>
        <v>Edna Aspe</v>
      </c>
      <c r="C1908" s="1" t="str">
        <f>IFERROR(__xludf.DUMMYFUNCTION("""COMPUTED_VALUE"""),"Edna")</f>
        <v>Edna</v>
      </c>
      <c r="D1908" s="1" t="str">
        <f>IFERROR(__xludf.DUMMYFUNCTION("""COMPUTED_VALUE"""),"Aspe")</f>
        <v>Aspe</v>
      </c>
      <c r="E1908" s="1" t="str">
        <f>IFERROR(__xludf.DUMMYFUNCTION("""COMPUTED_VALUE"""),"God Bless You CAMANAVA!!!💖💖💖 Proud to be a Kakampink... #LeniKikoTeam2022 #IpanaloNa10To")</f>
        <v>God Bless You CAMANAVA!!!💖💖💖 Proud to be a Kakampink... #LeniKikoTeam2022 #IpanaloNa10To</v>
      </c>
      <c r="F1908" s="1">
        <f>IFERROR(__xludf.DUMMYFUNCTION("""COMPUTED_VALUE"""),8.0)</f>
        <v>8</v>
      </c>
      <c r="G1908" s="1" t="str">
        <f>IFERROR(__xludf.DUMMYFUNCTION("""COMPUTED_VALUE"""),"3 mos")</f>
        <v>3 mos</v>
      </c>
      <c r="H1908" s="1" t="str">
        <f>IFERROR(__xludf.DUMMYFUNCTION("""COMPUTED_VALUE"""),"comment")</f>
        <v>comment</v>
      </c>
      <c r="I190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8" s="1" t="str">
        <f>IFERROR(__xludf.DUMMYFUNCTION("""COMPUTED_VALUE"""),"2022-07-04T15:46:23.007Z")</f>
        <v>2022-07-04T15:46:23.007Z</v>
      </c>
      <c r="K1908" s="1"/>
    </row>
    <row r="1909">
      <c r="A1909" s="2" t="str">
        <f>IFERROR(__xludf.DUMMYFUNCTION("""COMPUTED_VALUE"""),"https://www.facebook.com/michelle.leslie.92102")</f>
        <v>https://www.facebook.com/michelle.leslie.92102</v>
      </c>
      <c r="B1909" s="1" t="str">
        <f>IFERROR(__xludf.DUMMYFUNCTION("""COMPUTED_VALUE"""),"Michelle Leslie")</f>
        <v>Michelle Leslie</v>
      </c>
      <c r="C1909" s="1" t="str">
        <f>IFERROR(__xludf.DUMMYFUNCTION("""COMPUTED_VALUE"""),"Michelle")</f>
        <v>Michelle</v>
      </c>
      <c r="D1909" s="1" t="str">
        <f>IFERROR(__xludf.DUMMYFUNCTION("""COMPUTED_VALUE"""),"Leslie")</f>
        <v>Leslie</v>
      </c>
      <c r="E1909" s="1" t="str">
        <f>IFERROR(__xludf.DUMMYFUNCTION("""COMPUTED_VALUE"""),"IPANALO NATIN TO 💖💖💖 #CaMaNavaForLeniKiko #CaMaNaVaIsPink #CaMaNaVaRockNRosas #CamanavaBaybeh")</f>
        <v>IPANALO NATIN TO 💖💖💖 #CaMaNavaForLeniKiko #CaMaNaVaIsPink #CaMaNaVaRockNRosas #CamanavaBaybeh</v>
      </c>
      <c r="F1909" s="1">
        <f>IFERROR(__xludf.DUMMYFUNCTION("""COMPUTED_VALUE"""),20.0)</f>
        <v>20</v>
      </c>
      <c r="G1909" s="1" t="str">
        <f>IFERROR(__xludf.DUMMYFUNCTION("""COMPUTED_VALUE"""),"3 mos")</f>
        <v>3 mos</v>
      </c>
      <c r="H1909" s="1" t="str">
        <f>IFERROR(__xludf.DUMMYFUNCTION("""COMPUTED_VALUE"""),"comment")</f>
        <v>comment</v>
      </c>
      <c r="I190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09" s="1" t="str">
        <f>IFERROR(__xludf.DUMMYFUNCTION("""COMPUTED_VALUE"""),"2022-07-04T15:46:23.007Z")</f>
        <v>2022-07-04T15:46:23.007Z</v>
      </c>
      <c r="K1909" s="1"/>
    </row>
    <row r="1910">
      <c r="A1910" s="2" t="str">
        <f>IFERROR(__xludf.DUMMYFUNCTION("""COMPUTED_VALUE"""),"https://www.facebook.com/profile.php?id=100010288385661")</f>
        <v>https://www.facebook.com/profile.php?id=100010288385661</v>
      </c>
      <c r="B1910" s="1" t="str">
        <f>IFERROR(__xludf.DUMMYFUNCTION("""COMPUTED_VALUE"""),"Joseph Fortes")</f>
        <v>Joseph Fortes</v>
      </c>
      <c r="C1910" s="1" t="str">
        <f>IFERROR(__xludf.DUMMYFUNCTION("""COMPUTED_VALUE"""),"Joseph")</f>
        <v>Joseph</v>
      </c>
      <c r="D1910" s="1" t="str">
        <f>IFERROR(__xludf.DUMMYFUNCTION("""COMPUTED_VALUE"""),"Fortes")</f>
        <v>Fortes</v>
      </c>
      <c r="E1910" s="1" t="str">
        <f>IFERROR(__xludf.DUMMYFUNCTION("""COMPUTED_VALUE"""),"Michelle Leslie Tama.....Gisingin mga natutulog.....IpanalonatinTo")</f>
        <v>Michelle Leslie Tama.....Gisingin mga natutulog.....IpanalonatinTo</v>
      </c>
      <c r="F1910" s="1">
        <f>IFERROR(__xludf.DUMMYFUNCTION("""COMPUTED_VALUE"""),2.0)</f>
        <v>2</v>
      </c>
      <c r="G1910" s="1" t="str">
        <f>IFERROR(__xludf.DUMMYFUNCTION("""COMPUTED_VALUE"""),"3 mos")</f>
        <v>3 mos</v>
      </c>
      <c r="H1910" s="1" t="str">
        <f>IFERROR(__xludf.DUMMYFUNCTION("""COMPUTED_VALUE"""),"reply")</f>
        <v>reply</v>
      </c>
      <c r="I191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0" s="1" t="str">
        <f>IFERROR(__xludf.DUMMYFUNCTION("""COMPUTED_VALUE"""),"2022-07-04T15:46:23.007Z")</f>
        <v>2022-07-04T15:46:23.007Z</v>
      </c>
      <c r="K1910" s="1"/>
    </row>
    <row r="1911">
      <c r="A1911" s="2" t="str">
        <f>IFERROR(__xludf.DUMMYFUNCTION("""COMPUTED_VALUE"""),"https://www.facebook.com/malating.tao")</f>
        <v>https://www.facebook.com/malating.tao</v>
      </c>
      <c r="B1911" s="1" t="str">
        <f>IFERROR(__xludf.DUMMYFUNCTION("""COMPUTED_VALUE"""),"Malating Tao")</f>
        <v>Malating Tao</v>
      </c>
      <c r="C1911" s="1" t="str">
        <f>IFERROR(__xludf.DUMMYFUNCTION("""COMPUTED_VALUE"""),"Malating")</f>
        <v>Malating</v>
      </c>
      <c r="D1911" s="1" t="str">
        <f>IFERROR(__xludf.DUMMYFUNCTION("""COMPUTED_VALUE"""),"Tao")</f>
        <v>Tao</v>
      </c>
      <c r="E1911" s="1" t="str">
        <f>IFERROR(__xludf.DUMMYFUNCTION("""COMPUTED_VALUE"""),"Bilib ako sa tiyaga ng mga #Kakampinks sa #CAMANAVA!  Ang aga dumating kahit na sobrang init ng araw. God bless you all!  #CaMaNaVaIsPink 💗 #CaMaNavaForLeniKiko")</f>
        <v>Bilib ako sa tiyaga ng mga #Kakampinks sa #CAMANAVA!  Ang aga dumating kahit na sobrang init ng araw. God bless you all!  #CaMaNaVaIsPink 💗 #CaMaNavaForLeniKiko</v>
      </c>
      <c r="F1911" s="1">
        <f>IFERROR(__xludf.DUMMYFUNCTION("""COMPUTED_VALUE"""),44.0)</f>
        <v>44</v>
      </c>
      <c r="G1911" s="1" t="str">
        <f>IFERROR(__xludf.DUMMYFUNCTION("""COMPUTED_VALUE"""),"3 mos")</f>
        <v>3 mos</v>
      </c>
      <c r="H1911" s="1" t="str">
        <f>IFERROR(__xludf.DUMMYFUNCTION("""COMPUTED_VALUE"""),"comment")</f>
        <v>comment</v>
      </c>
      <c r="I191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1" s="1" t="str">
        <f>IFERROR(__xludf.DUMMYFUNCTION("""COMPUTED_VALUE"""),"2022-07-04T15:46:23.007Z")</f>
        <v>2022-07-04T15:46:23.007Z</v>
      </c>
      <c r="K1911" s="1"/>
    </row>
    <row r="1912">
      <c r="A1912" s="2" t="str">
        <f>IFERROR(__xludf.DUMMYFUNCTION("""COMPUTED_VALUE"""),"https://www.facebook.com/maya.barsaga")</f>
        <v>https://www.facebook.com/maya.barsaga</v>
      </c>
      <c r="B1912" s="1" t="str">
        <f>IFERROR(__xludf.DUMMYFUNCTION("""COMPUTED_VALUE"""),"مايا بورسيلانكو برساجا")</f>
        <v>مايا بورسيلانكو برساجا</v>
      </c>
      <c r="C1912" s="1" t="str">
        <f>IFERROR(__xludf.DUMMYFUNCTION("""COMPUTED_VALUE"""),"مايا")</f>
        <v>مايا</v>
      </c>
      <c r="D1912" s="1" t="str">
        <f>IFERROR(__xludf.DUMMYFUNCTION("""COMPUTED_VALUE"""),"بورسيلانكو برساجا")</f>
        <v>بورسيلانكو برساجا</v>
      </c>
      <c r="E1912" s="1" t="str">
        <f>IFERROR(__xludf.DUMMYFUNCTION("""COMPUTED_VALUE"""),"Wow ang dami….daming lobo 😃✌🏻")</f>
        <v>Wow ang dami….daming lobo 😃✌🏻</v>
      </c>
      <c r="F1912" s="1">
        <f>IFERROR(__xludf.DUMMYFUNCTION("""COMPUTED_VALUE"""),2.0)</f>
        <v>2</v>
      </c>
      <c r="G1912" s="1" t="str">
        <f>IFERROR(__xludf.DUMMYFUNCTION("""COMPUTED_VALUE"""),"3 mos")</f>
        <v>3 mos</v>
      </c>
      <c r="H1912" s="1" t="str">
        <f>IFERROR(__xludf.DUMMYFUNCTION("""COMPUTED_VALUE"""),"comment")</f>
        <v>comment</v>
      </c>
      <c r="I191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2" s="1" t="str">
        <f>IFERROR(__xludf.DUMMYFUNCTION("""COMPUTED_VALUE"""),"2022-07-04T15:46:23.007Z")</f>
        <v>2022-07-04T15:46:23.007Z</v>
      </c>
      <c r="K1912" s="1"/>
    </row>
    <row r="1913">
      <c r="A1913" s="2" t="str">
        <f>IFERROR(__xludf.DUMMYFUNCTION("""COMPUTED_VALUE"""),"https://www.facebook.com/rodel.parambita")</f>
        <v>https://www.facebook.com/rodel.parambita</v>
      </c>
      <c r="B1913" s="1" t="str">
        <f>IFERROR(__xludf.DUMMYFUNCTION("""COMPUTED_VALUE"""),"Rodel Parambita")</f>
        <v>Rodel Parambita</v>
      </c>
      <c r="C1913" s="1" t="str">
        <f>IFERROR(__xludf.DUMMYFUNCTION("""COMPUTED_VALUE"""),"Rodel")</f>
        <v>Rodel</v>
      </c>
      <c r="D1913" s="1" t="str">
        <f>IFERROR(__xludf.DUMMYFUNCTION("""COMPUTED_VALUE"""),"Parambita")</f>
        <v>Parambita</v>
      </c>
      <c r="E1913" s="1" t="str">
        <f>IFERROR(__xludf.DUMMYFUNCTION("""COMPUTED_VALUE"""),"Mabuhay Kakampinks you're the best, Godbless! #LeniKiko2022 #GobyernongTapatAngatBuhayLahat")</f>
        <v>Mabuhay Kakampinks you're the best, Godbless! #LeniKiko2022 #GobyernongTapatAngatBuhayLahat</v>
      </c>
      <c r="F1913" s="1">
        <f>IFERROR(__xludf.DUMMYFUNCTION("""COMPUTED_VALUE"""),18.0)</f>
        <v>18</v>
      </c>
      <c r="G1913" s="1" t="str">
        <f>IFERROR(__xludf.DUMMYFUNCTION("""COMPUTED_VALUE"""),"3 mos")</f>
        <v>3 mos</v>
      </c>
      <c r="H1913" s="1" t="str">
        <f>IFERROR(__xludf.DUMMYFUNCTION("""COMPUTED_VALUE"""),"comment")</f>
        <v>comment</v>
      </c>
      <c r="I191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3" s="1" t="str">
        <f>IFERROR(__xludf.DUMMYFUNCTION("""COMPUTED_VALUE"""),"2022-07-04T15:46:23.007Z")</f>
        <v>2022-07-04T15:46:23.007Z</v>
      </c>
      <c r="K1913" s="1"/>
    </row>
    <row r="1914">
      <c r="A1914" s="2" t="str">
        <f>IFERROR(__xludf.DUMMYFUNCTION("""COMPUTED_VALUE"""),"https://www.facebook.com/cory.penaroyo")</f>
        <v>https://www.facebook.com/cory.penaroyo</v>
      </c>
      <c r="B1914" s="1" t="str">
        <f>IFERROR(__xludf.DUMMYFUNCTION("""COMPUTED_VALUE"""),"Cory Peñaroyo")</f>
        <v>Cory Peñaroyo</v>
      </c>
      <c r="C1914" s="1" t="str">
        <f>IFERROR(__xludf.DUMMYFUNCTION("""COMPUTED_VALUE"""),"Cory")</f>
        <v>Cory</v>
      </c>
      <c r="D1914" s="1" t="str">
        <f>IFERROR(__xludf.DUMMYFUNCTION("""COMPUTED_VALUE"""),"Peñaroyo")</f>
        <v>Peñaroyo</v>
      </c>
      <c r="E1914" s="1" t="str">
        <f>IFERROR(__xludf.DUMMYFUNCTION("""COMPUTED_VALUE"""),"Saludo ako sa mga taong natitiyaga sa init ng araw makadalo lang sa grand rally ni madam... God bless us all KAKAMPINK")</f>
        <v>Saludo ako sa mga taong natitiyaga sa init ng araw makadalo lang sa grand rally ni madam... God bless us all KAKAMPINK</v>
      </c>
      <c r="F1914" s="1">
        <f>IFERROR(__xludf.DUMMYFUNCTION("""COMPUTED_VALUE"""),19.0)</f>
        <v>19</v>
      </c>
      <c r="G1914" s="1" t="str">
        <f>IFERROR(__xludf.DUMMYFUNCTION("""COMPUTED_VALUE"""),"3 mos")</f>
        <v>3 mos</v>
      </c>
      <c r="H1914" s="1" t="str">
        <f>IFERROR(__xludf.DUMMYFUNCTION("""COMPUTED_VALUE"""),"comment")</f>
        <v>comment</v>
      </c>
      <c r="I191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4" s="1" t="str">
        <f>IFERROR(__xludf.DUMMYFUNCTION("""COMPUTED_VALUE"""),"2022-07-04T15:46:23.007Z")</f>
        <v>2022-07-04T15:46:23.007Z</v>
      </c>
      <c r="K1914" s="1"/>
    </row>
    <row r="1915">
      <c r="A1915" s="2" t="str">
        <f>IFERROR(__xludf.DUMMYFUNCTION("""COMPUTED_VALUE"""),"https://www.facebook.com/zanlie.ebarita")</f>
        <v>https://www.facebook.com/zanlie.ebarita</v>
      </c>
      <c r="B1915" s="1" t="str">
        <f>IFERROR(__xludf.DUMMYFUNCTION("""COMPUTED_VALUE"""),"Zan VE Ebarita")</f>
        <v>Zan VE Ebarita</v>
      </c>
      <c r="C1915" s="1" t="str">
        <f>IFERROR(__xludf.DUMMYFUNCTION("""COMPUTED_VALUE"""),"Zan")</f>
        <v>Zan</v>
      </c>
      <c r="D1915" s="1" t="str">
        <f>IFERROR(__xludf.DUMMYFUNCTION("""COMPUTED_VALUE"""),"VE Ebarita")</f>
        <v>VE Ebarita</v>
      </c>
      <c r="E1915" s="1" t="str">
        <f>IFERROR(__xludf.DUMMYFUNCTION("""COMPUTED_VALUE"""),"Ang init pa, mmya Nako ppunta.")</f>
        <v>Ang init pa, mmya Nako ppunta.</v>
      </c>
      <c r="F1915" s="1">
        <f>IFERROR(__xludf.DUMMYFUNCTION("""COMPUTED_VALUE"""),3.0)</f>
        <v>3</v>
      </c>
      <c r="G1915" s="1" t="str">
        <f>IFERROR(__xludf.DUMMYFUNCTION("""COMPUTED_VALUE"""),"3 mos")</f>
        <v>3 mos</v>
      </c>
      <c r="H1915" s="1" t="str">
        <f>IFERROR(__xludf.DUMMYFUNCTION("""COMPUTED_VALUE"""),"comment")</f>
        <v>comment</v>
      </c>
      <c r="I191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5" s="1" t="str">
        <f>IFERROR(__xludf.DUMMYFUNCTION("""COMPUTED_VALUE"""),"2022-07-04T15:46:23.007Z")</f>
        <v>2022-07-04T15:46:23.007Z</v>
      </c>
      <c r="K1915" s="1"/>
    </row>
    <row r="1916">
      <c r="A1916" s="2" t="str">
        <f>IFERROR(__xludf.DUMMYFUNCTION("""COMPUTED_VALUE"""),"https://www.facebook.com/vchua1")</f>
        <v>https://www.facebook.com/vchua1</v>
      </c>
      <c r="B1916" s="1" t="str">
        <f>IFERROR(__xludf.DUMMYFUNCTION("""COMPUTED_VALUE"""),"Vincent De Guzman Chua")</f>
        <v>Vincent De Guzman Chua</v>
      </c>
      <c r="C1916" s="1" t="str">
        <f>IFERROR(__xludf.DUMMYFUNCTION("""COMPUTED_VALUE"""),"Vincent")</f>
        <v>Vincent</v>
      </c>
      <c r="D1916" s="1" t="str">
        <f>IFERROR(__xludf.DUMMYFUNCTION("""COMPUTED_VALUE"""),"De Guzman Chua")</f>
        <v>De Guzman Chua</v>
      </c>
      <c r="E1916" s="1" t="str">
        <f>IFERROR(__xludf.DUMMYFUNCTION("""COMPUTED_VALUE"""),"Zanlie Visitacion Ebarita baka po di na kayo makapasok")</f>
        <v>Zanlie Visitacion Ebarita baka po di na kayo makapasok</v>
      </c>
      <c r="F1916" s="1">
        <f>IFERROR(__xludf.DUMMYFUNCTION("""COMPUTED_VALUE"""),1.0)</f>
        <v>1</v>
      </c>
      <c r="G1916" s="1" t="str">
        <f>IFERROR(__xludf.DUMMYFUNCTION("""COMPUTED_VALUE"""),"3 mos")</f>
        <v>3 mos</v>
      </c>
      <c r="H1916" s="1" t="str">
        <f>IFERROR(__xludf.DUMMYFUNCTION("""COMPUTED_VALUE"""),"reply")</f>
        <v>reply</v>
      </c>
      <c r="I191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6" s="1" t="str">
        <f>IFERROR(__xludf.DUMMYFUNCTION("""COMPUTED_VALUE"""),"2022-07-04T15:46:23.007Z")</f>
        <v>2022-07-04T15:46:23.007Z</v>
      </c>
      <c r="K1916" s="1"/>
    </row>
    <row r="1917">
      <c r="A1917" s="2" t="str">
        <f>IFERROR(__xludf.DUMMYFUNCTION("""COMPUTED_VALUE"""),"https://www.facebook.com/zanlie.ebarita")</f>
        <v>https://www.facebook.com/zanlie.ebarita</v>
      </c>
      <c r="B1917" s="1" t="str">
        <f>IFERROR(__xludf.DUMMYFUNCTION("""COMPUTED_VALUE"""),"Zan VE Ebarita")</f>
        <v>Zan VE Ebarita</v>
      </c>
      <c r="C1917" s="1" t="str">
        <f>IFERROR(__xludf.DUMMYFUNCTION("""COMPUTED_VALUE"""),"Zan")</f>
        <v>Zan</v>
      </c>
      <c r="D1917" s="1" t="str">
        <f>IFERROR(__xludf.DUMMYFUNCTION("""COMPUTED_VALUE"""),"VE Ebarita")</f>
        <v>VE Ebarita</v>
      </c>
      <c r="E1917" s="1" t="str">
        <f>IFERROR(__xludf.DUMMYFUNCTION("""COMPUTED_VALUE"""),"Vincent De Guzman Chua sa labas nalang ako hahaa dami na tao")</f>
        <v>Vincent De Guzman Chua sa labas nalang ako hahaa dami na tao</v>
      </c>
      <c r="F1917" s="1">
        <f>IFERROR(__xludf.DUMMYFUNCTION("""COMPUTED_VALUE"""),1.0)</f>
        <v>1</v>
      </c>
      <c r="G1917" s="1" t="str">
        <f>IFERROR(__xludf.DUMMYFUNCTION("""COMPUTED_VALUE"""),"3 mos")</f>
        <v>3 mos</v>
      </c>
      <c r="H1917" s="1" t="str">
        <f>IFERROR(__xludf.DUMMYFUNCTION("""COMPUTED_VALUE"""),"reply")</f>
        <v>reply</v>
      </c>
      <c r="I191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7" s="1" t="str">
        <f>IFERROR(__xludf.DUMMYFUNCTION("""COMPUTED_VALUE"""),"2022-07-04T15:46:23.007Z")</f>
        <v>2022-07-04T15:46:23.007Z</v>
      </c>
      <c r="K1917" s="1"/>
    </row>
    <row r="1918">
      <c r="A1918" s="2" t="str">
        <f>IFERROR(__xludf.DUMMYFUNCTION("""COMPUTED_VALUE"""),"https://www.facebook.com/be.aranza")</f>
        <v>https://www.facebook.com/be.aranza</v>
      </c>
      <c r="B1918" s="1" t="str">
        <f>IFERROR(__xludf.DUMMYFUNCTION("""COMPUTED_VALUE"""),"Be Aranza")</f>
        <v>Be Aranza</v>
      </c>
      <c r="C1918" s="1" t="str">
        <f>IFERROR(__xludf.DUMMYFUNCTION("""COMPUTED_VALUE"""),"Be")</f>
        <v>Be</v>
      </c>
      <c r="D1918" s="1" t="str">
        <f>IFERROR(__xludf.DUMMYFUNCTION("""COMPUTED_VALUE"""),"Aranza")</f>
        <v>Aranza</v>
      </c>
      <c r="E1918" s="1" t="str">
        <f>IFERROR(__xludf.DUMMYFUNCTION("""COMPUTED_VALUE"""),"Pawisan galing sa puso! Salute to you all")</f>
        <v>Pawisan galing sa puso! Salute to you all</v>
      </c>
      <c r="F1918" s="1">
        <f>IFERROR(__xludf.DUMMYFUNCTION("""COMPUTED_VALUE"""),4.0)</f>
        <v>4</v>
      </c>
      <c r="G1918" s="1" t="str">
        <f>IFERROR(__xludf.DUMMYFUNCTION("""COMPUTED_VALUE"""),"3 mos")</f>
        <v>3 mos</v>
      </c>
      <c r="H1918" s="1" t="str">
        <f>IFERROR(__xludf.DUMMYFUNCTION("""COMPUTED_VALUE"""),"comment")</f>
        <v>comment</v>
      </c>
      <c r="I191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8" s="1" t="str">
        <f>IFERROR(__xludf.DUMMYFUNCTION("""COMPUTED_VALUE"""),"2022-07-04T15:46:23.007Z")</f>
        <v>2022-07-04T15:46:23.007Z</v>
      </c>
      <c r="K1918" s="1"/>
    </row>
    <row r="1919">
      <c r="A1919" s="2" t="str">
        <f>IFERROR(__xludf.DUMMYFUNCTION("""COMPUTED_VALUE"""),"https://www.facebook.com/rosalie.lozada.1")</f>
        <v>https://www.facebook.com/rosalie.lozada.1</v>
      </c>
      <c r="B1919" s="1" t="str">
        <f>IFERROR(__xludf.DUMMYFUNCTION("""COMPUTED_VALUE"""),"Rosalie Alcoser Lozada")</f>
        <v>Rosalie Alcoser Lozada</v>
      </c>
      <c r="C1919" s="1" t="str">
        <f>IFERROR(__xludf.DUMMYFUNCTION("""COMPUTED_VALUE"""),"Rosalie")</f>
        <v>Rosalie</v>
      </c>
      <c r="D1919" s="1" t="str">
        <f>IFERROR(__xludf.DUMMYFUNCTION("""COMPUTED_VALUE"""),"Alcoser Lozada")</f>
        <v>Alcoser Lozada</v>
      </c>
      <c r="E1919" s="1" t="str">
        <f>IFERROR(__xludf.DUMMYFUNCTION("""COMPUTED_VALUE"""),"LETS PRAY NA SANA MADAGDAGAN  PA  LAHAT NG KULAY  PAGSAMA SAMA HIN. UPANG SA GANUN. WALA NG MASASAMANG TAO SA BANSA. HAHAHA. INGATS")</f>
        <v>LETS PRAY NA SANA MADAGDAGAN  PA  LAHAT NG KULAY  PAGSAMA SAMA HIN. UPANG SA GANUN. WALA NG MASASAMANG TAO SA BANSA. HAHAHA. INGATS</v>
      </c>
      <c r="F1919" s="1">
        <f>IFERROR(__xludf.DUMMYFUNCTION("""COMPUTED_VALUE"""),2.0)</f>
        <v>2</v>
      </c>
      <c r="G1919" s="1" t="str">
        <f>IFERROR(__xludf.DUMMYFUNCTION("""COMPUTED_VALUE"""),"3 mos")</f>
        <v>3 mos</v>
      </c>
      <c r="H1919" s="1" t="str">
        <f>IFERROR(__xludf.DUMMYFUNCTION("""COMPUTED_VALUE"""),"comment")</f>
        <v>comment</v>
      </c>
      <c r="I191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19" s="1" t="str">
        <f>IFERROR(__xludf.DUMMYFUNCTION("""COMPUTED_VALUE"""),"2022-07-04T15:46:23.007Z")</f>
        <v>2022-07-04T15:46:23.007Z</v>
      </c>
      <c r="K1919" s="1"/>
    </row>
    <row r="1920">
      <c r="A1920" s="2" t="str">
        <f>IFERROR(__xludf.DUMMYFUNCTION("""COMPUTED_VALUE"""),"https://www.facebook.com/vhen.ayupan")</f>
        <v>https://www.facebook.com/vhen.ayupan</v>
      </c>
      <c r="B1920" s="1" t="str">
        <f>IFERROR(__xludf.DUMMYFUNCTION("""COMPUTED_VALUE"""),"Vhen Ayupan")</f>
        <v>Vhen Ayupan</v>
      </c>
      <c r="C1920" s="1" t="str">
        <f>IFERROR(__xludf.DUMMYFUNCTION("""COMPUTED_VALUE"""),"Vhen")</f>
        <v>Vhen</v>
      </c>
      <c r="D1920" s="1" t="str">
        <f>IFERROR(__xludf.DUMMYFUNCTION("""COMPUTED_VALUE"""),"Ayupan")</f>
        <v>Ayupan</v>
      </c>
      <c r="E1920" s="1" t="str">
        <f>IFERROR(__xludf.DUMMYFUNCTION("""COMPUTED_VALUE"""),"Salamat Camanava for supporting Lenikiko tandem. Dito tayo sa tapat malinis matapang, masipag my plataporma at higit sa lahat resibo.")</f>
        <v>Salamat Camanava for supporting Lenikiko tandem. Dito tayo sa tapat malinis matapang, masipag my plataporma at higit sa lahat resibo.</v>
      </c>
      <c r="F1920" s="1">
        <f>IFERROR(__xludf.DUMMYFUNCTION("""COMPUTED_VALUE"""),10.0)</f>
        <v>10</v>
      </c>
      <c r="G1920" s="1" t="str">
        <f>IFERROR(__xludf.DUMMYFUNCTION("""COMPUTED_VALUE"""),"3 mos")</f>
        <v>3 mos</v>
      </c>
      <c r="H1920" s="1" t="str">
        <f>IFERROR(__xludf.DUMMYFUNCTION("""COMPUTED_VALUE"""),"comment")</f>
        <v>comment</v>
      </c>
      <c r="I192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0" s="1" t="str">
        <f>IFERROR(__xludf.DUMMYFUNCTION("""COMPUTED_VALUE"""),"2022-07-04T15:46:23.007Z")</f>
        <v>2022-07-04T15:46:23.007Z</v>
      </c>
      <c r="K1920" s="1"/>
    </row>
    <row r="1921">
      <c r="A1921" s="2" t="str">
        <f>IFERROR(__xludf.DUMMYFUNCTION("""COMPUTED_VALUE"""),"https://www.facebook.com/IZELMBG")</f>
        <v>https://www.facebook.com/IZELMBG</v>
      </c>
      <c r="B1921" s="1" t="str">
        <f>IFERROR(__xludf.DUMMYFUNCTION("""COMPUTED_VALUE"""),"Izel BG")</f>
        <v>Izel BG</v>
      </c>
      <c r="C1921" s="1" t="str">
        <f>IFERROR(__xludf.DUMMYFUNCTION("""COMPUTED_VALUE"""),"Izel")</f>
        <v>Izel</v>
      </c>
      <c r="D1921" s="1" t="str">
        <f>IFERROR(__xludf.DUMMYFUNCTION("""COMPUTED_VALUE"""),"BG")</f>
        <v>BG</v>
      </c>
      <c r="E1921" s="1" t="str">
        <f>IFERROR(__xludf.DUMMYFUNCTION("""COMPUTED_VALUE"""),"God bless mga #Kakampink ng Camanava! Patuloy na tumindig para sa maayos na pamamahala. #AngatBuhayLahat")</f>
        <v>God bless mga #Kakampink ng Camanava! Patuloy na tumindig para sa maayos na pamamahala. #AngatBuhayLahat</v>
      </c>
      <c r="F1921" s="1">
        <f>IFERROR(__xludf.DUMMYFUNCTION("""COMPUTED_VALUE"""),8.0)</f>
        <v>8</v>
      </c>
      <c r="G1921" s="1" t="str">
        <f>IFERROR(__xludf.DUMMYFUNCTION("""COMPUTED_VALUE"""),"3 mos")</f>
        <v>3 mos</v>
      </c>
      <c r="H1921" s="1" t="str">
        <f>IFERROR(__xludf.DUMMYFUNCTION("""COMPUTED_VALUE"""),"comment")</f>
        <v>comment</v>
      </c>
      <c r="I192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1" s="1" t="str">
        <f>IFERROR(__xludf.DUMMYFUNCTION("""COMPUTED_VALUE"""),"2022-07-04T15:46:23.007Z")</f>
        <v>2022-07-04T15:46:23.007Z</v>
      </c>
      <c r="K1921" s="1"/>
    </row>
    <row r="1922">
      <c r="A1922" s="2" t="str">
        <f>IFERROR(__xludf.DUMMYFUNCTION("""COMPUTED_VALUE"""),"https://www.facebook.com/cynthia.tumanut")</f>
        <v>https://www.facebook.com/cynthia.tumanut</v>
      </c>
      <c r="B1922" s="1" t="str">
        <f>IFERROR(__xludf.DUMMYFUNCTION("""COMPUTED_VALUE"""),"Cee EM Tee")</f>
        <v>Cee EM Tee</v>
      </c>
      <c r="C1922" s="1" t="str">
        <f>IFERROR(__xludf.DUMMYFUNCTION("""COMPUTED_VALUE"""),"Cee")</f>
        <v>Cee</v>
      </c>
      <c r="D1922" s="1" t="str">
        <f>IFERROR(__xludf.DUMMYFUNCTION("""COMPUTED_VALUE"""),"EM Tee")</f>
        <v>EM Tee</v>
      </c>
      <c r="E1922" s="1" t="str">
        <f>IFERROR(__xludf.DUMMYFUNCTION("""COMPUTED_VALUE"""),"Enjoy and be safe.. ❤️❤️❤️ God bless us all 🙏🌸🌸👆")</f>
        <v>Enjoy and be safe.. ❤️❤️❤️ God bless us all 🙏🌸🌸👆</v>
      </c>
      <c r="F1922" s="1">
        <f>IFERROR(__xludf.DUMMYFUNCTION("""COMPUTED_VALUE"""),9.0)</f>
        <v>9</v>
      </c>
      <c r="G1922" s="1" t="str">
        <f>IFERROR(__xludf.DUMMYFUNCTION("""COMPUTED_VALUE"""),"3 mos")</f>
        <v>3 mos</v>
      </c>
      <c r="H1922" s="1" t="str">
        <f>IFERROR(__xludf.DUMMYFUNCTION("""COMPUTED_VALUE"""),"comment")</f>
        <v>comment</v>
      </c>
      <c r="I192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2" s="1" t="str">
        <f>IFERROR(__xludf.DUMMYFUNCTION("""COMPUTED_VALUE"""),"2022-07-04T15:46:23.007Z")</f>
        <v>2022-07-04T15:46:23.007Z</v>
      </c>
      <c r="K1922" s="1"/>
    </row>
    <row r="1923">
      <c r="A1923" s="2" t="str">
        <f>IFERROR(__xludf.DUMMYFUNCTION("""COMPUTED_VALUE"""),"https://www.facebook.com/angatbuhayplantlovers/")</f>
        <v>https://www.facebook.com/angatbuhayplantlovers/</v>
      </c>
      <c r="B1923" s="1" t="str">
        <f>IFERROR(__xludf.DUMMYFUNCTION("""COMPUTED_VALUE"""),"Angat Buhay Plant Lovers")</f>
        <v>Angat Buhay Plant Lovers</v>
      </c>
      <c r="C1923" s="1" t="str">
        <f>IFERROR(__xludf.DUMMYFUNCTION("""COMPUTED_VALUE"""),"Angat")</f>
        <v>Angat</v>
      </c>
      <c r="D1923" s="1" t="str">
        <f>IFERROR(__xludf.DUMMYFUNCTION("""COMPUTED_VALUE"""),"Buhay Plant Lovers")</f>
        <v>Buhay Plant Lovers</v>
      </c>
      <c r="E1923" s="1" t="str">
        <f>IFERROR(__xludf.DUMMYFUNCTION("""COMPUTED_VALUE"""),"Marami pa po sa labas")</f>
        <v>Marami pa po sa labas</v>
      </c>
      <c r="F1923" s="1">
        <f>IFERROR(__xludf.DUMMYFUNCTION("""COMPUTED_VALUE"""),10.0)</f>
        <v>10</v>
      </c>
      <c r="G1923" s="1" t="str">
        <f>IFERROR(__xludf.DUMMYFUNCTION("""COMPUTED_VALUE"""),"3 mos")</f>
        <v>3 mos</v>
      </c>
      <c r="H1923" s="1" t="str">
        <f>IFERROR(__xludf.DUMMYFUNCTION("""COMPUTED_VALUE"""),"comment")</f>
        <v>comment</v>
      </c>
      <c r="I192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3" s="1" t="str">
        <f>IFERROR(__xludf.DUMMYFUNCTION("""COMPUTED_VALUE"""),"2022-07-04T15:46:23.007Z")</f>
        <v>2022-07-04T15:46:23.007Z</v>
      </c>
      <c r="K1923" s="1"/>
    </row>
    <row r="1924">
      <c r="A1924" s="2" t="str">
        <f>IFERROR(__xludf.DUMMYFUNCTION("""COMPUTED_VALUE"""),"https://www.facebook.com/edimar.maneser")</f>
        <v>https://www.facebook.com/edimar.maneser</v>
      </c>
      <c r="B1924" s="1" t="str">
        <f>IFERROR(__xludf.DUMMYFUNCTION("""COMPUTED_VALUE"""),"Edimar Maneser")</f>
        <v>Edimar Maneser</v>
      </c>
      <c r="C1924" s="1" t="str">
        <f>IFERROR(__xludf.DUMMYFUNCTION("""COMPUTED_VALUE"""),"Edimar")</f>
        <v>Edimar</v>
      </c>
      <c r="D1924" s="1" t="str">
        <f>IFERROR(__xludf.DUMMYFUNCTION("""COMPUTED_VALUE"""),"Maneser")</f>
        <v>Maneser</v>
      </c>
      <c r="E1924" s="1" t="str">
        <f>IFERROR(__xludf.DUMMYFUNCTION("""COMPUTED_VALUE"""),"Bkir lagging drone ung live ang ipakita nu dinadayanu ang mga tao")</f>
        <v>Bkir lagging drone ung live ang ipakita nu dinadayanu ang mga tao</v>
      </c>
      <c r="F1924" s="1"/>
      <c r="G1924" s="1" t="str">
        <f>IFERROR(__xludf.DUMMYFUNCTION("""COMPUTED_VALUE"""),"3 mos")</f>
        <v>3 mos</v>
      </c>
      <c r="H1924" s="1" t="str">
        <f>IFERROR(__xludf.DUMMYFUNCTION("""COMPUTED_VALUE"""),"comment")</f>
        <v>comment</v>
      </c>
      <c r="I192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4" s="1" t="str">
        <f>IFERROR(__xludf.DUMMYFUNCTION("""COMPUTED_VALUE"""),"2022-07-04T15:46:23.007Z")</f>
        <v>2022-07-04T15:46:23.007Z</v>
      </c>
      <c r="K1924" s="1"/>
    </row>
    <row r="1925">
      <c r="A1925" s="2" t="str">
        <f>IFERROR(__xludf.DUMMYFUNCTION("""COMPUTED_VALUE"""),"https://www.facebook.com/gemma.agcaoili.9028")</f>
        <v>https://www.facebook.com/gemma.agcaoili.9028</v>
      </c>
      <c r="B1925" s="1" t="str">
        <f>IFERROR(__xludf.DUMMYFUNCTION("""COMPUTED_VALUE"""),"Gemma Agcaoili")</f>
        <v>Gemma Agcaoili</v>
      </c>
      <c r="C1925" s="1" t="str">
        <f>IFERROR(__xludf.DUMMYFUNCTION("""COMPUTED_VALUE"""),"Gemma")</f>
        <v>Gemma</v>
      </c>
      <c r="D1925" s="1" t="str">
        <f>IFERROR(__xludf.DUMMYFUNCTION("""COMPUTED_VALUE"""),"Agcaoili")</f>
        <v>Agcaoili</v>
      </c>
      <c r="E1925" s="1" t="str">
        <f>IFERROR(__xludf.DUMMYFUNCTION("""COMPUTED_VALUE"""),"Thank you for all your support to our VP Lenie..❤")</f>
        <v>Thank you for all your support to our VP Lenie..❤</v>
      </c>
      <c r="F1925" s="1">
        <f>IFERROR(__xludf.DUMMYFUNCTION("""COMPUTED_VALUE"""),13.0)</f>
        <v>13</v>
      </c>
      <c r="G1925" s="1" t="str">
        <f>IFERROR(__xludf.DUMMYFUNCTION("""COMPUTED_VALUE"""),"3 mos")</f>
        <v>3 mos</v>
      </c>
      <c r="H1925" s="1" t="str">
        <f>IFERROR(__xludf.DUMMYFUNCTION("""COMPUTED_VALUE"""),"comment")</f>
        <v>comment</v>
      </c>
      <c r="I192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5" s="1" t="str">
        <f>IFERROR(__xludf.DUMMYFUNCTION("""COMPUTED_VALUE"""),"2022-07-04T15:46:23.007Z")</f>
        <v>2022-07-04T15:46:23.007Z</v>
      </c>
      <c r="K1925" s="1"/>
    </row>
    <row r="1926">
      <c r="A1926" s="2" t="str">
        <f>IFERROR(__xludf.DUMMYFUNCTION("""COMPUTED_VALUE"""),"https://www.facebook.com/TEJAYYYY.ihsakat")</f>
        <v>https://www.facebook.com/TEJAYYYY.ihsakat</v>
      </c>
      <c r="B1926" s="1" t="str">
        <f>IFERROR(__xludf.DUMMYFUNCTION("""COMPUTED_VALUE"""),"Takashi Nishimura")</f>
        <v>Takashi Nishimura</v>
      </c>
      <c r="C1926" s="1" t="str">
        <f>IFERROR(__xludf.DUMMYFUNCTION("""COMPUTED_VALUE"""),"Takashi")</f>
        <v>Takashi</v>
      </c>
      <c r="D1926" s="1" t="str">
        <f>IFERROR(__xludf.DUMMYFUNCTION("""COMPUTED_VALUE"""),"Nishimura")</f>
        <v>Nishimura</v>
      </c>
      <c r="E1926" s="1" t="str">
        <f>IFERROR(__xludf.DUMMYFUNCTION("""COMPUTED_VALUE"""),"Kahit nililibag na kami sa sobrang init ang saya po hihi")</f>
        <v>Kahit nililibag na kami sa sobrang init ang saya po hihi</v>
      </c>
      <c r="F1926" s="1">
        <f>IFERROR(__xludf.DUMMYFUNCTION("""COMPUTED_VALUE"""),5.0)</f>
        <v>5</v>
      </c>
      <c r="G1926" s="1" t="str">
        <f>IFERROR(__xludf.DUMMYFUNCTION("""COMPUTED_VALUE"""),"3 mos")</f>
        <v>3 mos</v>
      </c>
      <c r="H1926" s="1" t="str">
        <f>IFERROR(__xludf.DUMMYFUNCTION("""COMPUTED_VALUE"""),"comment")</f>
        <v>comment</v>
      </c>
      <c r="I192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6" s="1" t="str">
        <f>IFERROR(__xludf.DUMMYFUNCTION("""COMPUTED_VALUE"""),"2022-07-04T15:46:23.007Z")</f>
        <v>2022-07-04T15:46:23.007Z</v>
      </c>
      <c r="K1926" s="1"/>
    </row>
    <row r="1927">
      <c r="A1927" s="2" t="str">
        <f>IFERROR(__xludf.DUMMYFUNCTION("""COMPUTED_VALUE"""),"https://www.facebook.com/PeachCause")</f>
        <v>https://www.facebook.com/PeachCause</v>
      </c>
      <c r="B1927" s="1" t="str">
        <f>IFERROR(__xludf.DUMMYFUNCTION("""COMPUTED_VALUE"""),"Peach  Cause")</f>
        <v>Peach  Cause</v>
      </c>
      <c r="C1927" s="1" t="str">
        <f>IFERROR(__xludf.DUMMYFUNCTION("""COMPUTED_VALUE"""),"Peach")</f>
        <v>Peach</v>
      </c>
      <c r="D1927" s="1" t="str">
        <f>IFERROR(__xludf.DUMMYFUNCTION("""COMPUTED_VALUE"""),"Cause")</f>
        <v>Cause</v>
      </c>
      <c r="E1927" s="1" t="str">
        <f>IFERROR(__xludf.DUMMYFUNCTION("""COMPUTED_VALUE"""),"Oh mmya ssbihin madaming payong 🎀🌸🌷")</f>
        <v>Oh mmya ssbihin madaming payong 🎀🌸🌷</v>
      </c>
      <c r="F1927" s="1">
        <f>IFERROR(__xludf.DUMMYFUNCTION("""COMPUTED_VALUE"""),1.0)</f>
        <v>1</v>
      </c>
      <c r="G1927" s="1" t="str">
        <f>IFERROR(__xludf.DUMMYFUNCTION("""COMPUTED_VALUE"""),"3 mos")</f>
        <v>3 mos</v>
      </c>
      <c r="H1927" s="1" t="str">
        <f>IFERROR(__xludf.DUMMYFUNCTION("""COMPUTED_VALUE"""),"comment")</f>
        <v>comment</v>
      </c>
      <c r="I192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7" s="1" t="str">
        <f>IFERROR(__xludf.DUMMYFUNCTION("""COMPUTED_VALUE"""),"2022-07-04T15:46:23.007Z")</f>
        <v>2022-07-04T15:46:23.007Z</v>
      </c>
      <c r="K1927" s="1"/>
    </row>
    <row r="1928">
      <c r="A1928" s="2" t="str">
        <f>IFERROR(__xludf.DUMMYFUNCTION("""COMPUTED_VALUE"""),"https://www.facebook.com/rodrigo.lapidario16")</f>
        <v>https://www.facebook.com/rodrigo.lapidario16</v>
      </c>
      <c r="B1928" s="1" t="str">
        <f>IFERROR(__xludf.DUMMYFUNCTION("""COMPUTED_VALUE"""),"Rodrigo Lapidario")</f>
        <v>Rodrigo Lapidario</v>
      </c>
      <c r="C1928" s="1" t="str">
        <f>IFERROR(__xludf.DUMMYFUNCTION("""COMPUTED_VALUE"""),"Rodrigo")</f>
        <v>Rodrigo</v>
      </c>
      <c r="D1928" s="1" t="str">
        <f>IFERROR(__xludf.DUMMYFUNCTION("""COMPUTED_VALUE"""),"Lapidario")</f>
        <v>Lapidario</v>
      </c>
      <c r="E1928" s="1" t="str">
        <f>IFERROR(__xludf.DUMMYFUNCTION("""COMPUTED_VALUE"""),"Ngayon punong puno n grabe suporta ng caloocan....god bless po")</f>
        <v>Ngayon punong puno n grabe suporta ng caloocan....god bless po</v>
      </c>
      <c r="F1928" s="1">
        <f>IFERROR(__xludf.DUMMYFUNCTION("""COMPUTED_VALUE"""),12.0)</f>
        <v>12</v>
      </c>
      <c r="G1928" s="1" t="str">
        <f>IFERROR(__xludf.DUMMYFUNCTION("""COMPUTED_VALUE"""),"3 mos")</f>
        <v>3 mos</v>
      </c>
      <c r="H1928" s="1" t="str">
        <f>IFERROR(__xludf.DUMMYFUNCTION("""COMPUTED_VALUE"""),"comment")</f>
        <v>comment</v>
      </c>
      <c r="I192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8" s="1" t="str">
        <f>IFERROR(__xludf.DUMMYFUNCTION("""COMPUTED_VALUE"""),"2022-07-04T15:46:23.007Z")</f>
        <v>2022-07-04T15:46:23.007Z</v>
      </c>
      <c r="K1928" s="1"/>
    </row>
    <row r="1929">
      <c r="A1929" s="2" t="str">
        <f>IFERROR(__xludf.DUMMYFUNCTION("""COMPUTED_VALUE"""),"https://www.facebook.com/pedro.postrado.9")</f>
        <v>https://www.facebook.com/pedro.postrado.9</v>
      </c>
      <c r="B1929" s="1" t="str">
        <f>IFERROR(__xludf.DUMMYFUNCTION("""COMPUTED_VALUE"""),"Pedro Postrado")</f>
        <v>Pedro Postrado</v>
      </c>
      <c r="C1929" s="1" t="str">
        <f>IFERROR(__xludf.DUMMYFUNCTION("""COMPUTED_VALUE"""),"Pedro")</f>
        <v>Pedro</v>
      </c>
      <c r="D1929" s="1" t="str">
        <f>IFERROR(__xludf.DUMMYFUNCTION("""COMPUTED_VALUE"""),"Postrado")</f>
        <v>Postrado</v>
      </c>
      <c r="E1929" s="1" t="str">
        <f>IFERROR(__xludf.DUMMYFUNCTION("""COMPUTED_VALUE"""),"Ingat mga kakampinks!")</f>
        <v>Ingat mga kakampinks!</v>
      </c>
      <c r="F1929" s="1">
        <f>IFERROR(__xludf.DUMMYFUNCTION("""COMPUTED_VALUE"""),4.0)</f>
        <v>4</v>
      </c>
      <c r="G1929" s="1" t="str">
        <f>IFERROR(__xludf.DUMMYFUNCTION("""COMPUTED_VALUE"""),"3 mos")</f>
        <v>3 mos</v>
      </c>
      <c r="H1929" s="1" t="str">
        <f>IFERROR(__xludf.DUMMYFUNCTION("""COMPUTED_VALUE"""),"comment")</f>
        <v>comment</v>
      </c>
      <c r="I192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29" s="1" t="str">
        <f>IFERROR(__xludf.DUMMYFUNCTION("""COMPUTED_VALUE"""),"2022-07-04T15:46:23.007Z")</f>
        <v>2022-07-04T15:46:23.007Z</v>
      </c>
      <c r="K1929" s="1"/>
    </row>
    <row r="1930">
      <c r="A1930" s="2" t="str">
        <f>IFERROR(__xludf.DUMMYFUNCTION("""COMPUTED_VALUE"""),"https://www.facebook.com/alonzonoel.miclat.5")</f>
        <v>https://www.facebook.com/alonzonoel.miclat.5</v>
      </c>
      <c r="B1930" s="1" t="str">
        <f>IFERROR(__xludf.DUMMYFUNCTION("""COMPUTED_VALUE"""),"Alonzo Noel Miclat")</f>
        <v>Alonzo Noel Miclat</v>
      </c>
      <c r="C1930" s="1" t="str">
        <f>IFERROR(__xludf.DUMMYFUNCTION("""COMPUTED_VALUE"""),"Alonzo")</f>
        <v>Alonzo</v>
      </c>
      <c r="D1930" s="1" t="str">
        <f>IFERROR(__xludf.DUMMYFUNCTION("""COMPUTED_VALUE"""),"Noel Miclat")</f>
        <v>Noel Miclat</v>
      </c>
      <c r="E1930" s="1" t="str">
        <f>IFERROR(__xludf.DUMMYFUNCTION("""COMPUTED_VALUE"""),"Alonzo Noel Miclat")</f>
        <v>Alonzo Noel Miclat</v>
      </c>
      <c r="F1930" s="1"/>
      <c r="G1930" s="1" t="str">
        <f>IFERROR(__xludf.DUMMYFUNCTION("""COMPUTED_VALUE"""),"3 mos")</f>
        <v>3 mos</v>
      </c>
      <c r="H1930" s="1" t="str">
        <f>IFERROR(__xludf.DUMMYFUNCTION("""COMPUTED_VALUE"""),"comment")</f>
        <v>comment</v>
      </c>
      <c r="I193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0" s="1" t="str">
        <f>IFERROR(__xludf.DUMMYFUNCTION("""COMPUTED_VALUE"""),"2022-07-04T15:46:23.007Z")</f>
        <v>2022-07-04T15:46:23.007Z</v>
      </c>
      <c r="K1930" s="1"/>
    </row>
    <row r="1931">
      <c r="A1931" s="2" t="str">
        <f>IFERROR(__xludf.DUMMYFUNCTION("""COMPUTED_VALUE"""),"https://www.facebook.com/alonzonoel.miclat.5")</f>
        <v>https://www.facebook.com/alonzonoel.miclat.5</v>
      </c>
      <c r="B1931" s="1" t="str">
        <f>IFERROR(__xludf.DUMMYFUNCTION("""COMPUTED_VALUE"""),"Alonzo Noel Miclat")</f>
        <v>Alonzo Noel Miclat</v>
      </c>
      <c r="C1931" s="1" t="str">
        <f>IFERROR(__xludf.DUMMYFUNCTION("""COMPUTED_VALUE"""),"Alonzo")</f>
        <v>Alonzo</v>
      </c>
      <c r="D1931" s="1" t="str">
        <f>IFERROR(__xludf.DUMMYFUNCTION("""COMPUTED_VALUE"""),"Noel Miclat")</f>
        <v>Noel Miclat</v>
      </c>
      <c r="E1931" s="1" t="str">
        <f>IFERROR(__xludf.DUMMYFUNCTION("""COMPUTED_VALUE"""),"Alonzo Noel Miclat")</f>
        <v>Alonzo Noel Miclat</v>
      </c>
      <c r="F1931" s="1"/>
      <c r="G1931" s="1" t="str">
        <f>IFERROR(__xludf.DUMMYFUNCTION("""COMPUTED_VALUE"""),"3 mos")</f>
        <v>3 mos</v>
      </c>
      <c r="H1931" s="1" t="str">
        <f>IFERROR(__xludf.DUMMYFUNCTION("""COMPUTED_VALUE"""),"comment")</f>
        <v>comment</v>
      </c>
      <c r="I193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1" s="1" t="str">
        <f>IFERROR(__xludf.DUMMYFUNCTION("""COMPUTED_VALUE"""),"2022-07-04T15:46:23.007Z")</f>
        <v>2022-07-04T15:46:23.007Z</v>
      </c>
      <c r="K1931" s="1"/>
    </row>
    <row r="1932">
      <c r="A1932" s="2" t="str">
        <f>IFERROR(__xludf.DUMMYFUNCTION("""COMPUTED_VALUE"""),"https://www.facebook.com/rnl.mojica")</f>
        <v>https://www.facebook.com/rnl.mojica</v>
      </c>
      <c r="B1932" s="1" t="str">
        <f>IFERROR(__xludf.DUMMYFUNCTION("""COMPUTED_VALUE"""),"Ronil Trocio Mojica")</f>
        <v>Ronil Trocio Mojica</v>
      </c>
      <c r="C1932" s="1" t="str">
        <f>IFERROR(__xludf.DUMMYFUNCTION("""COMPUTED_VALUE"""),"Ronil")</f>
        <v>Ronil</v>
      </c>
      <c r="D1932" s="1" t="str">
        <f>IFERROR(__xludf.DUMMYFUNCTION("""COMPUTED_VALUE"""),"Trocio Mojica")</f>
        <v>Trocio Mojica</v>
      </c>
      <c r="E1932" s="1" t="str">
        <f>IFERROR(__xludf.DUMMYFUNCTION("""COMPUTED_VALUE"""),"Grace Alonzo")</f>
        <v>Grace Alonzo</v>
      </c>
      <c r="F1932" s="1"/>
      <c r="G1932" s="1" t="str">
        <f>IFERROR(__xludf.DUMMYFUNCTION("""COMPUTED_VALUE"""),"3 mos")</f>
        <v>3 mos</v>
      </c>
      <c r="H1932" s="1" t="str">
        <f>IFERROR(__xludf.DUMMYFUNCTION("""COMPUTED_VALUE"""),"comment")</f>
        <v>comment</v>
      </c>
      <c r="I193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2" s="1" t="str">
        <f>IFERROR(__xludf.DUMMYFUNCTION("""COMPUTED_VALUE"""),"2022-07-04T15:46:23.008Z")</f>
        <v>2022-07-04T15:46:23.008Z</v>
      </c>
      <c r="K1932" s="1"/>
    </row>
    <row r="1933">
      <c r="A1933" s="2" t="str">
        <f>IFERROR(__xludf.DUMMYFUNCTION("""COMPUTED_VALUE"""),"https://www.facebook.com/nandy.lucero")</f>
        <v>https://www.facebook.com/nandy.lucero</v>
      </c>
      <c r="B1933" s="1" t="str">
        <f>IFERROR(__xludf.DUMMYFUNCTION("""COMPUTED_VALUE"""),"Ferdinand O. Lucero")</f>
        <v>Ferdinand O. Lucero</v>
      </c>
      <c r="C1933" s="1" t="str">
        <f>IFERROR(__xludf.DUMMYFUNCTION("""COMPUTED_VALUE"""),"Ferdinand")</f>
        <v>Ferdinand</v>
      </c>
      <c r="D1933" s="1" t="str">
        <f>IFERROR(__xludf.DUMMYFUNCTION("""COMPUTED_VALUE"""),"O. Lucero")</f>
        <v>O. Lucero</v>
      </c>
      <c r="E1933" s="1" t="str">
        <f>IFERROR(__xludf.DUMMYFUNCTION("""COMPUTED_VALUE"""),"Ferdinand O. Lucero")</f>
        <v>Ferdinand O. Lucero</v>
      </c>
      <c r="F1933" s="1">
        <f>IFERROR(__xludf.DUMMYFUNCTION("""COMPUTED_VALUE"""),1.0)</f>
        <v>1</v>
      </c>
      <c r="G1933" s="1" t="str">
        <f>IFERROR(__xludf.DUMMYFUNCTION("""COMPUTED_VALUE"""),"3 mos")</f>
        <v>3 mos</v>
      </c>
      <c r="H1933" s="1" t="str">
        <f>IFERROR(__xludf.DUMMYFUNCTION("""COMPUTED_VALUE"""),"comment")</f>
        <v>comment</v>
      </c>
      <c r="I193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3" s="1" t="str">
        <f>IFERROR(__xludf.DUMMYFUNCTION("""COMPUTED_VALUE"""),"2022-07-04T15:46:23.008Z")</f>
        <v>2022-07-04T15:46:23.008Z</v>
      </c>
      <c r="K1933" s="1"/>
    </row>
    <row r="1934">
      <c r="A1934" s="2" t="str">
        <f>IFERROR(__xludf.DUMMYFUNCTION("""COMPUTED_VALUE"""),"https://www.facebook.com/niwafrancis")</f>
        <v>https://www.facebook.com/niwafrancis</v>
      </c>
      <c r="B1934" s="1" t="str">
        <f>IFERROR(__xludf.DUMMYFUNCTION("""COMPUTED_VALUE"""),"Ki Ko")</f>
        <v>Ki Ko</v>
      </c>
      <c r="C1934" s="1" t="str">
        <f>IFERROR(__xludf.DUMMYFUNCTION("""COMPUTED_VALUE"""),"Ki")</f>
        <v>Ki</v>
      </c>
      <c r="D1934" s="1" t="str">
        <f>IFERROR(__xludf.DUMMYFUNCTION("""COMPUTED_VALUE"""),"Ko")</f>
        <v>Ko</v>
      </c>
      <c r="E1934" s="1" t="str">
        <f>IFERROR(__xludf.DUMMYFUNCTION("""COMPUTED_VALUE"""),"🌸💖💖")</f>
        <v>🌸💖💖</v>
      </c>
      <c r="F1934" s="1"/>
      <c r="G1934" s="1" t="str">
        <f>IFERROR(__xludf.DUMMYFUNCTION("""COMPUTED_VALUE"""),"3 mos")</f>
        <v>3 mos</v>
      </c>
      <c r="H1934" s="1" t="str">
        <f>IFERROR(__xludf.DUMMYFUNCTION("""COMPUTED_VALUE"""),"comment")</f>
        <v>comment</v>
      </c>
      <c r="I193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4" s="1" t="str">
        <f>IFERROR(__xludf.DUMMYFUNCTION("""COMPUTED_VALUE"""),"2022-07-04T15:46:23.008Z")</f>
        <v>2022-07-04T15:46:23.008Z</v>
      </c>
      <c r="K1934" s="1"/>
    </row>
    <row r="1935">
      <c r="A1935" s="2" t="str">
        <f>IFERROR(__xludf.DUMMYFUNCTION("""COMPUTED_VALUE"""),"https://www.facebook.com/alonzonoel.miclat.5")</f>
        <v>https://www.facebook.com/alonzonoel.miclat.5</v>
      </c>
      <c r="B1935" s="1" t="str">
        <f>IFERROR(__xludf.DUMMYFUNCTION("""COMPUTED_VALUE"""),"Alonzo Noel Miclat")</f>
        <v>Alonzo Noel Miclat</v>
      </c>
      <c r="C1935" s="1" t="str">
        <f>IFERROR(__xludf.DUMMYFUNCTION("""COMPUTED_VALUE"""),"Alonzo")</f>
        <v>Alonzo</v>
      </c>
      <c r="D1935" s="1" t="str">
        <f>IFERROR(__xludf.DUMMYFUNCTION("""COMPUTED_VALUE"""),"Noel Miclat")</f>
        <v>Noel Miclat</v>
      </c>
      <c r="E1935" s="1" t="str">
        <f>IFERROR(__xludf.DUMMYFUNCTION("""COMPUTED_VALUE"""),"Alonzo Noel Miclat")</f>
        <v>Alonzo Noel Miclat</v>
      </c>
      <c r="F1935" s="1"/>
      <c r="G1935" s="1" t="str">
        <f>IFERROR(__xludf.DUMMYFUNCTION("""COMPUTED_VALUE"""),"3 mos")</f>
        <v>3 mos</v>
      </c>
      <c r="H1935" s="1" t="str">
        <f>IFERROR(__xludf.DUMMYFUNCTION("""COMPUTED_VALUE"""),"comment")</f>
        <v>comment</v>
      </c>
      <c r="I193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5" s="1" t="str">
        <f>IFERROR(__xludf.DUMMYFUNCTION("""COMPUTED_VALUE"""),"2022-07-04T15:46:23.008Z")</f>
        <v>2022-07-04T15:46:23.008Z</v>
      </c>
      <c r="K1935" s="1"/>
    </row>
    <row r="1936">
      <c r="A1936" s="2" t="str">
        <f>IFERROR(__xludf.DUMMYFUNCTION("""COMPUTED_VALUE"""),"https://www.facebook.com/nandy.lucero")</f>
        <v>https://www.facebook.com/nandy.lucero</v>
      </c>
      <c r="B1936" s="1" t="str">
        <f>IFERROR(__xludf.DUMMYFUNCTION("""COMPUTED_VALUE"""),"Ferdinand O. Lucero")</f>
        <v>Ferdinand O. Lucero</v>
      </c>
      <c r="C1936" s="1" t="str">
        <f>IFERROR(__xludf.DUMMYFUNCTION("""COMPUTED_VALUE"""),"Ferdinand")</f>
        <v>Ferdinand</v>
      </c>
      <c r="D1936" s="1" t="str">
        <f>IFERROR(__xludf.DUMMYFUNCTION("""COMPUTED_VALUE"""),"O. Lucero")</f>
        <v>O. Lucero</v>
      </c>
      <c r="E1936" s="1" t="str">
        <f>IFERROR(__xludf.DUMMYFUNCTION("""COMPUTED_VALUE"""),"Ferdinand O. Lucero")</f>
        <v>Ferdinand O. Lucero</v>
      </c>
      <c r="F1936" s="1">
        <f>IFERROR(__xludf.DUMMYFUNCTION("""COMPUTED_VALUE"""),1.0)</f>
        <v>1</v>
      </c>
      <c r="G1936" s="1" t="str">
        <f>IFERROR(__xludf.DUMMYFUNCTION("""COMPUTED_VALUE"""),"3 mos")</f>
        <v>3 mos</v>
      </c>
      <c r="H1936" s="1" t="str">
        <f>IFERROR(__xludf.DUMMYFUNCTION("""COMPUTED_VALUE"""),"comment")</f>
        <v>comment</v>
      </c>
      <c r="I193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6" s="1" t="str">
        <f>IFERROR(__xludf.DUMMYFUNCTION("""COMPUTED_VALUE"""),"2022-07-04T15:46:23.008Z")</f>
        <v>2022-07-04T15:46:23.008Z</v>
      </c>
      <c r="K1936" s="1"/>
    </row>
    <row r="1937">
      <c r="A1937" s="2" t="str">
        <f>IFERROR(__xludf.DUMMYFUNCTION("""COMPUTED_VALUE"""),"https://www.facebook.com/chye.phe")</f>
        <v>https://www.facebook.com/chye.phe</v>
      </c>
      <c r="B1937" s="1" t="str">
        <f>IFERROR(__xludf.DUMMYFUNCTION("""COMPUTED_VALUE"""),"Phen GV")</f>
        <v>Phen GV</v>
      </c>
      <c r="C1937" s="1" t="str">
        <f>IFERROR(__xludf.DUMMYFUNCTION("""COMPUTED_VALUE"""),"Phen")</f>
        <v>Phen</v>
      </c>
      <c r="D1937" s="1" t="str">
        <f>IFERROR(__xludf.DUMMYFUNCTION("""COMPUTED_VALUE"""),"GV")</f>
        <v>GV</v>
      </c>
      <c r="E1937" s="1" t="str">
        <f>IFERROR(__xludf.DUMMYFUNCTION("""COMPUTED_VALUE"""),"💖💖💖")</f>
        <v>💖💖💖</v>
      </c>
      <c r="F1937" s="1"/>
      <c r="G1937" s="1" t="str">
        <f>IFERROR(__xludf.DUMMYFUNCTION("""COMPUTED_VALUE"""),"3 mos")</f>
        <v>3 mos</v>
      </c>
      <c r="H1937" s="1" t="str">
        <f>IFERROR(__xludf.DUMMYFUNCTION("""COMPUTED_VALUE"""),"comment")</f>
        <v>comment</v>
      </c>
      <c r="I193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7" s="1" t="str">
        <f>IFERROR(__xludf.DUMMYFUNCTION("""COMPUTED_VALUE"""),"2022-07-04T15:46:23.008Z")</f>
        <v>2022-07-04T15:46:23.008Z</v>
      </c>
      <c r="K1937" s="1"/>
    </row>
    <row r="1938">
      <c r="A1938" s="2" t="str">
        <f>IFERROR(__xludf.DUMMYFUNCTION("""COMPUTED_VALUE"""),"https://www.facebook.com/pogingmabagsik")</f>
        <v>https://www.facebook.com/pogingmabagsik</v>
      </c>
      <c r="B1938" s="1" t="str">
        <f>IFERROR(__xludf.DUMMYFUNCTION("""COMPUTED_VALUE"""),"Randy Cabañero")</f>
        <v>Randy Cabañero</v>
      </c>
      <c r="C1938" s="1" t="str">
        <f>IFERROR(__xludf.DUMMYFUNCTION("""COMPUTED_VALUE"""),"Randy")</f>
        <v>Randy</v>
      </c>
      <c r="D1938" s="1" t="str">
        <f>IFERROR(__xludf.DUMMYFUNCTION("""COMPUTED_VALUE"""),"Cabañero")</f>
        <v>Cabañero</v>
      </c>
      <c r="E1938" s="1" t="str">
        <f>IFERROR(__xludf.DUMMYFUNCTION("""COMPUTED_VALUE"""),"💖💖💖")</f>
        <v>💖💖💖</v>
      </c>
      <c r="F1938" s="1"/>
      <c r="G1938" s="1" t="str">
        <f>IFERROR(__xludf.DUMMYFUNCTION("""COMPUTED_VALUE"""),"3 mos")</f>
        <v>3 mos</v>
      </c>
      <c r="H1938" s="1" t="str">
        <f>IFERROR(__xludf.DUMMYFUNCTION("""COMPUTED_VALUE"""),"comment")</f>
        <v>comment</v>
      </c>
      <c r="I193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8" s="1" t="str">
        <f>IFERROR(__xludf.DUMMYFUNCTION("""COMPUTED_VALUE"""),"2022-07-04T15:46:23.008Z")</f>
        <v>2022-07-04T15:46:23.008Z</v>
      </c>
      <c r="K1938" s="1"/>
    </row>
    <row r="1939">
      <c r="A1939" s="2" t="str">
        <f>IFERROR(__xludf.DUMMYFUNCTION("""COMPUTED_VALUE"""),"https://www.facebook.com/olan.sulbiano")</f>
        <v>https://www.facebook.com/olan.sulbiano</v>
      </c>
      <c r="B1939" s="1" t="str">
        <f>IFERROR(__xludf.DUMMYFUNCTION("""COMPUTED_VALUE"""),"Olan Sulbiano")</f>
        <v>Olan Sulbiano</v>
      </c>
      <c r="C1939" s="1" t="str">
        <f>IFERROR(__xludf.DUMMYFUNCTION("""COMPUTED_VALUE"""),"Olan")</f>
        <v>Olan</v>
      </c>
      <c r="D1939" s="1" t="str">
        <f>IFERROR(__xludf.DUMMYFUNCTION("""COMPUTED_VALUE"""),"Sulbiano")</f>
        <v>Sulbiano</v>
      </c>
      <c r="E1939" s="1" t="str">
        <f>IFERROR(__xludf.DUMMYFUNCTION("""COMPUTED_VALUE"""),"Olan Sulbiano")</f>
        <v>Olan Sulbiano</v>
      </c>
      <c r="F1939" s="1">
        <f>IFERROR(__xludf.DUMMYFUNCTION("""COMPUTED_VALUE"""),1.0)</f>
        <v>1</v>
      </c>
      <c r="G1939" s="1" t="str">
        <f>IFERROR(__xludf.DUMMYFUNCTION("""COMPUTED_VALUE"""),"3 mos")</f>
        <v>3 mos</v>
      </c>
      <c r="H1939" s="1" t="str">
        <f>IFERROR(__xludf.DUMMYFUNCTION("""COMPUTED_VALUE"""),"comment")</f>
        <v>comment</v>
      </c>
      <c r="I193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39" s="1" t="str">
        <f>IFERROR(__xludf.DUMMYFUNCTION("""COMPUTED_VALUE"""),"2022-07-04T15:46:23.008Z")</f>
        <v>2022-07-04T15:46:23.008Z</v>
      </c>
      <c r="K1939" s="1"/>
    </row>
    <row r="1940">
      <c r="A1940" s="2" t="str">
        <f>IFERROR(__xludf.DUMMYFUNCTION("""COMPUTED_VALUE"""),"https://www.facebook.com/ofel.chico")</f>
        <v>https://www.facebook.com/ofel.chico</v>
      </c>
      <c r="B1940" s="1" t="str">
        <f>IFERROR(__xludf.DUMMYFUNCTION("""COMPUTED_VALUE"""),"Feiola Gonz")</f>
        <v>Feiola Gonz</v>
      </c>
      <c r="C1940" s="1" t="str">
        <f>IFERROR(__xludf.DUMMYFUNCTION("""COMPUTED_VALUE"""),"Feiola")</f>
        <v>Feiola</v>
      </c>
      <c r="D1940" s="1" t="str">
        <f>IFERROR(__xludf.DUMMYFUNCTION("""COMPUTED_VALUE"""),"Gonz")</f>
        <v>Gonz</v>
      </c>
      <c r="E1940" s="1" t="str">
        <f>IFERROR(__xludf.DUMMYFUNCTION("""COMPUTED_VALUE"""),"🌸💞🌷")</f>
        <v>🌸💞🌷</v>
      </c>
      <c r="F1940" s="1"/>
      <c r="G1940" s="1" t="str">
        <f>IFERROR(__xludf.DUMMYFUNCTION("""COMPUTED_VALUE"""),"3 mos")</f>
        <v>3 mos</v>
      </c>
      <c r="H1940" s="1" t="str">
        <f>IFERROR(__xludf.DUMMYFUNCTION("""COMPUTED_VALUE"""),"comment")</f>
        <v>comment</v>
      </c>
      <c r="I194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0" s="1" t="str">
        <f>IFERROR(__xludf.DUMMYFUNCTION("""COMPUTED_VALUE"""),"2022-07-04T15:46:23.008Z")</f>
        <v>2022-07-04T15:46:23.008Z</v>
      </c>
      <c r="K1940" s="1"/>
    </row>
    <row r="1941">
      <c r="A1941" s="2" t="str">
        <f>IFERROR(__xludf.DUMMYFUNCTION("""COMPUTED_VALUE"""),"https://www.facebook.com/melanie.marquez.39395")</f>
        <v>https://www.facebook.com/melanie.marquez.39395</v>
      </c>
      <c r="B1941" s="1" t="str">
        <f>IFERROR(__xludf.DUMMYFUNCTION("""COMPUTED_VALUE"""),"Melanie Martinez Marquez")</f>
        <v>Melanie Martinez Marquez</v>
      </c>
      <c r="C1941" s="1" t="str">
        <f>IFERROR(__xludf.DUMMYFUNCTION("""COMPUTED_VALUE"""),"Melanie")</f>
        <v>Melanie</v>
      </c>
      <c r="D1941" s="1" t="str">
        <f>IFERROR(__xludf.DUMMYFUNCTION("""COMPUTED_VALUE"""),"Martinez Marquez")</f>
        <v>Martinez Marquez</v>
      </c>
      <c r="E1941" s="1" t="str">
        <f>IFERROR(__xludf.DUMMYFUNCTION("""COMPUTED_VALUE"""),"💖💖💖")</f>
        <v>💖💖💖</v>
      </c>
      <c r="F1941" s="1"/>
      <c r="G1941" s="1" t="str">
        <f>IFERROR(__xludf.DUMMYFUNCTION("""COMPUTED_VALUE"""),"3 mos")</f>
        <v>3 mos</v>
      </c>
      <c r="H1941" s="1" t="str">
        <f>IFERROR(__xludf.DUMMYFUNCTION("""COMPUTED_VALUE"""),"comment")</f>
        <v>comment</v>
      </c>
      <c r="I194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1" s="1" t="str">
        <f>IFERROR(__xludf.DUMMYFUNCTION("""COMPUTED_VALUE"""),"2022-07-04T15:46:23.008Z")</f>
        <v>2022-07-04T15:46:23.008Z</v>
      </c>
      <c r="K1941" s="1"/>
    </row>
    <row r="1942">
      <c r="A1942" s="2" t="str">
        <f>IFERROR(__xludf.DUMMYFUNCTION("""COMPUTED_VALUE"""),"https://www.facebook.com/kaesi.katakamu")</f>
        <v>https://www.facebook.com/kaesi.katakamu</v>
      </c>
      <c r="B1942" s="1" t="str">
        <f>IFERROR(__xludf.DUMMYFUNCTION("""COMPUTED_VALUE"""),"Kaesi Catahum Katakamu")</f>
        <v>Kaesi Catahum Katakamu</v>
      </c>
      <c r="C1942" s="1" t="str">
        <f>IFERROR(__xludf.DUMMYFUNCTION("""COMPUTED_VALUE"""),"Kaesi")</f>
        <v>Kaesi</v>
      </c>
      <c r="D1942" s="1" t="str">
        <f>IFERROR(__xludf.DUMMYFUNCTION("""COMPUTED_VALUE"""),"Catahum Katakamu")</f>
        <v>Catahum Katakamu</v>
      </c>
      <c r="E1942" s="1" t="str">
        <f>IFERROR(__xludf.DUMMYFUNCTION("""COMPUTED_VALUE"""),"🌸🌸🌸🌸🌸🌸")</f>
        <v>🌸🌸🌸🌸🌸🌸</v>
      </c>
      <c r="F1942" s="1"/>
      <c r="G1942" s="1" t="str">
        <f>IFERROR(__xludf.DUMMYFUNCTION("""COMPUTED_VALUE"""),"3 mos")</f>
        <v>3 mos</v>
      </c>
      <c r="H1942" s="1" t="str">
        <f>IFERROR(__xludf.DUMMYFUNCTION("""COMPUTED_VALUE"""),"comment")</f>
        <v>comment</v>
      </c>
      <c r="I194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2" s="1" t="str">
        <f>IFERROR(__xludf.DUMMYFUNCTION("""COMPUTED_VALUE"""),"2022-07-04T15:46:23.008Z")</f>
        <v>2022-07-04T15:46:23.008Z</v>
      </c>
      <c r="K1942" s="1"/>
    </row>
    <row r="1943">
      <c r="A1943" s="2" t="str">
        <f>IFERROR(__xludf.DUMMYFUNCTION("""COMPUTED_VALUE"""),"https://www.facebook.com/simonette.dacara")</f>
        <v>https://www.facebook.com/simonette.dacara</v>
      </c>
      <c r="B1943" s="1" t="str">
        <f>IFERROR(__xludf.DUMMYFUNCTION("""COMPUTED_VALUE"""),"Monette Dupaya Dacara")</f>
        <v>Monette Dupaya Dacara</v>
      </c>
      <c r="C1943" s="1" t="str">
        <f>IFERROR(__xludf.DUMMYFUNCTION("""COMPUTED_VALUE"""),"Monette")</f>
        <v>Monette</v>
      </c>
      <c r="D1943" s="1" t="str">
        <f>IFERROR(__xludf.DUMMYFUNCTION("""COMPUTED_VALUE"""),"Dupaya Dacara")</f>
        <v>Dupaya Dacara</v>
      </c>
      <c r="E1943" s="1" t="str">
        <f>IFERROR(__xludf.DUMMYFUNCTION("""COMPUTED_VALUE"""),"💕💕💕💕")</f>
        <v>💕💕💕💕</v>
      </c>
      <c r="F1943" s="1"/>
      <c r="G1943" s="1" t="str">
        <f>IFERROR(__xludf.DUMMYFUNCTION("""COMPUTED_VALUE"""),"3 mos")</f>
        <v>3 mos</v>
      </c>
      <c r="H1943" s="1" t="str">
        <f>IFERROR(__xludf.DUMMYFUNCTION("""COMPUTED_VALUE"""),"comment")</f>
        <v>comment</v>
      </c>
      <c r="I194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3" s="1" t="str">
        <f>IFERROR(__xludf.DUMMYFUNCTION("""COMPUTED_VALUE"""),"2022-07-04T15:46:23.008Z")</f>
        <v>2022-07-04T15:46:23.008Z</v>
      </c>
      <c r="K1943" s="1"/>
    </row>
    <row r="1944">
      <c r="A1944" s="2" t="str">
        <f>IFERROR(__xludf.DUMMYFUNCTION("""COMPUTED_VALUE"""),"https://www.facebook.com/paz.ete.7")</f>
        <v>https://www.facebook.com/paz.ete.7</v>
      </c>
      <c r="B1944" s="1" t="str">
        <f>IFERROR(__xludf.DUMMYFUNCTION("""COMPUTED_VALUE"""),"PazForneloza Ete")</f>
        <v>PazForneloza Ete</v>
      </c>
      <c r="C1944" s="1" t="str">
        <f>IFERROR(__xludf.DUMMYFUNCTION("""COMPUTED_VALUE"""),"PazForneloza")</f>
        <v>PazForneloza</v>
      </c>
      <c r="D1944" s="1" t="str">
        <f>IFERROR(__xludf.DUMMYFUNCTION("""COMPUTED_VALUE"""),"Ete")</f>
        <v>Ete</v>
      </c>
      <c r="E1944" s="1" t="str">
        <f>IFERROR(__xludf.DUMMYFUNCTION("""COMPUTED_VALUE"""),"💗💗💗")</f>
        <v>💗💗💗</v>
      </c>
      <c r="F1944" s="1"/>
      <c r="G1944" s="1" t="str">
        <f>IFERROR(__xludf.DUMMYFUNCTION("""COMPUTED_VALUE"""),"3 mos")</f>
        <v>3 mos</v>
      </c>
      <c r="H1944" s="1" t="str">
        <f>IFERROR(__xludf.DUMMYFUNCTION("""COMPUTED_VALUE"""),"comment")</f>
        <v>comment</v>
      </c>
      <c r="I194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4" s="1" t="str">
        <f>IFERROR(__xludf.DUMMYFUNCTION("""COMPUTED_VALUE"""),"2022-07-04T15:46:23.008Z")</f>
        <v>2022-07-04T15:46:23.008Z</v>
      </c>
      <c r="K1944" s="1"/>
    </row>
    <row r="1945">
      <c r="A1945" s="2" t="str">
        <f>IFERROR(__xludf.DUMMYFUNCTION("""COMPUTED_VALUE"""),"https://www.facebook.com/anabelma.abrera")</f>
        <v>https://www.facebook.com/anabelma.abrera</v>
      </c>
      <c r="B1945" s="1" t="str">
        <f>IFERROR(__xludf.DUMMYFUNCTION("""COMPUTED_VALUE"""),"Ana Acedillo Abrera")</f>
        <v>Ana Acedillo Abrera</v>
      </c>
      <c r="C1945" s="1" t="str">
        <f>IFERROR(__xludf.DUMMYFUNCTION("""COMPUTED_VALUE"""),"Ana")</f>
        <v>Ana</v>
      </c>
      <c r="D1945" s="1" t="str">
        <f>IFERROR(__xludf.DUMMYFUNCTION("""COMPUTED_VALUE"""),"Acedillo Abrera")</f>
        <v>Acedillo Abrera</v>
      </c>
      <c r="E1945" s="1" t="str">
        <f>IFERROR(__xludf.DUMMYFUNCTION("""COMPUTED_VALUE"""),"🌷🌷🌷")</f>
        <v>🌷🌷🌷</v>
      </c>
      <c r="F1945" s="1"/>
      <c r="G1945" s="1" t="str">
        <f>IFERROR(__xludf.DUMMYFUNCTION("""COMPUTED_VALUE"""),"3 mos")</f>
        <v>3 mos</v>
      </c>
      <c r="H1945" s="1" t="str">
        <f>IFERROR(__xludf.DUMMYFUNCTION("""COMPUTED_VALUE"""),"comment")</f>
        <v>comment</v>
      </c>
      <c r="I194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5" s="1" t="str">
        <f>IFERROR(__xludf.DUMMYFUNCTION("""COMPUTED_VALUE"""),"2022-07-04T15:46:23.008Z")</f>
        <v>2022-07-04T15:46:23.008Z</v>
      </c>
      <c r="K1945" s="1"/>
    </row>
    <row r="1946">
      <c r="A1946" s="2" t="str">
        <f>IFERROR(__xludf.DUMMYFUNCTION("""COMPUTED_VALUE"""),"https://www.facebook.com/roman.rapido.5076")</f>
        <v>https://www.facebook.com/roman.rapido.5076</v>
      </c>
      <c r="B1946" s="1" t="str">
        <f>IFERROR(__xludf.DUMMYFUNCTION("""COMPUTED_VALUE"""),"Rapido Roman FG")</f>
        <v>Rapido Roman FG</v>
      </c>
      <c r="C1946" s="1" t="str">
        <f>IFERROR(__xludf.DUMMYFUNCTION("""COMPUTED_VALUE"""),"Rapido")</f>
        <v>Rapido</v>
      </c>
      <c r="D1946" s="1" t="str">
        <f>IFERROR(__xludf.DUMMYFUNCTION("""COMPUTED_VALUE"""),"Roman FG")</f>
        <v>Roman FG</v>
      </c>
      <c r="E1946" s="1" t="str">
        <f>IFERROR(__xludf.DUMMYFUNCTION("""COMPUTED_VALUE"""),"👍👍👍")</f>
        <v>👍👍👍</v>
      </c>
      <c r="F1946" s="1"/>
      <c r="G1946" s="1" t="str">
        <f>IFERROR(__xludf.DUMMYFUNCTION("""COMPUTED_VALUE"""),"3 mos")</f>
        <v>3 mos</v>
      </c>
      <c r="H1946" s="1" t="str">
        <f>IFERROR(__xludf.DUMMYFUNCTION("""COMPUTED_VALUE"""),"comment")</f>
        <v>comment</v>
      </c>
      <c r="I194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6" s="1" t="str">
        <f>IFERROR(__xludf.DUMMYFUNCTION("""COMPUTED_VALUE"""),"2022-07-04T15:46:23.008Z")</f>
        <v>2022-07-04T15:46:23.008Z</v>
      </c>
      <c r="K1946" s="1"/>
    </row>
    <row r="1947">
      <c r="A1947" s="2" t="str">
        <f>IFERROR(__xludf.DUMMYFUNCTION("""COMPUTED_VALUE"""),"https://www.facebook.com/jennifer.alison")</f>
        <v>https://www.facebook.com/jennifer.alison</v>
      </c>
      <c r="B1947" s="1" t="str">
        <f>IFERROR(__xludf.DUMMYFUNCTION("""COMPUTED_VALUE"""),"Jennifer Tan Alison")</f>
        <v>Jennifer Tan Alison</v>
      </c>
      <c r="C1947" s="1" t="str">
        <f>IFERROR(__xludf.DUMMYFUNCTION("""COMPUTED_VALUE"""),"Jennifer")</f>
        <v>Jennifer</v>
      </c>
      <c r="D1947" s="1" t="str">
        <f>IFERROR(__xludf.DUMMYFUNCTION("""COMPUTED_VALUE"""),"Tan Alison")</f>
        <v>Tan Alison</v>
      </c>
      <c r="E1947" s="1" t="str">
        <f>IFERROR(__xludf.DUMMYFUNCTION("""COMPUTED_VALUE"""),"🌷🌷🌷🌷🌷🌷")</f>
        <v>🌷🌷🌷🌷🌷🌷</v>
      </c>
      <c r="F1947" s="1"/>
      <c r="G1947" s="1" t="str">
        <f>IFERROR(__xludf.DUMMYFUNCTION("""COMPUTED_VALUE"""),"3 mos")</f>
        <v>3 mos</v>
      </c>
      <c r="H1947" s="1" t="str">
        <f>IFERROR(__xludf.DUMMYFUNCTION("""COMPUTED_VALUE"""),"comment")</f>
        <v>comment</v>
      </c>
      <c r="I194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7" s="1" t="str">
        <f>IFERROR(__xludf.DUMMYFUNCTION("""COMPUTED_VALUE"""),"2022-07-04T15:46:23.008Z")</f>
        <v>2022-07-04T15:46:23.008Z</v>
      </c>
      <c r="K1947" s="1"/>
    </row>
    <row r="1948">
      <c r="A1948" s="2" t="str">
        <f>IFERROR(__xludf.DUMMYFUNCTION("""COMPUTED_VALUE"""),"https://www.facebook.com/akosimark")</f>
        <v>https://www.facebook.com/akosimark</v>
      </c>
      <c r="B1948" s="1" t="str">
        <f>IFERROR(__xludf.DUMMYFUNCTION("""COMPUTED_VALUE"""),"Mark Tabique")</f>
        <v>Mark Tabique</v>
      </c>
      <c r="C1948" s="1" t="str">
        <f>IFERROR(__xludf.DUMMYFUNCTION("""COMPUTED_VALUE"""),"Mark")</f>
        <v>Mark</v>
      </c>
      <c r="D1948" s="1" t="str">
        <f>IFERROR(__xludf.DUMMYFUNCTION("""COMPUTED_VALUE"""),"Tabique")</f>
        <v>Tabique</v>
      </c>
      <c r="E1948" s="1" t="str">
        <f>IFERROR(__xludf.DUMMYFUNCTION("""COMPUTED_VALUE"""),"💗💗💗🌸🌸🌸")</f>
        <v>💗💗💗🌸🌸🌸</v>
      </c>
      <c r="F1948" s="1"/>
      <c r="G1948" s="1" t="str">
        <f>IFERROR(__xludf.DUMMYFUNCTION("""COMPUTED_VALUE"""),"3 mos")</f>
        <v>3 mos</v>
      </c>
      <c r="H1948" s="1" t="str">
        <f>IFERROR(__xludf.DUMMYFUNCTION("""COMPUTED_VALUE"""),"comment")</f>
        <v>comment</v>
      </c>
      <c r="I194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8" s="1" t="str">
        <f>IFERROR(__xludf.DUMMYFUNCTION("""COMPUTED_VALUE"""),"2022-07-04T15:46:23.008Z")</f>
        <v>2022-07-04T15:46:23.008Z</v>
      </c>
      <c r="K1948" s="1"/>
    </row>
    <row r="1949">
      <c r="A1949" s="2" t="str">
        <f>IFERROR(__xludf.DUMMYFUNCTION("""COMPUTED_VALUE"""),"https://www.facebook.com/monroyfrancescaong")</f>
        <v>https://www.facebook.com/monroyfrancescaong</v>
      </c>
      <c r="B1949" s="1" t="str">
        <f>IFERROR(__xludf.DUMMYFUNCTION("""COMPUTED_VALUE"""),"Francesca Monroy-Ong")</f>
        <v>Francesca Monroy-Ong</v>
      </c>
      <c r="C1949" s="1" t="str">
        <f>IFERROR(__xludf.DUMMYFUNCTION("""COMPUTED_VALUE"""),"Francesca")</f>
        <v>Francesca</v>
      </c>
      <c r="D1949" s="1" t="str">
        <f>IFERROR(__xludf.DUMMYFUNCTION("""COMPUTED_VALUE"""),"Monroy-Ong")</f>
        <v>Monroy-Ong</v>
      </c>
      <c r="E1949" s="1" t="str">
        <f>IFERROR(__xludf.DUMMYFUNCTION("""COMPUTED_VALUE"""),"❤️❤️❤️❤️")</f>
        <v>❤️❤️❤️❤️</v>
      </c>
      <c r="F1949" s="1"/>
      <c r="G1949" s="1" t="str">
        <f>IFERROR(__xludf.DUMMYFUNCTION("""COMPUTED_VALUE"""),"3 mos")</f>
        <v>3 mos</v>
      </c>
      <c r="H1949" s="1" t="str">
        <f>IFERROR(__xludf.DUMMYFUNCTION("""COMPUTED_VALUE"""),"comment")</f>
        <v>comment</v>
      </c>
      <c r="I194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49" s="1" t="str">
        <f>IFERROR(__xludf.DUMMYFUNCTION("""COMPUTED_VALUE"""),"2022-07-04T15:46:23.008Z")</f>
        <v>2022-07-04T15:46:23.008Z</v>
      </c>
      <c r="K1949" s="1"/>
    </row>
    <row r="1950">
      <c r="A1950" s="2" t="str">
        <f>IFERROR(__xludf.DUMMYFUNCTION("""COMPUTED_VALUE"""),"https://www.facebook.com/novalyn.cawilantangdol")</f>
        <v>https://www.facebook.com/novalyn.cawilantangdol</v>
      </c>
      <c r="B1950" s="1" t="str">
        <f>IFERROR(__xludf.DUMMYFUNCTION("""COMPUTED_VALUE"""),"Novs Tangs")</f>
        <v>Novs Tangs</v>
      </c>
      <c r="C1950" s="1" t="str">
        <f>IFERROR(__xludf.DUMMYFUNCTION("""COMPUTED_VALUE"""),"Novs")</f>
        <v>Novs</v>
      </c>
      <c r="D1950" s="1" t="str">
        <f>IFERROR(__xludf.DUMMYFUNCTION("""COMPUTED_VALUE"""),"Tangs")</f>
        <v>Tangs</v>
      </c>
      <c r="E1950" s="1" t="str">
        <f>IFERROR(__xludf.DUMMYFUNCTION("""COMPUTED_VALUE"""),"🤣🤣🤣")</f>
        <v>🤣🤣🤣</v>
      </c>
      <c r="F1950" s="1"/>
      <c r="G1950" s="1" t="str">
        <f>IFERROR(__xludf.DUMMYFUNCTION("""COMPUTED_VALUE"""),"3 mos")</f>
        <v>3 mos</v>
      </c>
      <c r="H1950" s="1" t="str">
        <f>IFERROR(__xludf.DUMMYFUNCTION("""COMPUTED_VALUE"""),"comment")</f>
        <v>comment</v>
      </c>
      <c r="I195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0" s="1" t="str">
        <f>IFERROR(__xludf.DUMMYFUNCTION("""COMPUTED_VALUE"""),"2022-07-04T15:46:23.008Z")</f>
        <v>2022-07-04T15:46:23.008Z</v>
      </c>
      <c r="K1950" s="1"/>
    </row>
    <row r="1951">
      <c r="A1951" s="2" t="str">
        <f>IFERROR(__xludf.DUMMYFUNCTION("""COMPUTED_VALUE"""),"https://www.facebook.com/marvin.rafols.7")</f>
        <v>https://www.facebook.com/marvin.rafols.7</v>
      </c>
      <c r="B1951" s="1" t="str">
        <f>IFERROR(__xludf.DUMMYFUNCTION("""COMPUTED_VALUE"""),"Marvin Rafols")</f>
        <v>Marvin Rafols</v>
      </c>
      <c r="C1951" s="1" t="str">
        <f>IFERROR(__xludf.DUMMYFUNCTION("""COMPUTED_VALUE"""),"Marvin")</f>
        <v>Marvin</v>
      </c>
      <c r="D1951" s="1" t="str">
        <f>IFERROR(__xludf.DUMMYFUNCTION("""COMPUTED_VALUE"""),"Rafols")</f>
        <v>Rafols</v>
      </c>
      <c r="E1951" s="1" t="str">
        <f>IFERROR(__xludf.DUMMYFUNCTION("""COMPUTED_VALUE"""),"🌷🌷🌷🌷🌷")</f>
        <v>🌷🌷🌷🌷🌷</v>
      </c>
      <c r="F1951" s="1"/>
      <c r="G1951" s="1" t="str">
        <f>IFERROR(__xludf.DUMMYFUNCTION("""COMPUTED_VALUE"""),"3 mos")</f>
        <v>3 mos</v>
      </c>
      <c r="H1951" s="1" t="str">
        <f>IFERROR(__xludf.DUMMYFUNCTION("""COMPUTED_VALUE"""),"comment")</f>
        <v>comment</v>
      </c>
      <c r="I195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1" s="1" t="str">
        <f>IFERROR(__xludf.DUMMYFUNCTION("""COMPUTED_VALUE"""),"2022-07-04T15:46:23.008Z")</f>
        <v>2022-07-04T15:46:23.008Z</v>
      </c>
      <c r="K1951" s="1"/>
    </row>
    <row r="1952">
      <c r="A1952" s="2" t="str">
        <f>IFERROR(__xludf.DUMMYFUNCTION("""COMPUTED_VALUE"""),"https://www.facebook.com/profile.php?id=100074540717680")</f>
        <v>https://www.facebook.com/profile.php?id=100074540717680</v>
      </c>
      <c r="B1952" s="1" t="str">
        <f>IFERROR(__xludf.DUMMYFUNCTION("""COMPUTED_VALUE"""),"Milagros Costin")</f>
        <v>Milagros Costin</v>
      </c>
      <c r="C1952" s="1" t="str">
        <f>IFERROR(__xludf.DUMMYFUNCTION("""COMPUTED_VALUE"""),"Milagros")</f>
        <v>Milagros</v>
      </c>
      <c r="D1952" s="1" t="str">
        <f>IFERROR(__xludf.DUMMYFUNCTION("""COMPUTED_VALUE"""),"Costin")</f>
        <v>Costin</v>
      </c>
      <c r="E1952" s="1" t="str">
        <f>IFERROR(__xludf.DUMMYFUNCTION("""COMPUTED_VALUE"""),"🎀🎀🎀🎀🎀🎀")</f>
        <v>🎀🎀🎀🎀🎀🎀</v>
      </c>
      <c r="F1952" s="1"/>
      <c r="G1952" s="1" t="str">
        <f>IFERROR(__xludf.DUMMYFUNCTION("""COMPUTED_VALUE"""),"3 mos")</f>
        <v>3 mos</v>
      </c>
      <c r="H1952" s="1" t="str">
        <f>IFERROR(__xludf.DUMMYFUNCTION("""COMPUTED_VALUE"""),"comment")</f>
        <v>comment</v>
      </c>
      <c r="I195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2" s="1" t="str">
        <f>IFERROR(__xludf.DUMMYFUNCTION("""COMPUTED_VALUE"""),"2022-07-04T15:46:23.008Z")</f>
        <v>2022-07-04T15:46:23.008Z</v>
      </c>
      <c r="K1952" s="1"/>
    </row>
    <row r="1953">
      <c r="A1953" s="2" t="str">
        <f>IFERROR(__xludf.DUMMYFUNCTION("""COMPUTED_VALUE"""),"https://www.facebook.com/celine.avila.50")</f>
        <v>https://www.facebook.com/celine.avila.50</v>
      </c>
      <c r="B1953" s="1" t="str">
        <f>IFERROR(__xludf.DUMMYFUNCTION("""COMPUTED_VALUE"""),"Celine Avila")</f>
        <v>Celine Avila</v>
      </c>
      <c r="C1953" s="1" t="str">
        <f>IFERROR(__xludf.DUMMYFUNCTION("""COMPUTED_VALUE"""),"Celine")</f>
        <v>Celine</v>
      </c>
      <c r="D1953" s="1" t="str">
        <f>IFERROR(__xludf.DUMMYFUNCTION("""COMPUTED_VALUE"""),"Avila")</f>
        <v>Avila</v>
      </c>
      <c r="E1953" s="1" t="str">
        <f>IFERROR(__xludf.DUMMYFUNCTION("""COMPUTED_VALUE"""),"#LeniKiko2022 #GobyernongTapatAngatBuhayLahat")</f>
        <v>#LeniKiko2022 #GobyernongTapatAngatBuhayLahat</v>
      </c>
      <c r="F1953" s="1"/>
      <c r="G1953" s="1" t="str">
        <f>IFERROR(__xludf.DUMMYFUNCTION("""COMPUTED_VALUE"""),"3 mos")</f>
        <v>3 mos</v>
      </c>
      <c r="H1953" s="1" t="str">
        <f>IFERROR(__xludf.DUMMYFUNCTION("""COMPUTED_VALUE"""),"comment")</f>
        <v>comment</v>
      </c>
      <c r="I195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3" s="1" t="str">
        <f>IFERROR(__xludf.DUMMYFUNCTION("""COMPUTED_VALUE"""),"2022-07-04T15:46:23.008Z")</f>
        <v>2022-07-04T15:46:23.008Z</v>
      </c>
      <c r="K1953" s="1"/>
    </row>
    <row r="1954">
      <c r="A1954" s="2" t="str">
        <f>IFERROR(__xludf.DUMMYFUNCTION("""COMPUTED_VALUE"""),"https://www.facebook.com/LigayaNiOwen")</f>
        <v>https://www.facebook.com/LigayaNiOwen</v>
      </c>
      <c r="B1954" s="1" t="str">
        <f>IFERROR(__xludf.DUMMYFUNCTION("""COMPUTED_VALUE"""),"Joy C. Roxas")</f>
        <v>Joy C. Roxas</v>
      </c>
      <c r="C1954" s="1" t="str">
        <f>IFERROR(__xludf.DUMMYFUNCTION("""COMPUTED_VALUE"""),"Joy")</f>
        <v>Joy</v>
      </c>
      <c r="D1954" s="1" t="str">
        <f>IFERROR(__xludf.DUMMYFUNCTION("""COMPUTED_VALUE"""),"C. Roxas")</f>
        <v>C. Roxas</v>
      </c>
      <c r="E1954" s="1" t="str">
        <f>IFERROR(__xludf.DUMMYFUNCTION("""COMPUTED_VALUE"""),"🌸🌸🌸")</f>
        <v>🌸🌸🌸</v>
      </c>
      <c r="F1954" s="1"/>
      <c r="G1954" s="1" t="str">
        <f>IFERROR(__xludf.DUMMYFUNCTION("""COMPUTED_VALUE"""),"3 mos")</f>
        <v>3 mos</v>
      </c>
      <c r="H1954" s="1" t="str">
        <f>IFERROR(__xludf.DUMMYFUNCTION("""COMPUTED_VALUE"""),"comment")</f>
        <v>comment</v>
      </c>
      <c r="I195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4" s="1" t="str">
        <f>IFERROR(__xludf.DUMMYFUNCTION("""COMPUTED_VALUE"""),"2022-07-04T15:46:23.008Z")</f>
        <v>2022-07-04T15:46:23.008Z</v>
      </c>
      <c r="K1954" s="1"/>
    </row>
    <row r="1955">
      <c r="A1955" s="2" t="str">
        <f>IFERROR(__xludf.DUMMYFUNCTION("""COMPUTED_VALUE"""),"https://www.facebook.com/julycabaleslablab")</f>
        <v>https://www.facebook.com/julycabaleslablab</v>
      </c>
      <c r="B1955" s="1" t="str">
        <f>IFERROR(__xludf.DUMMYFUNCTION("""COMPUTED_VALUE"""),"July Christian Cabales")</f>
        <v>July Christian Cabales</v>
      </c>
      <c r="C1955" s="1" t="str">
        <f>IFERROR(__xludf.DUMMYFUNCTION("""COMPUTED_VALUE"""),"July")</f>
        <v>July</v>
      </c>
      <c r="D1955" s="1" t="str">
        <f>IFERROR(__xludf.DUMMYFUNCTION("""COMPUTED_VALUE"""),"Christian Cabales")</f>
        <v>Christian Cabales</v>
      </c>
      <c r="E1955" s="1" t="str">
        <f>IFERROR(__xludf.DUMMYFUNCTION("""COMPUTED_VALUE"""),"🌷💟")</f>
        <v>🌷💟</v>
      </c>
      <c r="F1955" s="1"/>
      <c r="G1955" s="1" t="str">
        <f>IFERROR(__xludf.DUMMYFUNCTION("""COMPUTED_VALUE"""),"3 mos")</f>
        <v>3 mos</v>
      </c>
      <c r="H1955" s="1" t="str">
        <f>IFERROR(__xludf.DUMMYFUNCTION("""COMPUTED_VALUE"""),"comment")</f>
        <v>comment</v>
      </c>
      <c r="I195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5" s="1" t="str">
        <f>IFERROR(__xludf.DUMMYFUNCTION("""COMPUTED_VALUE"""),"2022-07-04T15:46:23.008Z")</f>
        <v>2022-07-04T15:46:23.008Z</v>
      </c>
      <c r="K1955" s="1"/>
    </row>
    <row r="1956">
      <c r="A1956" s="2" t="str">
        <f>IFERROR(__xludf.DUMMYFUNCTION("""COMPUTED_VALUE"""),"https://www.facebook.com/BangChristopherChan97")</f>
        <v>https://www.facebook.com/BangChristopherChan97</v>
      </c>
      <c r="B1956" s="1" t="str">
        <f>IFERROR(__xludf.DUMMYFUNCTION("""COMPUTED_VALUE"""),"Nhoodz Jeanne Kareen Escalona")</f>
        <v>Nhoodz Jeanne Kareen Escalona</v>
      </c>
      <c r="C1956" s="1" t="str">
        <f>IFERROR(__xludf.DUMMYFUNCTION("""COMPUTED_VALUE"""),"Nhoodz")</f>
        <v>Nhoodz</v>
      </c>
      <c r="D1956" s="1" t="str">
        <f>IFERROR(__xludf.DUMMYFUNCTION("""COMPUTED_VALUE"""),"Jeanne Kareen Escalona")</f>
        <v>Jeanne Kareen Escalona</v>
      </c>
      <c r="E1956" s="1" t="str">
        <f>IFERROR(__xludf.DUMMYFUNCTION("""COMPUTED_VALUE"""),"🌷🌷🌷")</f>
        <v>🌷🌷🌷</v>
      </c>
      <c r="F1956" s="1"/>
      <c r="G1956" s="1" t="str">
        <f>IFERROR(__xludf.DUMMYFUNCTION("""COMPUTED_VALUE"""),"3 mos")</f>
        <v>3 mos</v>
      </c>
      <c r="H1956" s="1" t="str">
        <f>IFERROR(__xludf.DUMMYFUNCTION("""COMPUTED_VALUE"""),"comment")</f>
        <v>comment</v>
      </c>
      <c r="I195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6" s="1" t="str">
        <f>IFERROR(__xludf.DUMMYFUNCTION("""COMPUTED_VALUE"""),"2022-07-04T15:46:23.008Z")</f>
        <v>2022-07-04T15:46:23.008Z</v>
      </c>
      <c r="K1956" s="1"/>
    </row>
    <row r="1957">
      <c r="A1957" s="2" t="str">
        <f>IFERROR(__xludf.DUMMYFUNCTION("""COMPUTED_VALUE"""),"https://www.facebook.com/mbaliat")</f>
        <v>https://www.facebook.com/mbaliat</v>
      </c>
      <c r="B1957" s="1" t="str">
        <f>IFERROR(__xludf.DUMMYFUNCTION("""COMPUTED_VALUE"""),"Mirla Baliat")</f>
        <v>Mirla Baliat</v>
      </c>
      <c r="C1957" s="1" t="str">
        <f>IFERROR(__xludf.DUMMYFUNCTION("""COMPUTED_VALUE"""),"Mirla")</f>
        <v>Mirla</v>
      </c>
      <c r="D1957" s="1" t="str">
        <f>IFERROR(__xludf.DUMMYFUNCTION("""COMPUTED_VALUE"""),"Baliat")</f>
        <v>Baliat</v>
      </c>
      <c r="E1957" s="1" t="str">
        <f>IFERROR(__xludf.DUMMYFUNCTION("""COMPUTED_VALUE"""),"🌷🌷🌷💗💗💗")</f>
        <v>🌷🌷🌷💗💗💗</v>
      </c>
      <c r="F1957" s="1">
        <f>IFERROR(__xludf.DUMMYFUNCTION("""COMPUTED_VALUE"""),1.0)</f>
        <v>1</v>
      </c>
      <c r="G1957" s="1" t="str">
        <f>IFERROR(__xludf.DUMMYFUNCTION("""COMPUTED_VALUE"""),"3 mos")</f>
        <v>3 mos</v>
      </c>
      <c r="H1957" s="1" t="str">
        <f>IFERROR(__xludf.DUMMYFUNCTION("""COMPUTED_VALUE"""),"comment")</f>
        <v>comment</v>
      </c>
      <c r="I195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7" s="1" t="str">
        <f>IFERROR(__xludf.DUMMYFUNCTION("""COMPUTED_VALUE"""),"2022-07-04T15:46:23.008Z")</f>
        <v>2022-07-04T15:46:23.008Z</v>
      </c>
      <c r="K1957" s="1"/>
    </row>
    <row r="1958">
      <c r="A1958" s="2" t="str">
        <f>IFERROR(__xludf.DUMMYFUNCTION("""COMPUTED_VALUE"""),"https://www.facebook.com/danixdejesus")</f>
        <v>https://www.facebook.com/danixdejesus</v>
      </c>
      <c r="B1958" s="1" t="str">
        <f>IFERROR(__xludf.DUMMYFUNCTION("""COMPUTED_VALUE"""),"Danilo De Jesus")</f>
        <v>Danilo De Jesus</v>
      </c>
      <c r="C1958" s="1" t="str">
        <f>IFERROR(__xludf.DUMMYFUNCTION("""COMPUTED_VALUE"""),"Danilo")</f>
        <v>Danilo</v>
      </c>
      <c r="D1958" s="1" t="str">
        <f>IFERROR(__xludf.DUMMYFUNCTION("""COMPUTED_VALUE"""),"De Jesus")</f>
        <v>De Jesus</v>
      </c>
      <c r="E1958" s="1" t="str">
        <f>IFERROR(__xludf.DUMMYFUNCTION("""COMPUTED_VALUE"""),"👍")</f>
        <v>👍</v>
      </c>
      <c r="F1958" s="1"/>
      <c r="G1958" s="1" t="str">
        <f>IFERROR(__xludf.DUMMYFUNCTION("""COMPUTED_VALUE"""),"3 mos")</f>
        <v>3 mos</v>
      </c>
      <c r="H1958" s="1" t="str">
        <f>IFERROR(__xludf.DUMMYFUNCTION("""COMPUTED_VALUE"""),"comment")</f>
        <v>comment</v>
      </c>
      <c r="I195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8" s="1" t="str">
        <f>IFERROR(__xludf.DUMMYFUNCTION("""COMPUTED_VALUE"""),"2022-07-04T15:46:23.008Z")</f>
        <v>2022-07-04T15:46:23.008Z</v>
      </c>
      <c r="K1958" s="1"/>
    </row>
    <row r="1959">
      <c r="A1959" s="2" t="str">
        <f>IFERROR(__xludf.DUMMYFUNCTION("""COMPUTED_VALUE"""),"https://www.facebook.com/kristinejane.ramos.10")</f>
        <v>https://www.facebook.com/kristinejane.ramos.10</v>
      </c>
      <c r="B1959" s="1" t="str">
        <f>IFERROR(__xludf.DUMMYFUNCTION("""COMPUTED_VALUE"""),"Mary Ramos")</f>
        <v>Mary Ramos</v>
      </c>
      <c r="C1959" s="1" t="str">
        <f>IFERROR(__xludf.DUMMYFUNCTION("""COMPUTED_VALUE"""),"Mary")</f>
        <v>Mary</v>
      </c>
      <c r="D1959" s="1" t="str">
        <f>IFERROR(__xludf.DUMMYFUNCTION("""COMPUTED_VALUE"""),"Ramos")</f>
        <v>Ramos</v>
      </c>
      <c r="E1959" s="1" t="str">
        <f>IFERROR(__xludf.DUMMYFUNCTION("""COMPUTED_VALUE"""),"🤗💪🌷")</f>
        <v>🤗💪🌷</v>
      </c>
      <c r="F1959" s="1"/>
      <c r="G1959" s="1" t="str">
        <f>IFERROR(__xludf.DUMMYFUNCTION("""COMPUTED_VALUE"""),"3 mos")</f>
        <v>3 mos</v>
      </c>
      <c r="H1959" s="1" t="str">
        <f>IFERROR(__xludf.DUMMYFUNCTION("""COMPUTED_VALUE"""),"comment")</f>
        <v>comment</v>
      </c>
      <c r="I195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59" s="1" t="str">
        <f>IFERROR(__xludf.DUMMYFUNCTION("""COMPUTED_VALUE"""),"2022-07-04T15:46:23.008Z")</f>
        <v>2022-07-04T15:46:23.008Z</v>
      </c>
      <c r="K1959" s="1"/>
    </row>
    <row r="1960">
      <c r="A1960" s="2" t="str">
        <f>IFERROR(__xludf.DUMMYFUNCTION("""COMPUTED_VALUE"""),"https://www.facebook.com/profile.php?id=1669143901")</f>
        <v>https://www.facebook.com/profile.php?id=1669143901</v>
      </c>
      <c r="B1960" s="1" t="str">
        <f>IFERROR(__xludf.DUMMYFUNCTION("""COMPUTED_VALUE"""),"Vince Tse Koi")</f>
        <v>Vince Tse Koi</v>
      </c>
      <c r="C1960" s="1" t="str">
        <f>IFERROR(__xludf.DUMMYFUNCTION("""COMPUTED_VALUE"""),"Vince")</f>
        <v>Vince</v>
      </c>
      <c r="D1960" s="1" t="str">
        <f>IFERROR(__xludf.DUMMYFUNCTION("""COMPUTED_VALUE"""),"Tse Koi")</f>
        <v>Tse Koi</v>
      </c>
      <c r="E1960" s="1" t="str">
        <f>IFERROR(__xludf.DUMMYFUNCTION("""COMPUTED_VALUE"""),"❤❤❤❤🇵🇭🇵🇭🇵🇭🇵🇭🇵🇭")</f>
        <v>❤❤❤❤🇵🇭🇵🇭🇵🇭🇵🇭🇵🇭</v>
      </c>
      <c r="F1960" s="1"/>
      <c r="G1960" s="1" t="str">
        <f>IFERROR(__xludf.DUMMYFUNCTION("""COMPUTED_VALUE"""),"3 mos")</f>
        <v>3 mos</v>
      </c>
      <c r="H1960" s="1" t="str">
        <f>IFERROR(__xludf.DUMMYFUNCTION("""COMPUTED_VALUE"""),"comment")</f>
        <v>comment</v>
      </c>
      <c r="I196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0" s="1" t="str">
        <f>IFERROR(__xludf.DUMMYFUNCTION("""COMPUTED_VALUE"""),"2022-07-04T15:46:23.008Z")</f>
        <v>2022-07-04T15:46:23.008Z</v>
      </c>
      <c r="K1960" s="1"/>
    </row>
    <row r="1961">
      <c r="A1961" s="2" t="str">
        <f>IFERROR(__xludf.DUMMYFUNCTION("""COMPUTED_VALUE"""),"https://www.facebook.com/noel.buhia")</f>
        <v>https://www.facebook.com/noel.buhia</v>
      </c>
      <c r="B1961" s="1" t="str">
        <f>IFERROR(__xludf.DUMMYFUNCTION("""COMPUTED_VALUE"""),"Noel Rapas Buhia")</f>
        <v>Noel Rapas Buhia</v>
      </c>
      <c r="C1961" s="1" t="str">
        <f>IFERROR(__xludf.DUMMYFUNCTION("""COMPUTED_VALUE"""),"Noel")</f>
        <v>Noel</v>
      </c>
      <c r="D1961" s="1" t="str">
        <f>IFERROR(__xludf.DUMMYFUNCTION("""COMPUTED_VALUE"""),"Rapas Buhia")</f>
        <v>Rapas Buhia</v>
      </c>
      <c r="E1961" s="1" t="str">
        <f>IFERROR(__xludf.DUMMYFUNCTION("""COMPUTED_VALUE"""),"50K")</f>
        <v>50K</v>
      </c>
      <c r="F1961" s="1"/>
      <c r="G1961" s="1" t="str">
        <f>IFERROR(__xludf.DUMMYFUNCTION("""COMPUTED_VALUE"""),"3 mos")</f>
        <v>3 mos</v>
      </c>
      <c r="H1961" s="1" t="str">
        <f>IFERROR(__xludf.DUMMYFUNCTION("""COMPUTED_VALUE"""),"comment")</f>
        <v>comment</v>
      </c>
      <c r="I196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1" s="1" t="str">
        <f>IFERROR(__xludf.DUMMYFUNCTION("""COMPUTED_VALUE"""),"2022-07-04T15:46:23.008Z")</f>
        <v>2022-07-04T15:46:23.008Z</v>
      </c>
      <c r="K1961" s="1"/>
    </row>
    <row r="1962">
      <c r="A1962" s="2" t="str">
        <f>IFERROR(__xludf.DUMMYFUNCTION("""COMPUTED_VALUE"""),"https://www.facebook.com/iyos.bautistapilar")</f>
        <v>https://www.facebook.com/iyos.bautistapilar</v>
      </c>
      <c r="B1962" s="1" t="str">
        <f>IFERROR(__xludf.DUMMYFUNCTION("""COMPUTED_VALUE"""),"Iyos Bautista-Pilar")</f>
        <v>Iyos Bautista-Pilar</v>
      </c>
      <c r="C1962" s="1" t="str">
        <f>IFERROR(__xludf.DUMMYFUNCTION("""COMPUTED_VALUE"""),"Iyos")</f>
        <v>Iyos</v>
      </c>
      <c r="D1962" s="1" t="str">
        <f>IFERROR(__xludf.DUMMYFUNCTION("""COMPUTED_VALUE"""),"Bautista-Pilar")</f>
        <v>Bautista-Pilar</v>
      </c>
      <c r="E1962" s="1" t="str">
        <f>IFERROR(__xludf.DUMMYFUNCTION("""COMPUTED_VALUE"""),"Noel Rapas Buhia hi sir noel! Kamusta po. Per caption as of 2:33pm pa lang po yun drone shot, maaga pa po ito. 😊")</f>
        <v>Noel Rapas Buhia hi sir noel! Kamusta po. Per caption as of 2:33pm pa lang po yun drone shot, maaga pa po ito. 😊</v>
      </c>
      <c r="F1962" s="1"/>
      <c r="G1962" s="1" t="str">
        <f>IFERROR(__xludf.DUMMYFUNCTION("""COMPUTED_VALUE"""),"3 mos")</f>
        <v>3 mos</v>
      </c>
      <c r="H1962" s="1" t="str">
        <f>IFERROR(__xludf.DUMMYFUNCTION("""COMPUTED_VALUE"""),"reply")</f>
        <v>reply</v>
      </c>
      <c r="I196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2" s="1" t="str">
        <f>IFERROR(__xludf.DUMMYFUNCTION("""COMPUTED_VALUE"""),"2022-07-04T15:46:23.008Z")</f>
        <v>2022-07-04T15:46:23.008Z</v>
      </c>
      <c r="K1962" s="1"/>
    </row>
    <row r="1963">
      <c r="A1963" s="2" t="str">
        <f>IFERROR(__xludf.DUMMYFUNCTION("""COMPUTED_VALUE"""),"https://www.facebook.com/dinnis.bastatas")</f>
        <v>https://www.facebook.com/dinnis.bastatas</v>
      </c>
      <c r="B1963" s="1" t="str">
        <f>IFERROR(__xludf.DUMMYFUNCTION("""COMPUTED_VALUE"""),"Vic Diaz Orig")</f>
        <v>Vic Diaz Orig</v>
      </c>
      <c r="C1963" s="1" t="str">
        <f>IFERROR(__xludf.DUMMYFUNCTION("""COMPUTED_VALUE"""),"Vic")</f>
        <v>Vic</v>
      </c>
      <c r="D1963" s="1" t="str">
        <f>IFERROR(__xludf.DUMMYFUNCTION("""COMPUTED_VALUE"""),"Diaz Orig")</f>
        <v>Diaz Orig</v>
      </c>
      <c r="E1963" s="1" t="str">
        <f>IFERROR(__xludf.DUMMYFUNCTION("""COMPUTED_VALUE"""),"hindi dapat ginagawang biro yan, kase Pagdating naman ng 2023 hindi lang natin mapapabilis ang biyahe mula Baclaran hanggang Bacoor kundi madadagdagan din tayo ng tinatayong 250,000 na pasahero ang maisasakay kada araw dahil sa LRT Line 1 extension. At pa"&amp;"g hindi ho nangyari ito, nandiyan po si Secretary Abaya na mangangasiwa ng proyektong to, dalawa na kaming magpapasagasa siguro sa tren")</f>
        <v>hindi dapat ginagawang biro yan, kase Pagdating naman ng 2023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1963" s="1"/>
      <c r="G1963" s="1" t="str">
        <f>IFERROR(__xludf.DUMMYFUNCTION("""COMPUTED_VALUE"""),"3 mos")</f>
        <v>3 mos</v>
      </c>
      <c r="H1963" s="1" t="str">
        <f>IFERROR(__xludf.DUMMYFUNCTION("""COMPUTED_VALUE"""),"comment")</f>
        <v>comment</v>
      </c>
      <c r="I196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3" s="1" t="str">
        <f>IFERROR(__xludf.DUMMYFUNCTION("""COMPUTED_VALUE"""),"2022-07-04T15:46:23.008Z")</f>
        <v>2022-07-04T15:46:23.008Z</v>
      </c>
      <c r="K1963" s="1"/>
    </row>
    <row r="1964">
      <c r="A1964" s="2" t="str">
        <f>IFERROR(__xludf.DUMMYFUNCTION("""COMPUTED_VALUE"""),"https://www.facebook.com/ellessir.setnallude")</f>
        <v>https://www.facebook.com/ellessir.setnallude</v>
      </c>
      <c r="B1964" s="1" t="str">
        <f>IFERROR(__xludf.DUMMYFUNCTION("""COMPUTED_VALUE"""),"Ellie Selle")</f>
        <v>Ellie Selle</v>
      </c>
      <c r="C1964" s="1" t="str">
        <f>IFERROR(__xludf.DUMMYFUNCTION("""COMPUTED_VALUE"""),"Ellie")</f>
        <v>Ellie</v>
      </c>
      <c r="D1964" s="1" t="str">
        <f>IFERROR(__xludf.DUMMYFUNCTION("""COMPUTED_VALUE"""),"Selle")</f>
        <v>Selle</v>
      </c>
      <c r="E1964" s="1" t="str">
        <f>IFERROR(__xludf.DUMMYFUNCTION("""COMPUTED_VALUE"""),"keepsafe po. sobrang init ganitong oras. sumilong tlga kami sa mga puno sa sobrang init. drink lots of water po")</f>
        <v>keepsafe po. sobrang init ganitong oras. sumilong tlga kami sa mga puno sa sobrang init. drink lots of water po</v>
      </c>
      <c r="F1964" s="1">
        <f>IFERROR(__xludf.DUMMYFUNCTION("""COMPUTED_VALUE"""),1.0)</f>
        <v>1</v>
      </c>
      <c r="G1964" s="1" t="str">
        <f>IFERROR(__xludf.DUMMYFUNCTION("""COMPUTED_VALUE"""),"3 mos")</f>
        <v>3 mos</v>
      </c>
      <c r="H1964" s="1" t="str">
        <f>IFERROR(__xludf.DUMMYFUNCTION("""COMPUTED_VALUE"""),"comment")</f>
        <v>comment</v>
      </c>
      <c r="I196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4" s="1" t="str">
        <f>IFERROR(__xludf.DUMMYFUNCTION("""COMPUTED_VALUE"""),"2022-07-04T15:46:23.008Z")</f>
        <v>2022-07-04T15:46:23.008Z</v>
      </c>
      <c r="K1964" s="1"/>
    </row>
    <row r="1965">
      <c r="A1965" s="2" t="str">
        <f>IFERROR(__xludf.DUMMYFUNCTION("""COMPUTED_VALUE"""),"https://www.facebook.com/samuel.peralta310")</f>
        <v>https://www.facebook.com/samuel.peralta310</v>
      </c>
      <c r="B1965" s="1" t="str">
        <f>IFERROR(__xludf.DUMMYFUNCTION("""COMPUTED_VALUE"""),"Samuel Fernandez Peralta")</f>
        <v>Samuel Fernandez Peralta</v>
      </c>
      <c r="C1965" s="1" t="str">
        <f>IFERROR(__xludf.DUMMYFUNCTION("""COMPUTED_VALUE"""),"Samuel")</f>
        <v>Samuel</v>
      </c>
      <c r="D1965" s="1" t="str">
        <f>IFERROR(__xludf.DUMMYFUNCTION("""COMPUTED_VALUE"""),"Fernandez Peralta")</f>
        <v>Fernandez Peralta</v>
      </c>
      <c r="E1965" s="1" t="str">
        <f>IFERROR(__xludf.DUMMYFUNCTION("""COMPUTED_VALUE"""),"Maraming salamat at mabuhay CAMANAVA💞 #IpanaloNaNa10To")</f>
        <v>Maraming salamat at mabuhay CAMANAVA💞 #IpanaloNaNa10To</v>
      </c>
      <c r="F1965" s="1">
        <f>IFERROR(__xludf.DUMMYFUNCTION("""COMPUTED_VALUE"""),1.0)</f>
        <v>1</v>
      </c>
      <c r="G1965" s="1" t="str">
        <f>IFERROR(__xludf.DUMMYFUNCTION("""COMPUTED_VALUE"""),"3 mos")</f>
        <v>3 mos</v>
      </c>
      <c r="H1965" s="1" t="str">
        <f>IFERROR(__xludf.DUMMYFUNCTION("""COMPUTED_VALUE"""),"comment")</f>
        <v>comment</v>
      </c>
      <c r="I196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5" s="1" t="str">
        <f>IFERROR(__xludf.DUMMYFUNCTION("""COMPUTED_VALUE"""),"2022-07-04T15:46:23.008Z")</f>
        <v>2022-07-04T15:46:23.008Z</v>
      </c>
      <c r="K1965" s="1"/>
    </row>
    <row r="1966">
      <c r="A1966" s="2" t="str">
        <f>IFERROR(__xludf.DUMMYFUNCTION("""COMPUTED_VALUE"""),"https://www.facebook.com/juliza.gulandrina.56")</f>
        <v>https://www.facebook.com/juliza.gulandrina.56</v>
      </c>
      <c r="B1966" s="1" t="str">
        <f>IFERROR(__xludf.DUMMYFUNCTION("""COMPUTED_VALUE"""),"Ka Zu Mi")</f>
        <v>Ka Zu Mi</v>
      </c>
      <c r="C1966" s="1" t="str">
        <f>IFERROR(__xludf.DUMMYFUNCTION("""COMPUTED_VALUE"""),"Ka")</f>
        <v>Ka</v>
      </c>
      <c r="D1966" s="1" t="str">
        <f>IFERROR(__xludf.DUMMYFUNCTION("""COMPUTED_VALUE"""),"Zu Mi")</f>
        <v>Zu Mi</v>
      </c>
      <c r="E1966" s="1" t="str">
        <f>IFERROR(__xludf.DUMMYFUNCTION("""COMPUTED_VALUE"""),"Puno na Yan Maya😂 edit na nman yan")</f>
        <v>Puno na Yan Maya😂 edit na nman yan</v>
      </c>
      <c r="F1966" s="1"/>
      <c r="G1966" s="1" t="str">
        <f>IFERROR(__xludf.DUMMYFUNCTION("""COMPUTED_VALUE"""),"3 mos")</f>
        <v>3 mos</v>
      </c>
      <c r="H1966" s="1" t="str">
        <f>IFERROR(__xludf.DUMMYFUNCTION("""COMPUTED_VALUE"""),"comment")</f>
        <v>comment</v>
      </c>
      <c r="I196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6" s="1" t="str">
        <f>IFERROR(__xludf.DUMMYFUNCTION("""COMPUTED_VALUE"""),"2022-07-04T15:46:23.008Z")</f>
        <v>2022-07-04T15:46:23.008Z</v>
      </c>
      <c r="K1966" s="1"/>
    </row>
    <row r="1967">
      <c r="A1967" s="2" t="str">
        <f>IFERROR(__xludf.DUMMYFUNCTION("""COMPUTED_VALUE"""),"https://www.facebook.com/donna.dee.37017")</f>
        <v>https://www.facebook.com/donna.dee.37017</v>
      </c>
      <c r="B1967" s="1" t="str">
        <f>IFERROR(__xludf.DUMMYFUNCTION("""COMPUTED_VALUE"""),"Donna Dee")</f>
        <v>Donna Dee</v>
      </c>
      <c r="C1967" s="1" t="str">
        <f>IFERROR(__xludf.DUMMYFUNCTION("""COMPUTED_VALUE"""),"Donna")</f>
        <v>Donna</v>
      </c>
      <c r="D1967" s="1" t="str">
        <f>IFERROR(__xludf.DUMMYFUNCTION("""COMPUTED_VALUE"""),"Dee")</f>
        <v>Dee</v>
      </c>
      <c r="E1967" s="1" t="str">
        <f>IFERROR(__xludf.DUMMYFUNCTION("""COMPUTED_VALUE"""),"Inom kayo tubig kakampinks! Ingat kayo💞 #CaMaNaVaIsPink  #LeniKiko2022")</f>
        <v>Inom kayo tubig kakampinks! Ingat kayo💞 #CaMaNaVaIsPink  #LeniKiko2022</v>
      </c>
      <c r="F1967" s="1"/>
      <c r="G1967" s="1" t="str">
        <f>IFERROR(__xludf.DUMMYFUNCTION("""COMPUTED_VALUE"""),"3 mos")</f>
        <v>3 mos</v>
      </c>
      <c r="H1967" s="1" t="str">
        <f>IFERROR(__xludf.DUMMYFUNCTION("""COMPUTED_VALUE"""),"comment")</f>
        <v>comment</v>
      </c>
      <c r="I196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7" s="1" t="str">
        <f>IFERROR(__xludf.DUMMYFUNCTION("""COMPUTED_VALUE"""),"2022-07-04T15:46:23.008Z")</f>
        <v>2022-07-04T15:46:23.008Z</v>
      </c>
      <c r="K1967" s="1"/>
    </row>
    <row r="1968">
      <c r="A1968" s="2" t="str">
        <f>IFERROR(__xludf.DUMMYFUNCTION("""COMPUTED_VALUE"""),"https://www.facebook.com/Valladoresjude1988")</f>
        <v>https://www.facebook.com/Valladoresjude1988</v>
      </c>
      <c r="B1968" s="1" t="str">
        <f>IFERROR(__xludf.DUMMYFUNCTION("""COMPUTED_VALUE"""),"Valladorez Jude")</f>
        <v>Valladorez Jude</v>
      </c>
      <c r="C1968" s="1" t="str">
        <f>IFERROR(__xludf.DUMMYFUNCTION("""COMPUTED_VALUE"""),"Valladorez")</f>
        <v>Valladorez</v>
      </c>
      <c r="D1968" s="1" t="str">
        <f>IFERROR(__xludf.DUMMYFUNCTION("""COMPUTED_VALUE"""),"Jude")</f>
        <v>Jude</v>
      </c>
      <c r="E1968" s="1" t="str">
        <f>IFERROR(__xludf.DUMMYFUNCTION("""COMPUTED_VALUE"""),"Pagbabago, hindi abuso. Pagkakaisa, Wag mang isa. Hawak kamay, 'wag hugas-kamay. I am Filipino! I stand for my country. We deserve better! #LetLeniLead #LeKi2022 💗🌸")</f>
        <v>Pagbabago, hindi abuso. Pagkakaisa, Wag mang isa. Hawak kamay, 'wag hugas-kamay. I am Filipino! I stand for my country. We deserve better! #LetLeniLead #LeKi2022 💗🌸</v>
      </c>
      <c r="F1968" s="1">
        <f>IFERROR(__xludf.DUMMYFUNCTION("""COMPUTED_VALUE"""),19.0)</f>
        <v>19</v>
      </c>
      <c r="G1968" s="1" t="str">
        <f>IFERROR(__xludf.DUMMYFUNCTION("""COMPUTED_VALUE"""),"3 mos")</f>
        <v>3 mos</v>
      </c>
      <c r="H1968" s="1" t="str">
        <f>IFERROR(__xludf.DUMMYFUNCTION("""COMPUTED_VALUE"""),"comment")</f>
        <v>comment</v>
      </c>
      <c r="I196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8" s="1" t="str">
        <f>IFERROR(__xludf.DUMMYFUNCTION("""COMPUTED_VALUE"""),"2022-07-04T15:46:23.008Z")</f>
        <v>2022-07-04T15:46:23.008Z</v>
      </c>
      <c r="K1968" s="1"/>
    </row>
    <row r="1969">
      <c r="A1969" s="2" t="str">
        <f>IFERROR(__xludf.DUMMYFUNCTION("""COMPUTED_VALUE"""),"https://www.facebook.com/henardino")</f>
        <v>https://www.facebook.com/henardino</v>
      </c>
      <c r="B1969" s="1" t="str">
        <f>IFERROR(__xludf.DUMMYFUNCTION("""COMPUTED_VALUE"""),"Sarah Juario Henardino")</f>
        <v>Sarah Juario Henardino</v>
      </c>
      <c r="C1969" s="1" t="str">
        <f>IFERROR(__xludf.DUMMYFUNCTION("""COMPUTED_VALUE"""),"Sarah")</f>
        <v>Sarah</v>
      </c>
      <c r="D1969" s="1" t="str">
        <f>IFERROR(__xludf.DUMMYFUNCTION("""COMPUTED_VALUE"""),"Juario Henardino")</f>
        <v>Juario Henardino</v>
      </c>
      <c r="E1969" s="1" t="str">
        <f>IFERROR(__xludf.DUMMYFUNCTION("""COMPUTED_VALUE"""),"Valladores Jude hahaaa dami subra wlang space")</f>
        <v>Valladores Jude hahaaa dami subra wlang space</v>
      </c>
      <c r="F1969" s="1"/>
      <c r="G1969" s="1" t="str">
        <f>IFERROR(__xludf.DUMMYFUNCTION("""COMPUTED_VALUE"""),"3 mos")</f>
        <v>3 mos</v>
      </c>
      <c r="H1969" s="1" t="str">
        <f>IFERROR(__xludf.DUMMYFUNCTION("""COMPUTED_VALUE"""),"reply")</f>
        <v>reply</v>
      </c>
      <c r="I196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69" s="1" t="str">
        <f>IFERROR(__xludf.DUMMYFUNCTION("""COMPUTED_VALUE"""),"2022-07-04T15:46:23.008Z")</f>
        <v>2022-07-04T15:46:23.008Z</v>
      </c>
      <c r="K1969" s="1"/>
    </row>
    <row r="1970">
      <c r="A1970" s="2" t="str">
        <f>IFERROR(__xludf.DUMMYFUNCTION("""COMPUTED_VALUE"""),"https://www.facebook.com/Valladoresjude1988")</f>
        <v>https://www.facebook.com/Valladoresjude1988</v>
      </c>
      <c r="B1970" s="1" t="str">
        <f>IFERROR(__xludf.DUMMYFUNCTION("""COMPUTED_VALUE"""),"Valladorez Jude")</f>
        <v>Valladorez Jude</v>
      </c>
      <c r="C1970" s="1" t="str">
        <f>IFERROR(__xludf.DUMMYFUNCTION("""COMPUTED_VALUE"""),"Valladorez")</f>
        <v>Valladorez</v>
      </c>
      <c r="D1970" s="1" t="str">
        <f>IFERROR(__xludf.DUMMYFUNCTION("""COMPUTED_VALUE"""),"Jude")</f>
        <v>Jude</v>
      </c>
      <c r="E1970" s="1" t="str">
        <f>IFERROR(__xludf.DUMMYFUNCTION("""COMPUTED_VALUE"""),"Sarah Juario Henardino okie Lang yan. Basta sa May 9 iiyak amo mo. Uubosin na naman ang anim na taon kakapa recount. #Marc🚫s Mambubud🚫L")</f>
        <v>Sarah Juario Henardino okie Lang yan. Basta sa May 9 iiyak amo mo. Uubosin na naman ang anim na taon kakapa recount. #Marc🚫s Mambubud🚫L</v>
      </c>
      <c r="F1970" s="1"/>
      <c r="G1970" s="1" t="str">
        <f>IFERROR(__xludf.DUMMYFUNCTION("""COMPUTED_VALUE"""),"3 mos")</f>
        <v>3 mos</v>
      </c>
      <c r="H1970" s="1" t="str">
        <f>IFERROR(__xludf.DUMMYFUNCTION("""COMPUTED_VALUE"""),"reply")</f>
        <v>reply</v>
      </c>
      <c r="I197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0" s="1" t="str">
        <f>IFERROR(__xludf.DUMMYFUNCTION("""COMPUTED_VALUE"""),"2022-07-04T15:46:23.008Z")</f>
        <v>2022-07-04T15:46:23.008Z</v>
      </c>
      <c r="K1970" s="1"/>
    </row>
    <row r="1971">
      <c r="A1971" s="2" t="str">
        <f>IFERROR(__xludf.DUMMYFUNCTION("""COMPUTED_VALUE"""),"https://www.facebook.com/henardino")</f>
        <v>https://www.facebook.com/henardino</v>
      </c>
      <c r="B1971" s="1" t="str">
        <f>IFERROR(__xludf.DUMMYFUNCTION("""COMPUTED_VALUE"""),"Sarah Juario Henardino")</f>
        <v>Sarah Juario Henardino</v>
      </c>
      <c r="C1971" s="1" t="str">
        <f>IFERROR(__xludf.DUMMYFUNCTION("""COMPUTED_VALUE"""),"Sarah")</f>
        <v>Sarah</v>
      </c>
      <c r="D1971" s="1" t="str">
        <f>IFERROR(__xludf.DUMMYFUNCTION("""COMPUTED_VALUE"""),"Juario Henardino")</f>
        <v>Juario Henardino</v>
      </c>
      <c r="E1971" s="1" t="str">
        <f>IFERROR(__xludf.DUMMYFUNCTION("""COMPUTED_VALUE"""),"Valladores Jude anong binubudol sayo kapal din NG mukha mo magsalita may ebidensya ka Diba ninyo matanggap binabasura sa korte yon mga taong talunan kayo deritso sa inodoro talunan")</f>
        <v>Valladores Jude anong binubudol sayo kapal din NG mukha mo magsalita may ebidensya ka Diba ninyo matanggap binabasura sa korte yon mga taong talunan kayo deritso sa inodoro talunan</v>
      </c>
      <c r="F1971" s="1"/>
      <c r="G1971" s="1" t="str">
        <f>IFERROR(__xludf.DUMMYFUNCTION("""COMPUTED_VALUE"""),"3 mos")</f>
        <v>3 mos</v>
      </c>
      <c r="H1971" s="1" t="str">
        <f>IFERROR(__xludf.DUMMYFUNCTION("""COMPUTED_VALUE"""),"reply")</f>
        <v>reply</v>
      </c>
      <c r="I197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1" s="1" t="str">
        <f>IFERROR(__xludf.DUMMYFUNCTION("""COMPUTED_VALUE"""),"2022-07-04T15:46:23.008Z")</f>
        <v>2022-07-04T15:46:23.008Z</v>
      </c>
      <c r="K1971" s="1"/>
    </row>
    <row r="1972">
      <c r="A1972" s="2" t="str">
        <f>IFERROR(__xludf.DUMMYFUNCTION("""COMPUTED_VALUE"""),"https://www.facebook.com/Valladoresjude1988")</f>
        <v>https://www.facebook.com/Valladoresjude1988</v>
      </c>
      <c r="B1972" s="1" t="str">
        <f>IFERROR(__xludf.DUMMYFUNCTION("""COMPUTED_VALUE"""),"Valladorez Jude")</f>
        <v>Valladorez Jude</v>
      </c>
      <c r="C1972" s="1" t="str">
        <f>IFERROR(__xludf.DUMMYFUNCTION("""COMPUTED_VALUE"""),"Valladorez")</f>
        <v>Valladorez</v>
      </c>
      <c r="D1972" s="1" t="str">
        <f>IFERROR(__xludf.DUMMYFUNCTION("""COMPUTED_VALUE"""),"Jude")</f>
        <v>Jude</v>
      </c>
      <c r="E1972" s="1" t="str">
        <f>IFERROR(__xludf.DUMMYFUNCTION("""COMPUTED_VALUE"""),"Sarah Juario Henardino si Emelda mo may Hatol sa korte 7 counts. Wag mo ipagtanggol mang mang ka. 🤣")</f>
        <v>Sarah Juario Henardino si Emelda mo may Hatol sa korte 7 counts. Wag mo ipagtanggol mang mang ka. 🤣</v>
      </c>
      <c r="F1972" s="1"/>
      <c r="G1972" s="1" t="str">
        <f>IFERROR(__xludf.DUMMYFUNCTION("""COMPUTED_VALUE"""),"3 mos")</f>
        <v>3 mos</v>
      </c>
      <c r="H1972" s="1" t="str">
        <f>IFERROR(__xludf.DUMMYFUNCTION("""COMPUTED_VALUE"""),"reply")</f>
        <v>reply</v>
      </c>
      <c r="I197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2" s="1" t="str">
        <f>IFERROR(__xludf.DUMMYFUNCTION("""COMPUTED_VALUE"""),"2022-07-04T15:46:23.008Z")</f>
        <v>2022-07-04T15:46:23.008Z</v>
      </c>
      <c r="K1972" s="1"/>
    </row>
    <row r="1973">
      <c r="A1973" s="2" t="str">
        <f>IFERROR(__xludf.DUMMYFUNCTION("""COMPUTED_VALUE"""),"https://www.facebook.com/henardino")</f>
        <v>https://www.facebook.com/henardino</v>
      </c>
      <c r="B1973" s="1" t="str">
        <f>IFERROR(__xludf.DUMMYFUNCTION("""COMPUTED_VALUE"""),"Sarah Juario Henardino")</f>
        <v>Sarah Juario Henardino</v>
      </c>
      <c r="C1973" s="1" t="str">
        <f>IFERROR(__xludf.DUMMYFUNCTION("""COMPUTED_VALUE"""),"Sarah")</f>
        <v>Sarah</v>
      </c>
      <c r="D1973" s="1" t="str">
        <f>IFERROR(__xludf.DUMMYFUNCTION("""COMPUTED_VALUE"""),"Juario Henardino")</f>
        <v>Juario Henardino</v>
      </c>
      <c r="E1973" s="1" t="str">
        <f>IFERROR(__xludf.DUMMYFUNCTION("""COMPUTED_VALUE"""),"Valladores Jude 😂 😂 😂 😂 😂 asan ipakita mo kuda kayo ng kuda wla kayong mapapala")</f>
        <v>Valladores Jude 😂 😂 😂 😂 😂 asan ipakita mo kuda kayo ng kuda wla kayong mapapala</v>
      </c>
      <c r="F1973" s="1"/>
      <c r="G1973" s="1" t="str">
        <f>IFERROR(__xludf.DUMMYFUNCTION("""COMPUTED_VALUE"""),"3 mos")</f>
        <v>3 mos</v>
      </c>
      <c r="H1973" s="1" t="str">
        <f>IFERROR(__xludf.DUMMYFUNCTION("""COMPUTED_VALUE"""),"reply")</f>
        <v>reply</v>
      </c>
      <c r="I197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3" s="1" t="str">
        <f>IFERROR(__xludf.DUMMYFUNCTION("""COMPUTED_VALUE"""),"2022-07-04T15:46:23.008Z")</f>
        <v>2022-07-04T15:46:23.008Z</v>
      </c>
      <c r="K1973" s="1"/>
    </row>
    <row r="1974">
      <c r="A1974" s="2" t="str">
        <f>IFERROR(__xludf.DUMMYFUNCTION("""COMPUTED_VALUE"""),"https://www.facebook.com/Valladoresjude1988")</f>
        <v>https://www.facebook.com/Valladoresjude1988</v>
      </c>
      <c r="B1974" s="1" t="str">
        <f>IFERROR(__xludf.DUMMYFUNCTION("""COMPUTED_VALUE"""),"Valladorez Jude")</f>
        <v>Valladorez Jude</v>
      </c>
      <c r="C1974" s="1" t="str">
        <f>IFERROR(__xludf.DUMMYFUNCTION("""COMPUTED_VALUE"""),"Valladorez")</f>
        <v>Valladorez</v>
      </c>
      <c r="D1974" s="1" t="str">
        <f>IFERROR(__xludf.DUMMYFUNCTION("""COMPUTED_VALUE"""),"Jude")</f>
        <v>Jude</v>
      </c>
      <c r="E1974" s="1" t="str">
        <f>IFERROR(__xludf.DUMMYFUNCTION("""COMPUTED_VALUE"""),"Sarah Juario Henardino gamotin mo muna ang panga ng amo mo naka lock kaka hit hit🤣")</f>
        <v>Sarah Juario Henardino gamotin mo muna ang panga ng amo mo naka lock kaka hit hit🤣</v>
      </c>
      <c r="F1974" s="1"/>
      <c r="G1974" s="1" t="str">
        <f>IFERROR(__xludf.DUMMYFUNCTION("""COMPUTED_VALUE"""),"3 mos")</f>
        <v>3 mos</v>
      </c>
      <c r="H1974" s="1" t="str">
        <f>IFERROR(__xludf.DUMMYFUNCTION("""COMPUTED_VALUE"""),"reply")</f>
        <v>reply</v>
      </c>
      <c r="I197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4" s="1" t="str">
        <f>IFERROR(__xludf.DUMMYFUNCTION("""COMPUTED_VALUE"""),"2022-07-04T15:46:23.008Z")</f>
        <v>2022-07-04T15:46:23.008Z</v>
      </c>
      <c r="K1974" s="1"/>
    </row>
    <row r="1975">
      <c r="A1975" s="2" t="str">
        <f>IFERROR(__xludf.DUMMYFUNCTION("""COMPUTED_VALUE"""),"https://www.facebook.com/henardino")</f>
        <v>https://www.facebook.com/henardino</v>
      </c>
      <c r="B1975" s="1" t="str">
        <f>IFERROR(__xludf.DUMMYFUNCTION("""COMPUTED_VALUE"""),"Sarah Juario Henardino")</f>
        <v>Sarah Juario Henardino</v>
      </c>
      <c r="C1975" s="1" t="str">
        <f>IFERROR(__xludf.DUMMYFUNCTION("""COMPUTED_VALUE"""),"Sarah")</f>
        <v>Sarah</v>
      </c>
      <c r="D1975" s="1" t="str">
        <f>IFERROR(__xludf.DUMMYFUNCTION("""COMPUTED_VALUE"""),"Juario Henardino")</f>
        <v>Juario Henardino</v>
      </c>
      <c r="E1975" s="1" t="str">
        <f>IFERROR(__xludf.DUMMYFUNCTION("""COMPUTED_VALUE"""),"Valladores Jude baka ikaw naka hithit padala kaya ka sa mental")</f>
        <v>Valladores Jude baka ikaw naka hithit padala kaya ka sa mental</v>
      </c>
      <c r="F1975" s="1"/>
      <c r="G1975" s="1" t="str">
        <f>IFERROR(__xludf.DUMMYFUNCTION("""COMPUTED_VALUE"""),"3 mos")</f>
        <v>3 mos</v>
      </c>
      <c r="H1975" s="1" t="str">
        <f>IFERROR(__xludf.DUMMYFUNCTION("""COMPUTED_VALUE"""),"reply")</f>
        <v>reply</v>
      </c>
      <c r="I197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5" s="1" t="str">
        <f>IFERROR(__xludf.DUMMYFUNCTION("""COMPUTED_VALUE"""),"2022-07-04T15:46:23.009Z")</f>
        <v>2022-07-04T15:46:23.009Z</v>
      </c>
      <c r="K1975" s="1"/>
    </row>
    <row r="1976">
      <c r="A1976" s="2" t="str">
        <f>IFERROR(__xludf.DUMMYFUNCTION("""COMPUTED_VALUE"""),"https://www.facebook.com/Valladoresjude1988")</f>
        <v>https://www.facebook.com/Valladoresjude1988</v>
      </c>
      <c r="B1976" s="1" t="str">
        <f>IFERROR(__xludf.DUMMYFUNCTION("""COMPUTED_VALUE"""),"Valladorez Jude")</f>
        <v>Valladorez Jude</v>
      </c>
      <c r="C1976" s="1" t="str">
        <f>IFERROR(__xludf.DUMMYFUNCTION("""COMPUTED_VALUE"""),"Valladorez")</f>
        <v>Valladorez</v>
      </c>
      <c r="D1976" s="1" t="str">
        <f>IFERROR(__xludf.DUMMYFUNCTION("""COMPUTED_VALUE"""),"Jude")</f>
        <v>Jude</v>
      </c>
      <c r="E1976" s="1" t="str">
        <f>IFERROR(__xludf.DUMMYFUNCTION("""COMPUTED_VALUE"""),"Sarah Juario Henardino haha parang kambing ang idolo mo.. sabog lagi 🤣")</f>
        <v>Sarah Juario Henardino haha parang kambing ang idolo mo.. sabog lagi 🤣</v>
      </c>
      <c r="F1976" s="1"/>
      <c r="G1976" s="1" t="str">
        <f>IFERROR(__xludf.DUMMYFUNCTION("""COMPUTED_VALUE"""),"3 mos")</f>
        <v>3 mos</v>
      </c>
      <c r="H1976" s="1" t="str">
        <f>IFERROR(__xludf.DUMMYFUNCTION("""COMPUTED_VALUE"""),"reply")</f>
        <v>reply</v>
      </c>
      <c r="I197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6" s="1" t="str">
        <f>IFERROR(__xludf.DUMMYFUNCTION("""COMPUTED_VALUE"""),"2022-07-04T15:46:23.009Z")</f>
        <v>2022-07-04T15:46:23.009Z</v>
      </c>
      <c r="K1976" s="1"/>
    </row>
    <row r="1977">
      <c r="A1977" s="2" t="str">
        <f>IFERROR(__xludf.DUMMYFUNCTION("""COMPUTED_VALUE"""),"https://www.facebook.com/henardino")</f>
        <v>https://www.facebook.com/henardino</v>
      </c>
      <c r="B1977" s="1" t="str">
        <f>IFERROR(__xludf.DUMMYFUNCTION("""COMPUTED_VALUE"""),"Sarah Juario Henardino")</f>
        <v>Sarah Juario Henardino</v>
      </c>
      <c r="C1977" s="1" t="str">
        <f>IFERROR(__xludf.DUMMYFUNCTION("""COMPUTED_VALUE"""),"Sarah")</f>
        <v>Sarah</v>
      </c>
      <c r="D1977" s="1" t="str">
        <f>IFERROR(__xludf.DUMMYFUNCTION("""COMPUTED_VALUE"""),"Juario Henardino")</f>
        <v>Juario Henardino</v>
      </c>
      <c r="E1977" s="1" t="str">
        <f>IFERROR(__xludf.DUMMYFUNCTION("""COMPUTED_VALUE"""),"Valladores Jude baka ang idolo pareha kayo lutang ang isis sa times lang na hirapan 😂 😂 😂 😂 😂 😂 at ang akong anak puro babae dalawa panganay na babae sino ngayon sabog at lutang 😂 😂 😂 😂 😂 😂 😂")</f>
        <v>Valladores Jude baka ang idolo pareha kayo lutang ang isis sa times lang na hirapan 😂 😂 😂 😂 😂 😂 at ang akong anak puro babae dalawa panganay na babae sino ngayon sabog at lutang 😂 😂 😂 😂 😂 😂 😂</v>
      </c>
      <c r="F1977" s="1"/>
      <c r="G1977" s="1" t="str">
        <f>IFERROR(__xludf.DUMMYFUNCTION("""COMPUTED_VALUE"""),"3 mos")</f>
        <v>3 mos</v>
      </c>
      <c r="H1977" s="1" t="str">
        <f>IFERROR(__xludf.DUMMYFUNCTION("""COMPUTED_VALUE"""),"reply")</f>
        <v>reply</v>
      </c>
      <c r="I197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7" s="1" t="str">
        <f>IFERROR(__xludf.DUMMYFUNCTION("""COMPUTED_VALUE"""),"2022-07-04T15:46:23.009Z")</f>
        <v>2022-07-04T15:46:23.009Z</v>
      </c>
      <c r="K1977" s="1"/>
    </row>
    <row r="1978">
      <c r="A1978" s="2" t="str">
        <f>IFERROR(__xludf.DUMMYFUNCTION("""COMPUTED_VALUE"""),"https://www.facebook.com/Valladoresjude1988")</f>
        <v>https://www.facebook.com/Valladoresjude1988</v>
      </c>
      <c r="B1978" s="1" t="str">
        <f>IFERROR(__xludf.DUMMYFUNCTION("""COMPUTED_VALUE"""),"Valladorez Jude")</f>
        <v>Valladorez Jude</v>
      </c>
      <c r="C1978" s="1" t="str">
        <f>IFERROR(__xludf.DUMMYFUNCTION("""COMPUTED_VALUE"""),"Valladorez")</f>
        <v>Valladorez</v>
      </c>
      <c r="D1978" s="1" t="str">
        <f>IFERROR(__xludf.DUMMYFUNCTION("""COMPUTED_VALUE"""),"Jude")</f>
        <v>Jude</v>
      </c>
      <c r="E1978" s="1" t="str">
        <f>IFERROR(__xludf.DUMMYFUNCTION("""COMPUTED_VALUE"""),"Sarah Juario Henardino haha lutang ang amo mo.. nag aalamano 😂😂")</f>
        <v>Sarah Juario Henardino haha lutang ang amo mo.. nag aalamano 😂😂</v>
      </c>
      <c r="F1978" s="1"/>
      <c r="G1978" s="1" t="str">
        <f>IFERROR(__xludf.DUMMYFUNCTION("""COMPUTED_VALUE"""),"3 mos")</f>
        <v>3 mos</v>
      </c>
      <c r="H1978" s="1" t="str">
        <f>IFERROR(__xludf.DUMMYFUNCTION("""COMPUTED_VALUE"""),"reply")</f>
        <v>reply</v>
      </c>
      <c r="I197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8" s="1" t="str">
        <f>IFERROR(__xludf.DUMMYFUNCTION("""COMPUTED_VALUE"""),"2022-07-04T15:46:23.009Z")</f>
        <v>2022-07-04T15:46:23.009Z</v>
      </c>
      <c r="K1978" s="1"/>
    </row>
    <row r="1979">
      <c r="A1979" s="2" t="str">
        <f>IFERROR(__xludf.DUMMYFUNCTION("""COMPUTED_VALUE"""),"https://www.facebook.com/Valladoresjude1988")</f>
        <v>https://www.facebook.com/Valladoresjude1988</v>
      </c>
      <c r="B1979" s="1" t="str">
        <f>IFERROR(__xludf.DUMMYFUNCTION("""COMPUTED_VALUE"""),"Valladorez Jude")</f>
        <v>Valladorez Jude</v>
      </c>
      <c r="C1979" s="1" t="str">
        <f>IFERROR(__xludf.DUMMYFUNCTION("""COMPUTED_VALUE"""),"Valladorez")</f>
        <v>Valladorez</v>
      </c>
      <c r="D1979" s="1" t="str">
        <f>IFERROR(__xludf.DUMMYFUNCTION("""COMPUTED_VALUE"""),"Jude")</f>
        <v>Jude</v>
      </c>
      <c r="E1979" s="1" t="str">
        <f>IFERROR(__xludf.DUMMYFUNCTION("""COMPUTED_VALUE"""),"Mag aalaga daw ng galunggong🤣🤣")</f>
        <v>Mag aalaga daw ng galunggong🤣🤣</v>
      </c>
      <c r="F1979" s="1"/>
      <c r="G1979" s="1" t="str">
        <f>IFERROR(__xludf.DUMMYFUNCTION("""COMPUTED_VALUE"""),"3 mos")</f>
        <v>3 mos</v>
      </c>
      <c r="H1979" s="1" t="str">
        <f>IFERROR(__xludf.DUMMYFUNCTION("""COMPUTED_VALUE"""),"reply")</f>
        <v>reply</v>
      </c>
      <c r="I197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79" s="1" t="str">
        <f>IFERROR(__xludf.DUMMYFUNCTION("""COMPUTED_VALUE"""),"2022-07-04T15:46:23.009Z")</f>
        <v>2022-07-04T15:46:23.009Z</v>
      </c>
      <c r="K1979" s="1"/>
    </row>
    <row r="1980">
      <c r="A1980" s="2" t="str">
        <f>IFERROR(__xludf.DUMMYFUNCTION("""COMPUTED_VALUE"""),"https://www.facebook.com/rey.cuizon.90")</f>
        <v>https://www.facebook.com/rey.cuizon.90</v>
      </c>
      <c r="B1980" s="1" t="str">
        <f>IFERROR(__xludf.DUMMYFUNCTION("""COMPUTED_VALUE"""),"Rey Cuizon")</f>
        <v>Rey Cuizon</v>
      </c>
      <c r="C1980" s="1" t="str">
        <f>IFERROR(__xludf.DUMMYFUNCTION("""COMPUTED_VALUE"""),"Rey")</f>
        <v>Rey</v>
      </c>
      <c r="D1980" s="1" t="str">
        <f>IFERROR(__xludf.DUMMYFUNCTION("""COMPUTED_VALUE"""),"Cuizon")</f>
        <v>Cuizon</v>
      </c>
      <c r="E1980" s="1" t="str">
        <f>IFERROR(__xludf.DUMMYFUNCTION("""COMPUTED_VALUE"""),"Woooowwwwww.... unstoppable na talaga")</f>
        <v>Woooowwwwww.... unstoppable na talaga</v>
      </c>
      <c r="F1980" s="1"/>
      <c r="G1980" s="1" t="str">
        <f>IFERROR(__xludf.DUMMYFUNCTION("""COMPUTED_VALUE"""),"3 mos")</f>
        <v>3 mos</v>
      </c>
      <c r="H1980" s="1" t="str">
        <f>IFERROR(__xludf.DUMMYFUNCTION("""COMPUTED_VALUE"""),"comment")</f>
        <v>comment</v>
      </c>
      <c r="I198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0" s="1" t="str">
        <f>IFERROR(__xludf.DUMMYFUNCTION("""COMPUTED_VALUE"""),"2022-07-04T15:46:23.009Z")</f>
        <v>2022-07-04T15:46:23.009Z</v>
      </c>
      <c r="K1980" s="1"/>
    </row>
    <row r="1981">
      <c r="A1981" s="2" t="str">
        <f>IFERROR(__xludf.DUMMYFUNCTION("""COMPUTED_VALUE"""),"https://www.facebook.com/dhoy.mamarinta")</f>
        <v>https://www.facebook.com/dhoy.mamarinta</v>
      </c>
      <c r="B1981" s="1" t="str">
        <f>IFERROR(__xludf.DUMMYFUNCTION("""COMPUTED_VALUE"""),"Dhoy Delo Santos Mamarinta")</f>
        <v>Dhoy Delo Santos Mamarinta</v>
      </c>
      <c r="C1981" s="1" t="str">
        <f>IFERROR(__xludf.DUMMYFUNCTION("""COMPUTED_VALUE"""),"Dhoy")</f>
        <v>Dhoy</v>
      </c>
      <c r="D1981" s="1" t="str">
        <f>IFERROR(__xludf.DUMMYFUNCTION("""COMPUTED_VALUE"""),"Delo Santos Mamarinta")</f>
        <v>Delo Santos Mamarinta</v>
      </c>
      <c r="E1981" s="1" t="str">
        <f>IFERROR(__xludf.DUMMYFUNCTION("""COMPUTED_VALUE"""),"Noon,puro balloon...Ngayon,payong na naman")</f>
        <v>Noon,puro balloon...Ngayon,payong na naman</v>
      </c>
      <c r="F1981" s="1"/>
      <c r="G1981" s="1" t="str">
        <f>IFERROR(__xludf.DUMMYFUNCTION("""COMPUTED_VALUE"""),"3 mos")</f>
        <v>3 mos</v>
      </c>
      <c r="H1981" s="1" t="str">
        <f>IFERROR(__xludf.DUMMYFUNCTION("""COMPUTED_VALUE"""),"comment")</f>
        <v>comment</v>
      </c>
      <c r="I198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1" s="1" t="str">
        <f>IFERROR(__xludf.DUMMYFUNCTION("""COMPUTED_VALUE"""),"2022-07-04T15:46:23.009Z")</f>
        <v>2022-07-04T15:46:23.009Z</v>
      </c>
      <c r="K1981" s="1"/>
    </row>
    <row r="1982">
      <c r="A1982" s="2" t="str">
        <f>IFERROR(__xludf.DUMMYFUNCTION("""COMPUTED_VALUE"""),"https://www.facebook.com/jayjay.paras.10")</f>
        <v>https://www.facebook.com/jayjay.paras.10</v>
      </c>
      <c r="B1982" s="1" t="str">
        <f>IFERROR(__xludf.DUMMYFUNCTION("""COMPUTED_VALUE"""),"Jayjay Paras")</f>
        <v>Jayjay Paras</v>
      </c>
      <c r="C1982" s="1" t="str">
        <f>IFERROR(__xludf.DUMMYFUNCTION("""COMPUTED_VALUE"""),"Jayjay")</f>
        <v>Jayjay</v>
      </c>
      <c r="D1982" s="1" t="str">
        <f>IFERROR(__xludf.DUMMYFUNCTION("""COMPUTED_VALUE"""),"Paras")</f>
        <v>Paras</v>
      </c>
      <c r="E1982" s="1" t="str">
        <f>IFERROR(__xludf.DUMMYFUNCTION("""COMPUTED_VALUE"""),"Dhoy Delo Santos Mamarinta pre NIPS YAN HAHAHA YUNG CHOCOLATE NA IBAT IBANG KULAY HAHA")</f>
        <v>Dhoy Delo Santos Mamarinta pre NIPS YAN HAHAHA YUNG CHOCOLATE NA IBAT IBANG KULAY HAHA</v>
      </c>
      <c r="F1982" s="1"/>
      <c r="G1982" s="1" t="str">
        <f>IFERROR(__xludf.DUMMYFUNCTION("""COMPUTED_VALUE"""),"3 mos")</f>
        <v>3 mos</v>
      </c>
      <c r="H1982" s="1" t="str">
        <f>IFERROR(__xludf.DUMMYFUNCTION("""COMPUTED_VALUE"""),"reply")</f>
        <v>reply</v>
      </c>
      <c r="I198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2" s="1" t="str">
        <f>IFERROR(__xludf.DUMMYFUNCTION("""COMPUTED_VALUE"""),"2022-07-04T15:46:23.009Z")</f>
        <v>2022-07-04T15:46:23.009Z</v>
      </c>
      <c r="K1982" s="1"/>
    </row>
    <row r="1983">
      <c r="A1983" s="2" t="str">
        <f>IFERROR(__xludf.DUMMYFUNCTION("""COMPUTED_VALUE"""),"https://www.facebook.com/nuisance9999")</f>
        <v>https://www.facebook.com/nuisance9999</v>
      </c>
      <c r="B1983" s="1" t="str">
        <f>IFERROR(__xludf.DUMMYFUNCTION("""COMPUTED_VALUE"""),"Leo Parman")</f>
        <v>Leo Parman</v>
      </c>
      <c r="C1983" s="1" t="str">
        <f>IFERROR(__xludf.DUMMYFUNCTION("""COMPUTED_VALUE"""),"Leo")</f>
        <v>Leo</v>
      </c>
      <c r="D1983" s="1" t="str">
        <f>IFERROR(__xludf.DUMMYFUNCTION("""COMPUTED_VALUE"""),"Parman")</f>
        <v>Parman</v>
      </c>
      <c r="E1983" s="1" t="str">
        <f>IFERROR(__xludf.DUMMYFUNCTION("""COMPUTED_VALUE"""),"mainit grabe ngayon")</f>
        <v>mainit grabe ngayon</v>
      </c>
      <c r="F1983" s="1"/>
      <c r="G1983" s="1" t="str">
        <f>IFERROR(__xludf.DUMMYFUNCTION("""COMPUTED_VALUE"""),"3 mos")</f>
        <v>3 mos</v>
      </c>
      <c r="H1983" s="1" t="str">
        <f>IFERROR(__xludf.DUMMYFUNCTION("""COMPUTED_VALUE"""),"comment")</f>
        <v>comment</v>
      </c>
      <c r="I198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3" s="1" t="str">
        <f>IFERROR(__xludf.DUMMYFUNCTION("""COMPUTED_VALUE"""),"2022-07-04T15:46:23.009Z")</f>
        <v>2022-07-04T15:46:23.009Z</v>
      </c>
      <c r="K1983" s="1"/>
    </row>
    <row r="1984">
      <c r="A1984" s="2" t="str">
        <f>IFERROR(__xludf.DUMMYFUNCTION("""COMPUTED_VALUE"""),"https://www.facebook.com/profile.php?id=100072014363480")</f>
        <v>https://www.facebook.com/profile.php?id=100072014363480</v>
      </c>
      <c r="B1984" s="1" t="str">
        <f>IFERROR(__xludf.DUMMYFUNCTION("""COMPUTED_VALUE"""),"Jeffrey Hawk")</f>
        <v>Jeffrey Hawk</v>
      </c>
      <c r="C1984" s="1" t="str">
        <f>IFERROR(__xludf.DUMMYFUNCTION("""COMPUTED_VALUE"""),"Jeffrey")</f>
        <v>Jeffrey</v>
      </c>
      <c r="D1984" s="1" t="str">
        <f>IFERROR(__xludf.DUMMYFUNCTION("""COMPUTED_VALUE"""),"Hawk")</f>
        <v>Hawk</v>
      </c>
      <c r="E1984" s="1" t="str">
        <f>IFERROR(__xludf.DUMMYFUNCTION("""COMPUTED_VALUE"""),"Solido💪💪💪")</f>
        <v>Solido💪💪💪</v>
      </c>
      <c r="F1984" s="1"/>
      <c r="G1984" s="1" t="str">
        <f>IFERROR(__xludf.DUMMYFUNCTION("""COMPUTED_VALUE"""),"3 mos")</f>
        <v>3 mos</v>
      </c>
      <c r="H1984" s="1" t="str">
        <f>IFERROR(__xludf.DUMMYFUNCTION("""COMPUTED_VALUE"""),"comment")</f>
        <v>comment</v>
      </c>
      <c r="I198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4" s="1" t="str">
        <f>IFERROR(__xludf.DUMMYFUNCTION("""COMPUTED_VALUE"""),"2022-07-04T15:46:23.009Z")</f>
        <v>2022-07-04T15:46:23.009Z</v>
      </c>
      <c r="K1984" s="1"/>
    </row>
    <row r="1985">
      <c r="A1985" s="2" t="str">
        <f>IFERROR(__xludf.DUMMYFUNCTION("""COMPUTED_VALUE"""),"https://www.facebook.com/OFCSuperFranztendo6469")</f>
        <v>https://www.facebook.com/OFCSuperFranztendo6469</v>
      </c>
      <c r="B1985" s="1" t="str">
        <f>IFERROR(__xludf.DUMMYFUNCTION("""COMPUTED_VALUE"""),"Franz Anthony Dapulang Copina")</f>
        <v>Franz Anthony Dapulang Copina</v>
      </c>
      <c r="C1985" s="1" t="str">
        <f>IFERROR(__xludf.DUMMYFUNCTION("""COMPUTED_VALUE"""),"Franz")</f>
        <v>Franz</v>
      </c>
      <c r="D1985" s="1" t="str">
        <f>IFERROR(__xludf.DUMMYFUNCTION("""COMPUTED_VALUE"""),"Anthony Dapulang Copina")</f>
        <v>Anthony Dapulang Copina</v>
      </c>
      <c r="E1985" s="1" t="str">
        <f>IFERROR(__xludf.DUMMYFUNCTION("""COMPUTED_VALUE"""),"I expect na may mga alamano stans here")</f>
        <v>I expect na may mga alamano stans here</v>
      </c>
      <c r="F1985" s="1">
        <f>IFERROR(__xludf.DUMMYFUNCTION("""COMPUTED_VALUE"""),1.0)</f>
        <v>1</v>
      </c>
      <c r="G1985" s="1" t="str">
        <f>IFERROR(__xludf.DUMMYFUNCTION("""COMPUTED_VALUE"""),"3 mos")</f>
        <v>3 mos</v>
      </c>
      <c r="H1985" s="1" t="str">
        <f>IFERROR(__xludf.DUMMYFUNCTION("""COMPUTED_VALUE"""),"comment")</f>
        <v>comment</v>
      </c>
      <c r="I198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5" s="1" t="str">
        <f>IFERROR(__xludf.DUMMYFUNCTION("""COMPUTED_VALUE"""),"2022-07-04T15:46:23.009Z")</f>
        <v>2022-07-04T15:46:23.009Z</v>
      </c>
      <c r="K1985" s="1"/>
    </row>
    <row r="1986">
      <c r="A1986" s="2" t="str">
        <f>IFERROR(__xludf.DUMMYFUNCTION("""COMPUTED_VALUE"""),"https://www.facebook.com/lemrah91")</f>
        <v>https://www.facebook.com/lemrah91</v>
      </c>
      <c r="B1986" s="1" t="str">
        <f>IFERROR(__xludf.DUMMYFUNCTION("""COMPUTED_VALUE"""),"Lemrah Lepisag")</f>
        <v>Lemrah Lepisag</v>
      </c>
      <c r="C1986" s="1" t="str">
        <f>IFERROR(__xludf.DUMMYFUNCTION("""COMPUTED_VALUE"""),"Lemrah")</f>
        <v>Lemrah</v>
      </c>
      <c r="D1986" s="1" t="str">
        <f>IFERROR(__xludf.DUMMYFUNCTION("""COMPUTED_VALUE"""),"Lepisag")</f>
        <v>Lepisag</v>
      </c>
      <c r="E1986" s="1" t="str">
        <f>IFERROR(__xludf.DUMMYFUNCTION("""COMPUTED_VALUE"""),"Puno na po sa loob..at marami pang nakapila sa labas..ang iba nasa St.Mary's ground na..")</f>
        <v>Puno na po sa loob..at marami pang nakapila sa labas..ang iba nasa St.Mary's ground na..</v>
      </c>
      <c r="F1986" s="1">
        <f>IFERROR(__xludf.DUMMYFUNCTION("""COMPUTED_VALUE"""),4.0)</f>
        <v>4</v>
      </c>
      <c r="G1986" s="1" t="str">
        <f>IFERROR(__xludf.DUMMYFUNCTION("""COMPUTED_VALUE"""),"3 mos")</f>
        <v>3 mos</v>
      </c>
      <c r="H1986" s="1" t="str">
        <f>IFERROR(__xludf.DUMMYFUNCTION("""COMPUTED_VALUE"""),"comment")</f>
        <v>comment</v>
      </c>
      <c r="I198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6" s="1" t="str">
        <f>IFERROR(__xludf.DUMMYFUNCTION("""COMPUTED_VALUE"""),"2022-07-04T15:46:23.009Z")</f>
        <v>2022-07-04T15:46:23.009Z</v>
      </c>
      <c r="K1986" s="1"/>
    </row>
    <row r="1987">
      <c r="A1987" s="2" t="str">
        <f>IFERROR(__xludf.DUMMYFUNCTION("""COMPUTED_VALUE"""),"https://www.facebook.com/profile.php?id=100074399225331")</f>
        <v>https://www.facebook.com/profile.php?id=100074399225331</v>
      </c>
      <c r="B1987" s="1" t="str">
        <f>IFERROR(__xludf.DUMMYFUNCTION("""COMPUTED_VALUE"""),"Cooller Jessie")</f>
        <v>Cooller Jessie</v>
      </c>
      <c r="C1987" s="1" t="str">
        <f>IFERROR(__xludf.DUMMYFUNCTION("""COMPUTED_VALUE"""),"Cooller")</f>
        <v>Cooller</v>
      </c>
      <c r="D1987" s="1" t="str">
        <f>IFERROR(__xludf.DUMMYFUNCTION("""COMPUTED_VALUE"""),"Jessie")</f>
        <v>Jessie</v>
      </c>
      <c r="E1987" s="1" t="str">
        <f>IFERROR(__xludf.DUMMYFUNCTION("""COMPUTED_VALUE"""),"Gqnyqn ang mga kakqmpink sa camanava..solid kqkqmpink god bless po sa inyong lahat 🙏🙏🙏👆👆👆💓💓💓")</f>
        <v>Gqnyqn ang mga kakqmpink sa camanava..solid kqkqmpink god bless po sa inyong lahat 🙏🙏🙏👆👆👆💓💓💓</v>
      </c>
      <c r="F1987" s="1"/>
      <c r="G1987" s="1" t="str">
        <f>IFERROR(__xludf.DUMMYFUNCTION("""COMPUTED_VALUE"""),"3 mos")</f>
        <v>3 mos</v>
      </c>
      <c r="H1987" s="1" t="str">
        <f>IFERROR(__xludf.DUMMYFUNCTION("""COMPUTED_VALUE"""),"comment")</f>
        <v>comment</v>
      </c>
      <c r="I198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7" s="1" t="str">
        <f>IFERROR(__xludf.DUMMYFUNCTION("""COMPUTED_VALUE"""),"2022-07-04T15:46:23.009Z")</f>
        <v>2022-07-04T15:46:23.009Z</v>
      </c>
      <c r="K1987" s="1"/>
    </row>
    <row r="1988">
      <c r="A1988" s="2" t="str">
        <f>IFERROR(__xludf.DUMMYFUNCTION("""COMPUTED_VALUE"""),"https://www.facebook.com/ron.koleen")</f>
        <v>https://www.facebook.com/ron.koleen</v>
      </c>
      <c r="B1988" s="1" t="str">
        <f>IFERROR(__xludf.DUMMYFUNCTION("""COMPUTED_VALUE"""),"Ronaldo Cayetano")</f>
        <v>Ronaldo Cayetano</v>
      </c>
      <c r="C1988" s="1" t="str">
        <f>IFERROR(__xludf.DUMMYFUNCTION("""COMPUTED_VALUE"""),"Ronaldo")</f>
        <v>Ronaldo</v>
      </c>
      <c r="D1988" s="1" t="str">
        <f>IFERROR(__xludf.DUMMYFUNCTION("""COMPUTED_VALUE"""),"Cayetano")</f>
        <v>Cayetano</v>
      </c>
      <c r="E1988" s="1" t="str">
        <f>IFERROR(__xludf.DUMMYFUNCTION("""COMPUTED_VALUE"""),"Kokonti pa")</f>
        <v>Kokonti pa</v>
      </c>
      <c r="F1988" s="1"/>
      <c r="G1988" s="1" t="str">
        <f>IFERROR(__xludf.DUMMYFUNCTION("""COMPUTED_VALUE"""),"3 mos")</f>
        <v>3 mos</v>
      </c>
      <c r="H1988" s="1" t="str">
        <f>IFERROR(__xludf.DUMMYFUNCTION("""COMPUTED_VALUE"""),"comment")</f>
        <v>comment</v>
      </c>
      <c r="I198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8" s="1" t="str">
        <f>IFERROR(__xludf.DUMMYFUNCTION("""COMPUTED_VALUE"""),"2022-07-04T15:46:23.009Z")</f>
        <v>2022-07-04T15:46:23.009Z</v>
      </c>
      <c r="K1988" s="1"/>
    </row>
    <row r="1989">
      <c r="A1989" s="2" t="str">
        <f>IFERROR(__xludf.DUMMYFUNCTION("""COMPUTED_VALUE"""),"https://www.facebook.com/manny.crisostomo")</f>
        <v>https://www.facebook.com/manny.crisostomo</v>
      </c>
      <c r="B1989" s="1" t="str">
        <f>IFERROR(__xludf.DUMMYFUNCTION("""COMPUTED_VALUE"""),"Manny Crisostomo")</f>
        <v>Manny Crisostomo</v>
      </c>
      <c r="C1989" s="1" t="str">
        <f>IFERROR(__xludf.DUMMYFUNCTION("""COMPUTED_VALUE"""),"Manny")</f>
        <v>Manny</v>
      </c>
      <c r="D1989" s="1" t="str">
        <f>IFERROR(__xludf.DUMMYFUNCTION("""COMPUTED_VALUE"""),"Crisostomo")</f>
        <v>Crisostomo</v>
      </c>
      <c r="E1989" s="1" t="str">
        <f>IFERROR(__xludf.DUMMYFUNCTION("""COMPUTED_VALUE"""),"Dadami pa yan, maiinit lang sobra")</f>
        <v>Dadami pa yan, maiinit lang sobra</v>
      </c>
      <c r="F1989" s="1"/>
      <c r="G1989" s="1" t="str">
        <f>IFERROR(__xludf.DUMMYFUNCTION("""COMPUTED_VALUE"""),"3 mos")</f>
        <v>3 mos</v>
      </c>
      <c r="H1989" s="1" t="str">
        <f>IFERROR(__xludf.DUMMYFUNCTION("""COMPUTED_VALUE"""),"comment")</f>
        <v>comment</v>
      </c>
      <c r="I198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89" s="1" t="str">
        <f>IFERROR(__xludf.DUMMYFUNCTION("""COMPUTED_VALUE"""),"2022-07-04T15:46:23.009Z")</f>
        <v>2022-07-04T15:46:23.009Z</v>
      </c>
      <c r="K1989" s="1"/>
    </row>
    <row r="1990">
      <c r="A1990" s="2" t="str">
        <f>IFERROR(__xludf.DUMMYFUNCTION("""COMPUTED_VALUE"""),"https://www.facebook.com/profile.php?id=100007917738516")</f>
        <v>https://www.facebook.com/profile.php?id=100007917738516</v>
      </c>
      <c r="B1990" s="1" t="str">
        <f>IFERROR(__xludf.DUMMYFUNCTION("""COMPUTED_VALUE"""),"Danziel Alvarez")</f>
        <v>Danziel Alvarez</v>
      </c>
      <c r="C1990" s="1" t="str">
        <f>IFERROR(__xludf.DUMMYFUNCTION("""COMPUTED_VALUE"""),"Danziel")</f>
        <v>Danziel</v>
      </c>
      <c r="D1990" s="1" t="str">
        <f>IFERROR(__xludf.DUMMYFUNCTION("""COMPUTED_VALUE"""),"Alvarez")</f>
        <v>Alvarez</v>
      </c>
      <c r="E1990" s="1" t="str">
        <f>IFERROR(__xludf.DUMMYFUNCTION("""COMPUTED_VALUE"""),"Padating na po mamaya yung mga inorder nyong lobo para mas makapal ang dami ng tao pag drone shot")</f>
        <v>Padating na po mamaya yung mga inorder nyong lobo para mas makapal ang dami ng tao pag drone shot</v>
      </c>
      <c r="F1990" s="1"/>
      <c r="G1990" s="1" t="str">
        <f>IFERROR(__xludf.DUMMYFUNCTION("""COMPUTED_VALUE"""),"3 mos")</f>
        <v>3 mos</v>
      </c>
      <c r="H1990" s="1" t="str">
        <f>IFERROR(__xludf.DUMMYFUNCTION("""COMPUTED_VALUE"""),"comment")</f>
        <v>comment</v>
      </c>
      <c r="I1990"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0" s="1" t="str">
        <f>IFERROR(__xludf.DUMMYFUNCTION("""COMPUTED_VALUE"""),"2022-07-04T15:46:23.009Z")</f>
        <v>2022-07-04T15:46:23.009Z</v>
      </c>
      <c r="K1990" s="1"/>
    </row>
    <row r="1991">
      <c r="A1991" s="2" t="str">
        <f>IFERROR(__xludf.DUMMYFUNCTION("""COMPUTED_VALUE"""),"https://www.facebook.com/profile.php?id=100046010886575")</f>
        <v>https://www.facebook.com/profile.php?id=100046010886575</v>
      </c>
      <c r="B1991" s="1" t="str">
        <f>IFERROR(__xludf.DUMMYFUNCTION("""COMPUTED_VALUE"""),"Edmond Dantes")</f>
        <v>Edmond Dantes</v>
      </c>
      <c r="C1991" s="1" t="str">
        <f>IFERROR(__xludf.DUMMYFUNCTION("""COMPUTED_VALUE"""),"Edmond")</f>
        <v>Edmond</v>
      </c>
      <c r="D1991" s="1" t="str">
        <f>IFERROR(__xludf.DUMMYFUNCTION("""COMPUTED_VALUE"""),"Dantes")</f>
        <v>Dantes</v>
      </c>
      <c r="E1991" s="1" t="str">
        <f>IFERROR(__xludf.DUMMYFUNCTION("""COMPUTED_VALUE"""),"Dami ah")</f>
        <v>Dami ah</v>
      </c>
      <c r="F1991" s="1"/>
      <c r="G1991" s="1" t="str">
        <f>IFERROR(__xludf.DUMMYFUNCTION("""COMPUTED_VALUE"""),"3 mos")</f>
        <v>3 mos</v>
      </c>
      <c r="H1991" s="1" t="str">
        <f>IFERROR(__xludf.DUMMYFUNCTION("""COMPUTED_VALUE"""),"comment")</f>
        <v>comment</v>
      </c>
      <c r="I1991"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1" s="1" t="str">
        <f>IFERROR(__xludf.DUMMYFUNCTION("""COMPUTED_VALUE"""),"2022-07-04T15:46:23.009Z")</f>
        <v>2022-07-04T15:46:23.009Z</v>
      </c>
      <c r="K1991" s="1"/>
    </row>
    <row r="1992">
      <c r="A1992" s="2" t="str">
        <f>IFERROR(__xludf.DUMMYFUNCTION("""COMPUTED_VALUE"""),"https://www.facebook.com/joshua.candelario.712")</f>
        <v>https://www.facebook.com/joshua.candelario.712</v>
      </c>
      <c r="B1992" s="1" t="str">
        <f>IFERROR(__xludf.DUMMYFUNCTION("""COMPUTED_VALUE"""),"Joshua Candelario")</f>
        <v>Joshua Candelario</v>
      </c>
      <c r="C1992" s="1" t="str">
        <f>IFERROR(__xludf.DUMMYFUNCTION("""COMPUTED_VALUE"""),"Joshua")</f>
        <v>Joshua</v>
      </c>
      <c r="D1992" s="1" t="str">
        <f>IFERROR(__xludf.DUMMYFUNCTION("""COMPUTED_VALUE"""),"Candelario")</f>
        <v>Candelario</v>
      </c>
      <c r="E1992" s="1" t="str">
        <f>IFERROR(__xludf.DUMMYFUNCTION("""COMPUTED_VALUE"""),"Dami ah.")</f>
        <v>Dami ah.</v>
      </c>
      <c r="F1992" s="1"/>
      <c r="G1992" s="1" t="str">
        <f>IFERROR(__xludf.DUMMYFUNCTION("""COMPUTED_VALUE"""),"3 mos")</f>
        <v>3 mos</v>
      </c>
      <c r="H1992" s="1" t="str">
        <f>IFERROR(__xludf.DUMMYFUNCTION("""COMPUTED_VALUE"""),"comment")</f>
        <v>comment</v>
      </c>
      <c r="I1992"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2" s="1" t="str">
        <f>IFERROR(__xludf.DUMMYFUNCTION("""COMPUTED_VALUE"""),"2022-07-04T15:46:23.009Z")</f>
        <v>2022-07-04T15:46:23.009Z</v>
      </c>
      <c r="K1992" s="1"/>
    </row>
    <row r="1993">
      <c r="A1993" s="2" t="str">
        <f>IFERROR(__xludf.DUMMYFUNCTION("""COMPUTED_VALUE"""),"https://www.facebook.com/heng.shield")</f>
        <v>https://www.facebook.com/heng.shield</v>
      </c>
      <c r="B1993" s="1" t="str">
        <f>IFERROR(__xludf.DUMMYFUNCTION("""COMPUTED_VALUE"""),"Carlo Cruz")</f>
        <v>Carlo Cruz</v>
      </c>
      <c r="C1993" s="1" t="str">
        <f>IFERROR(__xludf.DUMMYFUNCTION("""COMPUTED_VALUE"""),"Carlo")</f>
        <v>Carlo</v>
      </c>
      <c r="D1993" s="1" t="str">
        <f>IFERROR(__xludf.DUMMYFUNCTION("""COMPUTED_VALUE"""),"Cruz")</f>
        <v>Cruz</v>
      </c>
      <c r="E1993" s="1" t="str">
        <f>IFERROR(__xludf.DUMMYFUNCTION("""COMPUTED_VALUE"""),"I sama nyo na sa bilang mga lobo")</f>
        <v>I sama nyo na sa bilang mga lobo</v>
      </c>
      <c r="F1993" s="1"/>
      <c r="G1993" s="1" t="str">
        <f>IFERROR(__xludf.DUMMYFUNCTION("""COMPUTED_VALUE"""),"3 mos")</f>
        <v>3 mos</v>
      </c>
      <c r="H1993" s="1" t="str">
        <f>IFERROR(__xludf.DUMMYFUNCTION("""COMPUTED_VALUE"""),"comment")</f>
        <v>comment</v>
      </c>
      <c r="I1993"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3" s="1" t="str">
        <f>IFERROR(__xludf.DUMMYFUNCTION("""COMPUTED_VALUE"""),"2022-07-04T15:46:23.009Z")</f>
        <v>2022-07-04T15:46:23.009Z</v>
      </c>
      <c r="K1993" s="1"/>
    </row>
    <row r="1994">
      <c r="A1994" s="2" t="str">
        <f>IFERROR(__xludf.DUMMYFUNCTION("""COMPUTED_VALUE"""),"https://www.facebook.com/nathan.deguzman.520900")</f>
        <v>https://www.facebook.com/nathan.deguzman.520900</v>
      </c>
      <c r="B1994" s="1" t="str">
        <f>IFERROR(__xludf.DUMMYFUNCTION("""COMPUTED_VALUE"""),"Jonathan Geronimo de Guzman")</f>
        <v>Jonathan Geronimo de Guzman</v>
      </c>
      <c r="C1994" s="1" t="str">
        <f>IFERROR(__xludf.DUMMYFUNCTION("""COMPUTED_VALUE"""),"Jonathan")</f>
        <v>Jonathan</v>
      </c>
      <c r="D1994" s="1" t="str">
        <f>IFERROR(__xludf.DUMMYFUNCTION("""COMPUTED_VALUE"""),"Geronimo de Guzman")</f>
        <v>Geronimo de Guzman</v>
      </c>
      <c r="E1994" s="1" t="str">
        <f>IFERROR(__xludf.DUMMYFUNCTION("""COMPUTED_VALUE"""),"Maaga payan pano na kapg gabi na! May Panalo na! #CAMANAVAIsPink #CAMANAVARockAndRosas")</f>
        <v>Maaga payan pano na kapg gabi na! May Panalo na! #CAMANAVAIsPink #CAMANAVARockAndRosas</v>
      </c>
      <c r="F1994" s="1">
        <f>IFERROR(__xludf.DUMMYFUNCTION("""COMPUTED_VALUE"""),1.0)</f>
        <v>1</v>
      </c>
      <c r="G1994" s="1" t="str">
        <f>IFERROR(__xludf.DUMMYFUNCTION("""COMPUTED_VALUE"""),"3 mos")</f>
        <v>3 mos</v>
      </c>
      <c r="H1994" s="1" t="str">
        <f>IFERROR(__xludf.DUMMYFUNCTION("""COMPUTED_VALUE"""),"comment")</f>
        <v>comment</v>
      </c>
      <c r="I1994"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4" s="1" t="str">
        <f>IFERROR(__xludf.DUMMYFUNCTION("""COMPUTED_VALUE"""),"2022-07-04T15:46:23.009Z")</f>
        <v>2022-07-04T15:46:23.009Z</v>
      </c>
      <c r="K1994" s="1"/>
    </row>
    <row r="1995">
      <c r="A1995" s="2" t="str">
        <f>IFERROR(__xludf.DUMMYFUNCTION("""COMPUTED_VALUE"""),"https://www.facebook.com/aries.raphael")</f>
        <v>https://www.facebook.com/aries.raphael</v>
      </c>
      <c r="B1995" s="1" t="str">
        <f>IFERROR(__xludf.DUMMYFUNCTION("""COMPUTED_VALUE"""),"Aris Dobla")</f>
        <v>Aris Dobla</v>
      </c>
      <c r="C1995" s="1" t="str">
        <f>IFERROR(__xludf.DUMMYFUNCTION("""COMPUTED_VALUE"""),"Aris")</f>
        <v>Aris</v>
      </c>
      <c r="D1995" s="1" t="str">
        <f>IFERROR(__xludf.DUMMYFUNCTION("""COMPUTED_VALUE"""),"Dobla")</f>
        <v>Dobla</v>
      </c>
      <c r="E1995" s="1" t="str">
        <f>IFERROR(__xludf.DUMMYFUNCTION("""COMPUTED_VALUE"""),"Hoy ang aga pa... salamat kakampink sa CaMaNaVa!!!")</f>
        <v>Hoy ang aga pa... salamat kakampink sa CaMaNaVa!!!</v>
      </c>
      <c r="F1995" s="1">
        <f>IFERROR(__xludf.DUMMYFUNCTION("""COMPUTED_VALUE"""),1.0)</f>
        <v>1</v>
      </c>
      <c r="G1995" s="1" t="str">
        <f>IFERROR(__xludf.DUMMYFUNCTION("""COMPUTED_VALUE"""),"3 mos")</f>
        <v>3 mos</v>
      </c>
      <c r="H1995" s="1" t="str">
        <f>IFERROR(__xludf.DUMMYFUNCTION("""COMPUTED_VALUE"""),"comment")</f>
        <v>comment</v>
      </c>
      <c r="I1995"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5" s="1" t="str">
        <f>IFERROR(__xludf.DUMMYFUNCTION("""COMPUTED_VALUE"""),"2022-07-04T15:46:23.009Z")</f>
        <v>2022-07-04T15:46:23.009Z</v>
      </c>
      <c r="K1995" s="1"/>
    </row>
    <row r="1996">
      <c r="A1996" s="2" t="str">
        <f>IFERROR(__xludf.DUMMYFUNCTION("""COMPUTED_VALUE"""),"https://www.facebook.com/jobic.aquino")</f>
        <v>https://www.facebook.com/jobic.aquino</v>
      </c>
      <c r="B1996" s="1" t="str">
        <f>IFERROR(__xludf.DUMMYFUNCTION("""COMPUTED_VALUE"""),"Raynan Marcelo")</f>
        <v>Raynan Marcelo</v>
      </c>
      <c r="C1996" s="1" t="str">
        <f>IFERROR(__xludf.DUMMYFUNCTION("""COMPUTED_VALUE"""),"Raynan")</f>
        <v>Raynan</v>
      </c>
      <c r="D1996" s="1" t="str">
        <f>IFERROR(__xludf.DUMMYFUNCTION("""COMPUTED_VALUE"""),"Marcelo")</f>
        <v>Marcelo</v>
      </c>
      <c r="E1996" s="1" t="str">
        <f>IFERROR(__xludf.DUMMYFUNCTION("""COMPUTED_VALUE"""),"Baka may maligaw  from  UNITEAM, ingatan ang Wallet at Cellphone.")</f>
        <v>Baka may maligaw  from  UNITEAM, ingatan ang Wallet at Cellphone.</v>
      </c>
      <c r="F1996" s="1"/>
      <c r="G1996" s="1" t="str">
        <f>IFERROR(__xludf.DUMMYFUNCTION("""COMPUTED_VALUE"""),"3 mos")</f>
        <v>3 mos</v>
      </c>
      <c r="H1996" s="1" t="str">
        <f>IFERROR(__xludf.DUMMYFUNCTION("""COMPUTED_VALUE"""),"comment")</f>
        <v>comment</v>
      </c>
      <c r="I1996"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6" s="1" t="str">
        <f>IFERROR(__xludf.DUMMYFUNCTION("""COMPUTED_VALUE"""),"2022-07-04T15:46:23.009Z")</f>
        <v>2022-07-04T15:46:23.009Z</v>
      </c>
      <c r="K1996" s="1"/>
    </row>
    <row r="1997">
      <c r="A1997" s="2" t="str">
        <f>IFERROR(__xludf.DUMMYFUNCTION("""COMPUTED_VALUE"""),"https://www.facebook.com/athaliecruzedez")</f>
        <v>https://www.facebook.com/athaliecruzedez</v>
      </c>
      <c r="B1997" s="1" t="str">
        <f>IFERROR(__xludf.DUMMYFUNCTION("""COMPUTED_VALUE"""),"Jrei Edez")</f>
        <v>Jrei Edez</v>
      </c>
      <c r="C1997" s="1" t="str">
        <f>IFERROR(__xludf.DUMMYFUNCTION("""COMPUTED_VALUE"""),"Jrei")</f>
        <v>Jrei</v>
      </c>
      <c r="D1997" s="1" t="str">
        <f>IFERROR(__xludf.DUMMYFUNCTION("""COMPUTED_VALUE"""),"Edez")</f>
        <v>Edez</v>
      </c>
      <c r="E1997" s="1" t="str">
        <f>IFERROR(__xludf.DUMMYFUNCTION("""COMPUTED_VALUE"""),"kano kaya per head")</f>
        <v>kano kaya per head</v>
      </c>
      <c r="F1997" s="1">
        <f>IFERROR(__xludf.DUMMYFUNCTION("""COMPUTED_VALUE"""),3.0)</f>
        <v>3</v>
      </c>
      <c r="G1997" s="1" t="str">
        <f>IFERROR(__xludf.DUMMYFUNCTION("""COMPUTED_VALUE"""),"3 mos")</f>
        <v>3 mos</v>
      </c>
      <c r="H1997" s="1" t="str">
        <f>IFERROR(__xludf.DUMMYFUNCTION("""COMPUTED_VALUE"""),"comment")</f>
        <v>comment</v>
      </c>
      <c r="I1997"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7" s="1" t="str">
        <f>IFERROR(__xludf.DUMMYFUNCTION("""COMPUTED_VALUE"""),"2022-07-04T15:46:23.009Z")</f>
        <v>2022-07-04T15:46:23.009Z</v>
      </c>
      <c r="K1997" s="1"/>
    </row>
    <row r="1998">
      <c r="A1998" s="2" t="str">
        <f>IFERROR(__xludf.DUMMYFUNCTION("""COMPUTED_VALUE"""),"https://www.facebook.com/profile.php?id=100076726444381")</f>
        <v>https://www.facebook.com/profile.php?id=100076726444381</v>
      </c>
      <c r="B1998" s="1" t="str">
        <f>IFERROR(__xludf.DUMMYFUNCTION("""COMPUTED_VALUE"""),"Dodon Ian")</f>
        <v>Dodon Ian</v>
      </c>
      <c r="C1998" s="1" t="str">
        <f>IFERROR(__xludf.DUMMYFUNCTION("""COMPUTED_VALUE"""),"Dodon")</f>
        <v>Dodon</v>
      </c>
      <c r="D1998" s="1" t="str">
        <f>IFERROR(__xludf.DUMMYFUNCTION("""COMPUTED_VALUE"""),"Ian")</f>
        <v>Ian</v>
      </c>
      <c r="E1998" s="1" t="str">
        <f>IFERROR(__xludf.DUMMYFUNCTION("""COMPUTED_VALUE"""),"😱😱😱")</f>
        <v>😱😱😱</v>
      </c>
      <c r="F1998" s="1"/>
      <c r="G1998" s="1" t="str">
        <f>IFERROR(__xludf.DUMMYFUNCTION("""COMPUTED_VALUE"""),"3 mos")</f>
        <v>3 mos</v>
      </c>
      <c r="H1998" s="1" t="str">
        <f>IFERROR(__xludf.DUMMYFUNCTION("""COMPUTED_VALUE"""),"comment")</f>
        <v>comment</v>
      </c>
      <c r="I1998"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8" s="1" t="str">
        <f>IFERROR(__xludf.DUMMYFUNCTION("""COMPUTED_VALUE"""),"2022-07-04T15:46:23.009Z")</f>
        <v>2022-07-04T15:46:23.009Z</v>
      </c>
      <c r="K1998" s="1"/>
    </row>
    <row r="1999">
      <c r="A1999" s="2" t="str">
        <f>IFERROR(__xludf.DUMMYFUNCTION("""COMPUTED_VALUE"""),"https://www.facebook.com/noel.isorena.7")</f>
        <v>https://www.facebook.com/noel.isorena.7</v>
      </c>
      <c r="B1999" s="1" t="str">
        <f>IFERROR(__xludf.DUMMYFUNCTION("""COMPUTED_VALUE"""),"Noel Isorena")</f>
        <v>Noel Isorena</v>
      </c>
      <c r="C1999" s="1" t="str">
        <f>IFERROR(__xludf.DUMMYFUNCTION("""COMPUTED_VALUE"""),"Noel")</f>
        <v>Noel</v>
      </c>
      <c r="D1999" s="1" t="str">
        <f>IFERROR(__xludf.DUMMYFUNCTION("""COMPUTED_VALUE"""),"Isorena")</f>
        <v>Isorena</v>
      </c>
      <c r="E1999" s="1" t="str">
        <f>IFERROR(__xludf.DUMMYFUNCTION("""COMPUTED_VALUE"""),"💥💥💥")</f>
        <v>💥💥💥</v>
      </c>
      <c r="F1999" s="1"/>
      <c r="G1999" s="1" t="str">
        <f>IFERROR(__xludf.DUMMYFUNCTION("""COMPUTED_VALUE"""),"3 mos")</f>
        <v>3 mos</v>
      </c>
      <c r="H1999" s="1" t="str">
        <f>IFERROR(__xludf.DUMMYFUNCTION("""COMPUTED_VALUE"""),"comment")</f>
        <v>comment</v>
      </c>
      <c r="I1999" s="2" t="str">
        <f>IFERROR(__xludf.DUMMYFUNCTION("""COMPUTED_VALUE"""),"https://www.facebook.com/rapplerdotcom/posts/pfbid0dyWpzxim3h4Z2SYriGakwQw85p7BCAgct7KU5EiMX1bmmgNHDD8nmES8rjrADsrPl")</f>
        <v>https://www.facebook.com/rapplerdotcom/posts/pfbid0dyWpzxim3h4Z2SYriGakwQw85p7BCAgct7KU5EiMX1bmmgNHDD8nmES8rjrADsrPl</v>
      </c>
      <c r="J1999" s="1" t="str">
        <f>IFERROR(__xludf.DUMMYFUNCTION("""COMPUTED_VALUE"""),"2022-07-04T15:46:23.009Z")</f>
        <v>2022-07-04T15:46:23.009Z</v>
      </c>
      <c r="K1999" s="1"/>
    </row>
    <row r="2000">
      <c r="A2000" s="2" t="str">
        <f>IFERROR(__xludf.DUMMYFUNCTION("""COMPUTED_VALUE"""),"https://www.facebook.com/noel.isorena.7")</f>
        <v>https://www.facebook.com/noel.isorena.7</v>
      </c>
      <c r="B2000" s="1" t="str">
        <f>IFERROR(__xludf.DUMMYFUNCTION("""COMPUTED_VALUE"""),"Noel Isorena")</f>
        <v>Noel Isorena</v>
      </c>
      <c r="C2000" s="1" t="str">
        <f>IFERROR(__xludf.DUMMYFUNCTION("""COMPUTED_VALUE"""),"Noel")</f>
        <v>Noel</v>
      </c>
      <c r="D2000" s="1" t="str">
        <f>IFERROR(__xludf.DUMMYFUNCTION("""COMPUTED_VALUE"""),"Isorena")</f>
        <v>Isorena</v>
      </c>
      <c r="E2000" s="1" t="str">
        <f>IFERROR(__xludf.DUMMYFUNCTION("""COMPUTED_VALUE"""),"⭐⭐⭐")</f>
        <v>⭐⭐⭐</v>
      </c>
      <c r="F2000" s="1">
        <f>IFERROR(__xludf.DUMMYFUNCTION("""COMPUTED_VALUE"""),1.0)</f>
        <v>1</v>
      </c>
      <c r="G2000" s="1" t="str">
        <f>IFERROR(__xludf.DUMMYFUNCTION("""COMPUTED_VALUE"""),"3 mos")</f>
        <v>3 mos</v>
      </c>
      <c r="H2000" s="1" t="str">
        <f>IFERROR(__xludf.DUMMYFUNCTION("""COMPUTED_VALUE"""),"comment")</f>
        <v>comment</v>
      </c>
      <c r="I2000" s="2" t="str">
        <f>IFERROR(__xludf.DUMMYFUNCTION("""COMPUTED_VALUE"""),"https://www.facebook.com/rapplerdotcom/posts/pfbid0dyWpzxim3h4Z2SYriGakwQw85p7BCAgct7KU5EiMX1bmmgNHDD8nmES8rjrADsrPl")</f>
        <v>https://www.facebook.com/rapplerdotcom/posts/pfbid0dyWpzxim3h4Z2SYriGakwQw85p7BCAgct7KU5EiMX1bmmgNHDD8nmES8rjrADsrPl</v>
      </c>
      <c r="J2000" s="1" t="str">
        <f>IFERROR(__xludf.DUMMYFUNCTION("""COMPUTED_VALUE"""),"2022-07-04T15:46:23.009Z")</f>
        <v>2022-07-04T15:46:23.009Z</v>
      </c>
      <c r="K2000" s="1"/>
    </row>
    <row r="2001">
      <c r="A2001" s="2" t="str">
        <f>IFERROR(__xludf.DUMMYFUNCTION("""COMPUTED_VALUE"""),"https://www.facebook.com/noel.isorena.7")</f>
        <v>https://www.facebook.com/noel.isorena.7</v>
      </c>
      <c r="B2001" s="1" t="str">
        <f>IFERROR(__xludf.DUMMYFUNCTION("""COMPUTED_VALUE"""),"Noel Isorena")</f>
        <v>Noel Isorena</v>
      </c>
      <c r="C2001" s="1" t="str">
        <f>IFERROR(__xludf.DUMMYFUNCTION("""COMPUTED_VALUE"""),"Noel")</f>
        <v>Noel</v>
      </c>
      <c r="D2001" s="1" t="str">
        <f>IFERROR(__xludf.DUMMYFUNCTION("""COMPUTED_VALUE"""),"Isorena")</f>
        <v>Isorena</v>
      </c>
      <c r="E2001" s="1" t="str">
        <f>IFERROR(__xludf.DUMMYFUNCTION("""COMPUTED_VALUE"""),"❤️❤️❤️")</f>
        <v>❤️❤️❤️</v>
      </c>
      <c r="F2001" s="1"/>
      <c r="G2001" s="1" t="str">
        <f>IFERROR(__xludf.DUMMYFUNCTION("""COMPUTED_VALUE"""),"3 mos")</f>
        <v>3 mos</v>
      </c>
      <c r="H2001" s="1" t="str">
        <f>IFERROR(__xludf.DUMMYFUNCTION("""COMPUTED_VALUE"""),"comment")</f>
        <v>comment</v>
      </c>
      <c r="I2001" s="2" t="str">
        <f>IFERROR(__xludf.DUMMYFUNCTION("""COMPUTED_VALUE"""),"https://www.facebook.com/rapplerdotcom/posts/pfbid0dyWpzxim3h4Z2SYriGakwQw85p7BCAgct7KU5EiMX1bmmgNHDD8nmES8rjrADsrPl")</f>
        <v>https://www.facebook.com/rapplerdotcom/posts/pfbid0dyWpzxim3h4Z2SYriGakwQw85p7BCAgct7KU5EiMX1bmmgNHDD8nmES8rjrADsrPl</v>
      </c>
      <c r="J2001" s="1" t="str">
        <f>IFERROR(__xludf.DUMMYFUNCTION("""COMPUTED_VALUE"""),"2022-07-04T15:46:23.009Z")</f>
        <v>2022-07-04T15:46:23.009Z</v>
      </c>
      <c r="K2001" s="1"/>
    </row>
    <row r="2002">
      <c r="A2002" s="2" t="str">
        <f>IFERROR(__xludf.DUMMYFUNCTION("""COMPUTED_VALUE"""),"https://www.facebook.com/noel.isorena.7")</f>
        <v>https://www.facebook.com/noel.isorena.7</v>
      </c>
      <c r="B2002" s="1" t="str">
        <f>IFERROR(__xludf.DUMMYFUNCTION("""COMPUTED_VALUE"""),"Noel Isorena")</f>
        <v>Noel Isorena</v>
      </c>
      <c r="C2002" s="1" t="str">
        <f>IFERROR(__xludf.DUMMYFUNCTION("""COMPUTED_VALUE"""),"Noel")</f>
        <v>Noel</v>
      </c>
      <c r="D2002" s="1" t="str">
        <f>IFERROR(__xludf.DUMMYFUNCTION("""COMPUTED_VALUE"""),"Isorena")</f>
        <v>Isorena</v>
      </c>
      <c r="E2002" s="1" t="str">
        <f>IFERROR(__xludf.DUMMYFUNCTION("""COMPUTED_VALUE"""),"🥰🥰🥰")</f>
        <v>🥰🥰🥰</v>
      </c>
      <c r="F2002" s="1"/>
      <c r="G2002" s="1" t="str">
        <f>IFERROR(__xludf.DUMMYFUNCTION("""COMPUTED_VALUE"""),"3 mos")</f>
        <v>3 mos</v>
      </c>
      <c r="H2002" s="1" t="str">
        <f>IFERROR(__xludf.DUMMYFUNCTION("""COMPUTED_VALUE"""),"comment")</f>
        <v>comment</v>
      </c>
      <c r="I2002" s="2" t="str">
        <f>IFERROR(__xludf.DUMMYFUNCTION("""COMPUTED_VALUE"""),"https://www.facebook.com/rapplerdotcom/posts/pfbid0dyWpzxim3h4Z2SYriGakwQw85p7BCAgct7KU5EiMX1bmmgNHDD8nmES8rjrADsrPl")</f>
        <v>https://www.facebook.com/rapplerdotcom/posts/pfbid0dyWpzxim3h4Z2SYriGakwQw85p7BCAgct7KU5EiMX1bmmgNHDD8nmES8rjrADsrPl</v>
      </c>
      <c r="J2002" s="1" t="str">
        <f>IFERROR(__xludf.DUMMYFUNCTION("""COMPUTED_VALUE"""),"2022-07-04T15:46:23.009Z")</f>
        <v>2022-07-04T15:46:23.009Z</v>
      </c>
      <c r="K2002" s="1"/>
    </row>
    <row r="2003">
      <c r="A2003" s="2" t="str">
        <f>IFERROR(__xludf.DUMMYFUNCTION("""COMPUTED_VALUE"""),"https://www.facebook.com/noel.isorena.7")</f>
        <v>https://www.facebook.com/noel.isorena.7</v>
      </c>
      <c r="B2003" s="1" t="str">
        <f>IFERROR(__xludf.DUMMYFUNCTION("""COMPUTED_VALUE"""),"Noel Isorena")</f>
        <v>Noel Isorena</v>
      </c>
      <c r="C2003" s="1" t="str">
        <f>IFERROR(__xludf.DUMMYFUNCTION("""COMPUTED_VALUE"""),"Noel")</f>
        <v>Noel</v>
      </c>
      <c r="D2003" s="1" t="str">
        <f>IFERROR(__xludf.DUMMYFUNCTION("""COMPUTED_VALUE"""),"Isorena")</f>
        <v>Isorena</v>
      </c>
      <c r="E2003" s="1" t="str">
        <f>IFERROR(__xludf.DUMMYFUNCTION("""COMPUTED_VALUE"""),"🙏🙏🙏")</f>
        <v>🙏🙏🙏</v>
      </c>
      <c r="F2003" s="1"/>
      <c r="G2003" s="1" t="str">
        <f>IFERROR(__xludf.DUMMYFUNCTION("""COMPUTED_VALUE"""),"3 mos")</f>
        <v>3 mos</v>
      </c>
      <c r="H2003" s="1" t="str">
        <f>IFERROR(__xludf.DUMMYFUNCTION("""COMPUTED_VALUE"""),"comment")</f>
        <v>comment</v>
      </c>
      <c r="I2003" s="2" t="str">
        <f>IFERROR(__xludf.DUMMYFUNCTION("""COMPUTED_VALUE"""),"https://www.facebook.com/rapplerdotcom/posts/pfbid0dyWpzxim3h4Z2SYriGakwQw85p7BCAgct7KU5EiMX1bmmgNHDD8nmES8rjrADsrPl")</f>
        <v>https://www.facebook.com/rapplerdotcom/posts/pfbid0dyWpzxim3h4Z2SYriGakwQw85p7BCAgct7KU5EiMX1bmmgNHDD8nmES8rjrADsrPl</v>
      </c>
      <c r="J2003" s="1" t="str">
        <f>IFERROR(__xludf.DUMMYFUNCTION("""COMPUTED_VALUE"""),"2022-07-04T15:46:23.009Z")</f>
        <v>2022-07-04T15:46:23.009Z</v>
      </c>
      <c r="K2003" s="1"/>
    </row>
    <row r="2004">
      <c r="A2004" s="2" t="str">
        <f>IFERROR(__xludf.DUMMYFUNCTION("""COMPUTED_VALUE"""),"https://www.facebook.com/noel.isorena.7")</f>
        <v>https://www.facebook.com/noel.isorena.7</v>
      </c>
      <c r="B2004" s="1" t="str">
        <f>IFERROR(__xludf.DUMMYFUNCTION("""COMPUTED_VALUE"""),"Noel Isorena")</f>
        <v>Noel Isorena</v>
      </c>
      <c r="C2004" s="1" t="str">
        <f>IFERROR(__xludf.DUMMYFUNCTION("""COMPUTED_VALUE"""),"Noel")</f>
        <v>Noel</v>
      </c>
      <c r="D2004" s="1" t="str">
        <f>IFERROR(__xludf.DUMMYFUNCTION("""COMPUTED_VALUE"""),"Isorena")</f>
        <v>Isorena</v>
      </c>
      <c r="E2004" s="1" t="str">
        <f>IFERROR(__xludf.DUMMYFUNCTION("""COMPUTED_VALUE"""),"✊✊✊")</f>
        <v>✊✊✊</v>
      </c>
      <c r="F2004" s="1"/>
      <c r="G2004" s="1" t="str">
        <f>IFERROR(__xludf.DUMMYFUNCTION("""COMPUTED_VALUE"""),"3 mos")</f>
        <v>3 mos</v>
      </c>
      <c r="H2004" s="1" t="str">
        <f>IFERROR(__xludf.DUMMYFUNCTION("""COMPUTED_VALUE"""),"comment")</f>
        <v>comment</v>
      </c>
      <c r="I2004" s="2" t="str">
        <f>IFERROR(__xludf.DUMMYFUNCTION("""COMPUTED_VALUE"""),"https://www.facebook.com/rapplerdotcom/posts/pfbid0dyWpzxim3h4Z2SYriGakwQw85p7BCAgct7KU5EiMX1bmmgNHDD8nmES8rjrADsrPl")</f>
        <v>https://www.facebook.com/rapplerdotcom/posts/pfbid0dyWpzxim3h4Z2SYriGakwQw85p7BCAgct7KU5EiMX1bmmgNHDD8nmES8rjrADsrPl</v>
      </c>
      <c r="J2004" s="1" t="str">
        <f>IFERROR(__xludf.DUMMYFUNCTION("""COMPUTED_VALUE"""),"2022-07-04T15:46:23.009Z")</f>
        <v>2022-07-04T15:46:23.009Z</v>
      </c>
      <c r="K2004" s="1"/>
    </row>
    <row r="2005">
      <c r="A2005" s="2" t="str">
        <f>IFERROR(__xludf.DUMMYFUNCTION("""COMPUTED_VALUE"""),"https://www.facebook.com/noel.isorena.7")</f>
        <v>https://www.facebook.com/noel.isorena.7</v>
      </c>
      <c r="B2005" s="1" t="str">
        <f>IFERROR(__xludf.DUMMYFUNCTION("""COMPUTED_VALUE"""),"Noel Isorena")</f>
        <v>Noel Isorena</v>
      </c>
      <c r="C2005" s="1" t="str">
        <f>IFERROR(__xludf.DUMMYFUNCTION("""COMPUTED_VALUE"""),"Noel")</f>
        <v>Noel</v>
      </c>
      <c r="D2005" s="1" t="str">
        <f>IFERROR(__xludf.DUMMYFUNCTION("""COMPUTED_VALUE"""),"Isorena")</f>
        <v>Isorena</v>
      </c>
      <c r="E2005" s="1" t="str">
        <f>IFERROR(__xludf.DUMMYFUNCTION("""COMPUTED_VALUE"""),"🌷🌷🌷")</f>
        <v>🌷🌷🌷</v>
      </c>
      <c r="F2005" s="1"/>
      <c r="G2005" s="1" t="str">
        <f>IFERROR(__xludf.DUMMYFUNCTION("""COMPUTED_VALUE"""),"3 mos")</f>
        <v>3 mos</v>
      </c>
      <c r="H2005" s="1" t="str">
        <f>IFERROR(__xludf.DUMMYFUNCTION("""COMPUTED_VALUE"""),"comment")</f>
        <v>comment</v>
      </c>
      <c r="I2005" s="2" t="str">
        <f>IFERROR(__xludf.DUMMYFUNCTION("""COMPUTED_VALUE"""),"https://www.facebook.com/rapplerdotcom/posts/pfbid0dyWpzxim3h4Z2SYriGakwQw85p7BCAgct7KU5EiMX1bmmgNHDD8nmES8rjrADsrPl")</f>
        <v>https://www.facebook.com/rapplerdotcom/posts/pfbid0dyWpzxim3h4Z2SYriGakwQw85p7BCAgct7KU5EiMX1bmmgNHDD8nmES8rjrADsrPl</v>
      </c>
      <c r="J2005" s="1" t="str">
        <f>IFERROR(__xludf.DUMMYFUNCTION("""COMPUTED_VALUE"""),"2022-07-04T15:46:23.009Z")</f>
        <v>2022-07-04T15:46:23.009Z</v>
      </c>
      <c r="K2005" s="1"/>
    </row>
    <row r="2006">
      <c r="A2006" s="2" t="str">
        <f>IFERROR(__xludf.DUMMYFUNCTION("""COMPUTED_VALUE"""),"https://www.facebook.com/noel.isorena.7")</f>
        <v>https://www.facebook.com/noel.isorena.7</v>
      </c>
      <c r="B2006" s="1" t="str">
        <f>IFERROR(__xludf.DUMMYFUNCTION("""COMPUTED_VALUE"""),"Noel Isorena")</f>
        <v>Noel Isorena</v>
      </c>
      <c r="C2006" s="1" t="str">
        <f>IFERROR(__xludf.DUMMYFUNCTION("""COMPUTED_VALUE"""),"Noel")</f>
        <v>Noel</v>
      </c>
      <c r="D2006" s="1" t="str">
        <f>IFERROR(__xludf.DUMMYFUNCTION("""COMPUTED_VALUE"""),"Isorena")</f>
        <v>Isorena</v>
      </c>
      <c r="E2006" s="1" t="str">
        <f>IFERROR(__xludf.DUMMYFUNCTION("""COMPUTED_VALUE"""),"👏👏👏")</f>
        <v>👏👏👏</v>
      </c>
      <c r="F2006" s="1"/>
      <c r="G2006" s="1" t="str">
        <f>IFERROR(__xludf.DUMMYFUNCTION("""COMPUTED_VALUE"""),"3 mos")</f>
        <v>3 mos</v>
      </c>
      <c r="H2006" s="1" t="str">
        <f>IFERROR(__xludf.DUMMYFUNCTION("""COMPUTED_VALUE"""),"comment")</f>
        <v>comment</v>
      </c>
      <c r="I2006" s="2" t="str">
        <f>IFERROR(__xludf.DUMMYFUNCTION("""COMPUTED_VALUE"""),"https://www.facebook.com/rapplerdotcom/posts/pfbid0dyWpzxim3h4Z2SYriGakwQw85p7BCAgct7KU5EiMX1bmmgNHDD8nmES8rjrADsrPl")</f>
        <v>https://www.facebook.com/rapplerdotcom/posts/pfbid0dyWpzxim3h4Z2SYriGakwQw85p7BCAgct7KU5EiMX1bmmgNHDD8nmES8rjrADsrPl</v>
      </c>
      <c r="J2006" s="1" t="str">
        <f>IFERROR(__xludf.DUMMYFUNCTION("""COMPUTED_VALUE"""),"2022-07-04T15:46:23.009Z")</f>
        <v>2022-07-04T15:46:23.009Z</v>
      </c>
      <c r="K2006" s="1"/>
    </row>
    <row r="2007">
      <c r="A2007" s="2" t="str">
        <f>IFERROR(__xludf.DUMMYFUNCTION("""COMPUTED_VALUE"""),"https://www.facebook.com/christopher.m.perey")</f>
        <v>https://www.facebook.com/christopher.m.perey</v>
      </c>
      <c r="B2007" s="1" t="str">
        <f>IFERROR(__xludf.DUMMYFUNCTION("""COMPUTED_VALUE"""),"Christopher Marquicias Perey")</f>
        <v>Christopher Marquicias Perey</v>
      </c>
      <c r="C2007" s="1" t="str">
        <f>IFERROR(__xludf.DUMMYFUNCTION("""COMPUTED_VALUE"""),"Christopher")</f>
        <v>Christopher</v>
      </c>
      <c r="D2007" s="1" t="str">
        <f>IFERROR(__xludf.DUMMYFUNCTION("""COMPUTED_VALUE"""),"Marquicias Perey")</f>
        <v>Marquicias Perey</v>
      </c>
      <c r="E2007" s="1" t="str">
        <f>IFERROR(__xludf.DUMMYFUNCTION("""COMPUTED_VALUE"""),"You should have advised them that 6 years ago...you insulted and maligned those people who are not on youre side and you expect them to vote for you? Where is the decency in that? Just asking...and by the way its too late..majority of the ""dugyots"" alre"&amp;"ady made up their minds! #LigawNotLugaw")</f>
        <v>You should have advised them that 6 years ago...you insulted and maligned those people who are not on youre side and you expect them to vote for you? Where is the decency in that? Just asking...and by the way its too late..majority of the "dugyots" already made up their minds! #LigawNotLugaw</v>
      </c>
      <c r="F2007" s="1">
        <f>IFERROR(__xludf.DUMMYFUNCTION("""COMPUTED_VALUE"""),12.0)</f>
        <v>12</v>
      </c>
      <c r="G2007" s="1" t="str">
        <f>IFERROR(__xludf.DUMMYFUNCTION("""COMPUTED_VALUE"""),"3 mos")</f>
        <v>3 mos</v>
      </c>
      <c r="H2007" s="1" t="str">
        <f>IFERROR(__xludf.DUMMYFUNCTION("""COMPUTED_VALUE"""),"comment")</f>
        <v>comment</v>
      </c>
      <c r="I2007"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07" s="1" t="str">
        <f>IFERROR(__xludf.DUMMYFUNCTION("""COMPUTED_VALUE"""),"2022-07-04T15:46:50.839Z")</f>
        <v>2022-07-04T15:46:50.839Z</v>
      </c>
      <c r="K2007" s="1"/>
    </row>
    <row r="2008">
      <c r="A2008" s="2" t="str">
        <f>IFERROR(__xludf.DUMMYFUNCTION("""COMPUTED_VALUE"""),"https://www.facebook.com/jubs.bravo")</f>
        <v>https://www.facebook.com/jubs.bravo</v>
      </c>
      <c r="B2008" s="1" t="str">
        <f>IFERROR(__xludf.DUMMYFUNCTION("""COMPUTED_VALUE"""),"Jubs Bravo")</f>
        <v>Jubs Bravo</v>
      </c>
      <c r="C2008" s="1" t="str">
        <f>IFERROR(__xludf.DUMMYFUNCTION("""COMPUTED_VALUE"""),"Jubs")</f>
        <v>Jubs</v>
      </c>
      <c r="D2008" s="1" t="str">
        <f>IFERROR(__xludf.DUMMYFUNCTION("""COMPUTED_VALUE"""),"Bravo")</f>
        <v>Bravo</v>
      </c>
      <c r="E2008" s="1" t="str">
        <f>IFERROR(__xludf.DUMMYFUNCTION("""COMPUTED_VALUE"""),"Christopher Marquicias Perey at the end of the day, the candidate you choose reflects the character and values that you believe in. Wag mong isisi sa past administration kung bakit miserable ang buhay mo")</f>
        <v>Christopher Marquicias Perey at the end of the day, the candidate you choose reflects the character and values that you believe in. Wag mong isisi sa past administration kung bakit miserable ang buhay mo</v>
      </c>
      <c r="F2008" s="1">
        <f>IFERROR(__xludf.DUMMYFUNCTION("""COMPUTED_VALUE"""),16.0)</f>
        <v>16</v>
      </c>
      <c r="G2008" s="1" t="str">
        <f>IFERROR(__xludf.DUMMYFUNCTION("""COMPUTED_VALUE"""),"3 mos")</f>
        <v>3 mos</v>
      </c>
      <c r="H2008" s="1" t="str">
        <f>IFERROR(__xludf.DUMMYFUNCTION("""COMPUTED_VALUE"""),"reply")</f>
        <v>reply</v>
      </c>
      <c r="I2008"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08" s="1" t="str">
        <f>IFERROR(__xludf.DUMMYFUNCTION("""COMPUTED_VALUE"""),"2022-07-04T15:46:50.839Z")</f>
        <v>2022-07-04T15:46:50.839Z</v>
      </c>
      <c r="K2008" s="1"/>
    </row>
    <row r="2009">
      <c r="A2009" s="2" t="str">
        <f>IFERROR(__xludf.DUMMYFUNCTION("""COMPUTED_VALUE"""),"https://www.facebook.com/christopher.m.perey")</f>
        <v>https://www.facebook.com/christopher.m.perey</v>
      </c>
      <c r="B2009" s="1" t="str">
        <f>IFERROR(__xludf.DUMMYFUNCTION("""COMPUTED_VALUE"""),"Christopher Marquicias Perey")</f>
        <v>Christopher Marquicias Perey</v>
      </c>
      <c r="C2009" s="1" t="str">
        <f>IFERROR(__xludf.DUMMYFUNCTION("""COMPUTED_VALUE"""),"Christopher")</f>
        <v>Christopher</v>
      </c>
      <c r="D2009" s="1" t="str">
        <f>IFERROR(__xludf.DUMMYFUNCTION("""COMPUTED_VALUE"""),"Marquicias Perey")</f>
        <v>Marquicias Perey</v>
      </c>
      <c r="E2009" s="1" t="str">
        <f>IFERROR(__xludf.DUMMYFUNCTION("""COMPUTED_VALUE"""),"Jubs Bravo and thats democracy!  And please....you cant insert a persons character and values to the candidate ur going to vote for..it goes both ways. Just to clear my statement..would you vote for a person who maligned and judge youre character for the "&amp;"past 6 years? Saan mo nkuha na isinisi ko s administration kung bkit miserable buhay ko? Paano mo nasabi na miserable buhay ko? Do you know me? Same narrative..judge..judge..and be judged.")</f>
        <v>Jubs Bravo and thats democracy!  And please....you cant insert a persons character and values to the candidate ur going to vote for..it goes both ways. Just to clear my statement..would you vote for a person who maligned and judge youre character for the past 6 years? Saan mo nkuha na isinisi ko s administration kung bkit miserable buhay ko? Paano mo nasabi na miserable buhay ko? Do you know me? Same narrative..judge..judge..and be judged.</v>
      </c>
      <c r="F2009" s="1">
        <f>IFERROR(__xludf.DUMMYFUNCTION("""COMPUTED_VALUE"""),3.0)</f>
        <v>3</v>
      </c>
      <c r="G2009" s="1" t="str">
        <f>IFERROR(__xludf.DUMMYFUNCTION("""COMPUTED_VALUE"""),"3 mos")</f>
        <v>3 mos</v>
      </c>
      <c r="H2009" s="1" t="str">
        <f>IFERROR(__xludf.DUMMYFUNCTION("""COMPUTED_VALUE"""),"reply")</f>
        <v>reply</v>
      </c>
      <c r="I2009"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09" s="1" t="str">
        <f>IFERROR(__xludf.DUMMYFUNCTION("""COMPUTED_VALUE"""),"2022-07-04T15:46:50.839Z")</f>
        <v>2022-07-04T15:46:50.839Z</v>
      </c>
      <c r="K2009" s="1"/>
    </row>
    <row r="2010">
      <c r="A2010" s="2" t="str">
        <f>IFERROR(__xludf.DUMMYFUNCTION("""COMPUTED_VALUE"""),"https://www.facebook.com/jubs.bravo")</f>
        <v>https://www.facebook.com/jubs.bravo</v>
      </c>
      <c r="B2010" s="1" t="str">
        <f>IFERROR(__xludf.DUMMYFUNCTION("""COMPUTED_VALUE"""),"Jubs Bravo")</f>
        <v>Jubs Bravo</v>
      </c>
      <c r="C2010" s="1" t="str">
        <f>IFERROR(__xludf.DUMMYFUNCTION("""COMPUTED_VALUE"""),"Jubs")</f>
        <v>Jubs</v>
      </c>
      <c r="D2010" s="1" t="str">
        <f>IFERROR(__xludf.DUMMYFUNCTION("""COMPUTED_VALUE"""),"Bravo")</f>
        <v>Bravo</v>
      </c>
      <c r="E2010" s="1" t="str">
        <f>IFERROR(__xludf.DUMMYFUNCTION("""COMPUTED_VALUE"""),"Tapos ka na??! Thank you next na. Hahahaha!")</f>
        <v>Tapos ka na??! Thank you next na. Hahahaha!</v>
      </c>
      <c r="F2010" s="1"/>
      <c r="G2010" s="1" t="str">
        <f>IFERROR(__xludf.DUMMYFUNCTION("""COMPUTED_VALUE"""),"3 mos")</f>
        <v>3 mos</v>
      </c>
      <c r="H2010" s="1" t="str">
        <f>IFERROR(__xludf.DUMMYFUNCTION("""COMPUTED_VALUE"""),"reply")</f>
        <v>reply</v>
      </c>
      <c r="I2010"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0" s="1" t="str">
        <f>IFERROR(__xludf.DUMMYFUNCTION("""COMPUTED_VALUE"""),"2022-07-04T15:46:50.839Z")</f>
        <v>2022-07-04T15:46:50.839Z</v>
      </c>
      <c r="K2010" s="1"/>
    </row>
    <row r="2011">
      <c r="A2011" s="2" t="str">
        <f>IFERROR(__xludf.DUMMYFUNCTION("""COMPUTED_VALUE"""),"https://www.facebook.com/christopher.m.perey")</f>
        <v>https://www.facebook.com/christopher.m.perey</v>
      </c>
      <c r="B2011" s="1" t="str">
        <f>IFERROR(__xludf.DUMMYFUNCTION("""COMPUTED_VALUE"""),"Christopher Marquicias Perey")</f>
        <v>Christopher Marquicias Perey</v>
      </c>
      <c r="C2011" s="1" t="str">
        <f>IFERROR(__xludf.DUMMYFUNCTION("""COMPUTED_VALUE"""),"Christopher")</f>
        <v>Christopher</v>
      </c>
      <c r="D2011" s="1" t="str">
        <f>IFERROR(__xludf.DUMMYFUNCTION("""COMPUTED_VALUE"""),"Marquicias Perey")</f>
        <v>Marquicias Perey</v>
      </c>
      <c r="E2011" s="1" t="str">
        <f>IFERROR(__xludf.DUMMYFUNCTION("""COMPUTED_VALUE"""),"Jubs Bravo.... .AD HOMIMEM...thank you for your engagement...im not a judge of character..but you clearly show yours..im done, thanks.")</f>
        <v>Jubs Bravo.... .AD HOMIMEM...thank you for your engagement...im not a judge of character..but you clearly show yours..im done, thanks.</v>
      </c>
      <c r="F2011" s="1"/>
      <c r="G2011" s="1" t="str">
        <f>IFERROR(__xludf.DUMMYFUNCTION("""COMPUTED_VALUE"""),"3 mos")</f>
        <v>3 mos</v>
      </c>
      <c r="H2011" s="1" t="str">
        <f>IFERROR(__xludf.DUMMYFUNCTION("""COMPUTED_VALUE"""),"reply")</f>
        <v>reply</v>
      </c>
      <c r="I2011"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1" s="1" t="str">
        <f>IFERROR(__xludf.DUMMYFUNCTION("""COMPUTED_VALUE"""),"2022-07-04T15:46:50.839Z")</f>
        <v>2022-07-04T15:46:50.839Z</v>
      </c>
      <c r="K2011" s="1"/>
    </row>
    <row r="2012">
      <c r="A2012" s="2" t="str">
        <f>IFERROR(__xludf.DUMMYFUNCTION("""COMPUTED_VALUE"""),"https://www.facebook.com/jubs.bravo")</f>
        <v>https://www.facebook.com/jubs.bravo</v>
      </c>
      <c r="B2012" s="1" t="str">
        <f>IFERROR(__xludf.DUMMYFUNCTION("""COMPUTED_VALUE"""),"Jubs Bravo")</f>
        <v>Jubs Bravo</v>
      </c>
      <c r="C2012" s="1" t="str">
        <f>IFERROR(__xludf.DUMMYFUNCTION("""COMPUTED_VALUE"""),"Jubs")</f>
        <v>Jubs</v>
      </c>
      <c r="D2012" s="1" t="str">
        <f>IFERROR(__xludf.DUMMYFUNCTION("""COMPUTED_VALUE"""),"Bravo")</f>
        <v>Bravo</v>
      </c>
      <c r="E2012" s="1" t="str">
        <f>IFERROR(__xludf.DUMMYFUNCTION("""COMPUTED_VALUE"""),"Tanggapin mo na, the candidate you choose reflects the values and beliefs you have in life. That's basically it.")</f>
        <v>Tanggapin mo na, the candidate you choose reflects the values and beliefs you have in life. That's basically it.</v>
      </c>
      <c r="F2012" s="1">
        <f>IFERROR(__xludf.DUMMYFUNCTION("""COMPUTED_VALUE"""),1.0)</f>
        <v>1</v>
      </c>
      <c r="G2012" s="1" t="str">
        <f>IFERROR(__xludf.DUMMYFUNCTION("""COMPUTED_VALUE"""),"3 mos")</f>
        <v>3 mos</v>
      </c>
      <c r="H2012" s="1" t="str">
        <f>IFERROR(__xludf.DUMMYFUNCTION("""COMPUTED_VALUE"""),"reply")</f>
        <v>reply</v>
      </c>
      <c r="I2012"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2" s="1" t="str">
        <f>IFERROR(__xludf.DUMMYFUNCTION("""COMPUTED_VALUE"""),"2022-07-04T15:46:50.839Z")</f>
        <v>2022-07-04T15:46:50.839Z</v>
      </c>
      <c r="K2012" s="1"/>
    </row>
    <row r="2013">
      <c r="A2013" s="2" t="str">
        <f>IFERROR(__xludf.DUMMYFUNCTION("""COMPUTED_VALUE"""),"https://www.facebook.com/christopher.m.perey")</f>
        <v>https://www.facebook.com/christopher.m.perey</v>
      </c>
      <c r="B2013" s="1" t="str">
        <f>IFERROR(__xludf.DUMMYFUNCTION("""COMPUTED_VALUE"""),"Christopher Marquicias Perey")</f>
        <v>Christopher Marquicias Perey</v>
      </c>
      <c r="C2013" s="1" t="str">
        <f>IFERROR(__xludf.DUMMYFUNCTION("""COMPUTED_VALUE"""),"Christopher")</f>
        <v>Christopher</v>
      </c>
      <c r="D2013" s="1" t="str">
        <f>IFERROR(__xludf.DUMMYFUNCTION("""COMPUTED_VALUE"""),"Marquicias Perey")</f>
        <v>Marquicias Perey</v>
      </c>
      <c r="E2013" s="1" t="str">
        <f>IFERROR(__xludf.DUMMYFUNCTION("""COMPUTED_VALUE"""),"Jubs Bravo ..ad hominem")</f>
        <v>Jubs Bravo ..ad hominem</v>
      </c>
      <c r="F2013" s="1"/>
      <c r="G2013" s="1" t="str">
        <f>IFERROR(__xludf.DUMMYFUNCTION("""COMPUTED_VALUE"""),"3 mos")</f>
        <v>3 mos</v>
      </c>
      <c r="H2013" s="1" t="str">
        <f>IFERROR(__xludf.DUMMYFUNCTION("""COMPUTED_VALUE"""),"reply")</f>
        <v>reply</v>
      </c>
      <c r="I2013"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3" s="1" t="str">
        <f>IFERROR(__xludf.DUMMYFUNCTION("""COMPUTED_VALUE"""),"2022-07-04T15:46:50.839Z")</f>
        <v>2022-07-04T15:46:50.839Z</v>
      </c>
      <c r="K2013" s="1"/>
    </row>
    <row r="2014">
      <c r="A2014" s="2" t="str">
        <f>IFERROR(__xludf.DUMMYFUNCTION("""COMPUTED_VALUE"""),"https://www.facebook.com/jubs.bravo")</f>
        <v>https://www.facebook.com/jubs.bravo</v>
      </c>
      <c r="B2014" s="1" t="str">
        <f>IFERROR(__xludf.DUMMYFUNCTION("""COMPUTED_VALUE"""),"Jubs Bravo")</f>
        <v>Jubs Bravo</v>
      </c>
      <c r="C2014" s="1" t="str">
        <f>IFERROR(__xludf.DUMMYFUNCTION("""COMPUTED_VALUE"""),"Jubs")</f>
        <v>Jubs</v>
      </c>
      <c r="D2014" s="1" t="str">
        <f>IFERROR(__xludf.DUMMYFUNCTION("""COMPUTED_VALUE"""),"Bravo")</f>
        <v>Bravo</v>
      </c>
      <c r="E2014" s="1" t="str">
        <f>IFERROR(__xludf.DUMMYFUNCTION("""COMPUTED_VALUE"""),"Christopher Marquicias Perey Au revoir!")</f>
        <v>Christopher Marquicias Perey Au revoir!</v>
      </c>
      <c r="F2014" s="1"/>
      <c r="G2014" s="1" t="str">
        <f>IFERROR(__xludf.DUMMYFUNCTION("""COMPUTED_VALUE"""),"3 mos")</f>
        <v>3 mos</v>
      </c>
      <c r="H2014" s="1" t="str">
        <f>IFERROR(__xludf.DUMMYFUNCTION("""COMPUTED_VALUE"""),"reply")</f>
        <v>reply</v>
      </c>
      <c r="I2014"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4" s="1" t="str">
        <f>IFERROR(__xludf.DUMMYFUNCTION("""COMPUTED_VALUE"""),"2022-07-04T15:46:50.839Z")</f>
        <v>2022-07-04T15:46:50.839Z</v>
      </c>
      <c r="K2014" s="1"/>
    </row>
    <row r="2015">
      <c r="A2015" s="2" t="str">
        <f>IFERROR(__xludf.DUMMYFUNCTION("""COMPUTED_VALUE"""),"https://www.facebook.com/jubs.bravo")</f>
        <v>https://www.facebook.com/jubs.bravo</v>
      </c>
      <c r="B2015" s="1" t="str">
        <f>IFERROR(__xludf.DUMMYFUNCTION("""COMPUTED_VALUE"""),"Jubs Bravo")</f>
        <v>Jubs Bravo</v>
      </c>
      <c r="C2015" s="1" t="str">
        <f>IFERROR(__xludf.DUMMYFUNCTION("""COMPUTED_VALUE"""),"Jubs")</f>
        <v>Jubs</v>
      </c>
      <c r="D2015" s="1" t="str">
        <f>IFERROR(__xludf.DUMMYFUNCTION("""COMPUTED_VALUE"""),"Bravo")</f>
        <v>Bravo</v>
      </c>
      <c r="E2015" s="1" t="str">
        <f>IFERROR(__xludf.DUMMYFUNCTION("""COMPUTED_VALUE"""),"Christopher Marquicias Perey Au revoir!")</f>
        <v>Christopher Marquicias Perey Au revoir!</v>
      </c>
      <c r="F2015" s="1"/>
      <c r="G2015" s="1" t="str">
        <f>IFERROR(__xludf.DUMMYFUNCTION("""COMPUTED_VALUE"""),"3 mos")</f>
        <v>3 mos</v>
      </c>
      <c r="H2015" s="1" t="str">
        <f>IFERROR(__xludf.DUMMYFUNCTION("""COMPUTED_VALUE"""),"reply")</f>
        <v>reply</v>
      </c>
      <c r="I2015"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5" s="1" t="str">
        <f>IFERROR(__xludf.DUMMYFUNCTION("""COMPUTED_VALUE"""),"2022-07-04T15:46:50.839Z")</f>
        <v>2022-07-04T15:46:50.839Z</v>
      </c>
      <c r="K2015" s="1"/>
    </row>
    <row r="2016">
      <c r="A2016" s="2" t="str">
        <f>IFERROR(__xludf.DUMMYFUNCTION("""COMPUTED_VALUE"""),"https://www.facebook.com/mark.pahate")</f>
        <v>https://www.facebook.com/mark.pahate</v>
      </c>
      <c r="B2016" s="1" t="str">
        <f>IFERROR(__xludf.DUMMYFUNCTION("""COMPUTED_VALUE"""),"Mark Wesley Pahate")</f>
        <v>Mark Wesley Pahate</v>
      </c>
      <c r="C2016" s="1" t="str">
        <f>IFERROR(__xludf.DUMMYFUNCTION("""COMPUTED_VALUE"""),"Mark")</f>
        <v>Mark</v>
      </c>
      <c r="D2016" s="1" t="str">
        <f>IFERROR(__xludf.DUMMYFUNCTION("""COMPUTED_VALUE"""),"Wesley Pahate")</f>
        <v>Wesley Pahate</v>
      </c>
      <c r="E2016" s="1" t="str">
        <f>IFERROR(__xludf.DUMMYFUNCTION("""COMPUTED_VALUE"""),"No one got name-called without provocation. But I hear you.")</f>
        <v>No one got name-called without provocation. But I hear you.</v>
      </c>
      <c r="F2016" s="1">
        <f>IFERROR(__xludf.DUMMYFUNCTION("""COMPUTED_VALUE"""),2.0)</f>
        <v>2</v>
      </c>
      <c r="G2016" s="1" t="str">
        <f>IFERROR(__xludf.DUMMYFUNCTION("""COMPUTED_VALUE"""),"3 mos")</f>
        <v>3 mos</v>
      </c>
      <c r="H2016" s="1" t="str">
        <f>IFERROR(__xludf.DUMMYFUNCTION("""COMPUTED_VALUE"""),"comment")</f>
        <v>comment</v>
      </c>
      <c r="I2016"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6" s="1" t="str">
        <f>IFERROR(__xludf.DUMMYFUNCTION("""COMPUTED_VALUE"""),"2022-07-04T15:46:50.839Z")</f>
        <v>2022-07-04T15:46:50.839Z</v>
      </c>
      <c r="K2016" s="1"/>
    </row>
    <row r="2017">
      <c r="A2017" s="2" t="str">
        <f>IFERROR(__xludf.DUMMYFUNCTION("""COMPUTED_VALUE"""),"https://www.facebook.com/caridad.ancero")</f>
        <v>https://www.facebook.com/caridad.ancero</v>
      </c>
      <c r="B2017" s="1" t="str">
        <f>IFERROR(__xludf.DUMMYFUNCTION("""COMPUTED_VALUE"""),"Caridad Ancero")</f>
        <v>Caridad Ancero</v>
      </c>
      <c r="C2017" s="1" t="str">
        <f>IFERROR(__xludf.DUMMYFUNCTION("""COMPUTED_VALUE"""),"Caridad")</f>
        <v>Caridad</v>
      </c>
      <c r="D2017" s="1" t="str">
        <f>IFERROR(__xludf.DUMMYFUNCTION("""COMPUTED_VALUE"""),"Ancero")</f>
        <v>Ancero</v>
      </c>
      <c r="E2017" s="1" t="str">
        <f>IFERROR(__xludf.DUMMYFUNCTION("""COMPUTED_VALUE"""),"Caridad Ancero")</f>
        <v>Caridad Ancero</v>
      </c>
      <c r="F2017" s="1"/>
      <c r="G2017" s="1" t="str">
        <f>IFERROR(__xludf.DUMMYFUNCTION("""COMPUTED_VALUE"""),"3 mos")</f>
        <v>3 mos</v>
      </c>
      <c r="H2017" s="1" t="str">
        <f>IFERROR(__xludf.DUMMYFUNCTION("""COMPUTED_VALUE"""),"comment")</f>
        <v>comment</v>
      </c>
      <c r="I2017"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7" s="1" t="str">
        <f>IFERROR(__xludf.DUMMYFUNCTION("""COMPUTED_VALUE"""),"2022-07-04T15:46:50.839Z")</f>
        <v>2022-07-04T15:46:50.839Z</v>
      </c>
      <c r="K2017" s="1"/>
    </row>
    <row r="2018">
      <c r="A2018" s="2" t="str">
        <f>IFERROR(__xludf.DUMMYFUNCTION("""COMPUTED_VALUE"""),"https://www.facebook.com/man.arellano.12")</f>
        <v>https://www.facebook.com/man.arellano.12</v>
      </c>
      <c r="B2018" s="1" t="str">
        <f>IFERROR(__xludf.DUMMYFUNCTION("""COMPUTED_VALUE"""),"Man Arellano Bat")</f>
        <v>Man Arellano Bat</v>
      </c>
      <c r="C2018" s="1" t="str">
        <f>IFERROR(__xludf.DUMMYFUNCTION("""COMPUTED_VALUE"""),"Man")</f>
        <v>Man</v>
      </c>
      <c r="D2018" s="1" t="str">
        <f>IFERROR(__xludf.DUMMYFUNCTION("""COMPUTED_VALUE"""),"Arellano Bat")</f>
        <v>Arellano Bat</v>
      </c>
      <c r="E2018" s="1" t="str">
        <f>IFERROR(__xludf.DUMMYFUNCTION("""COMPUTED_VALUE"""),"wag lang si leny")</f>
        <v>wag lang si leny</v>
      </c>
      <c r="F2018" s="1">
        <f>IFERROR(__xludf.DUMMYFUNCTION("""COMPUTED_VALUE"""),5.0)</f>
        <v>5</v>
      </c>
      <c r="G2018" s="1" t="str">
        <f>IFERROR(__xludf.DUMMYFUNCTION("""COMPUTED_VALUE"""),"3 mos")</f>
        <v>3 mos</v>
      </c>
      <c r="H2018" s="1" t="str">
        <f>IFERROR(__xludf.DUMMYFUNCTION("""COMPUTED_VALUE"""),"comment")</f>
        <v>comment</v>
      </c>
      <c r="I2018"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8" s="1" t="str">
        <f>IFERROR(__xludf.DUMMYFUNCTION("""COMPUTED_VALUE"""),"2022-07-04T15:46:50.839Z")</f>
        <v>2022-07-04T15:46:50.839Z</v>
      </c>
      <c r="K2018" s="1"/>
    </row>
    <row r="2019">
      <c r="A2019" s="2" t="str">
        <f>IFERROR(__xludf.DUMMYFUNCTION("""COMPUTED_VALUE"""),"https://www.facebook.com/mariacristina.umanito")</f>
        <v>https://www.facebook.com/mariacristina.umanito</v>
      </c>
      <c r="B2019" s="1" t="str">
        <f>IFERROR(__xludf.DUMMYFUNCTION("""COMPUTED_VALUE"""),"Tin Tin")</f>
        <v>Tin Tin</v>
      </c>
      <c r="C2019" s="1" t="str">
        <f>IFERROR(__xludf.DUMMYFUNCTION("""COMPUTED_VALUE"""),"Tin")</f>
        <v>Tin</v>
      </c>
      <c r="D2019" s="1" t="str">
        <f>IFERROR(__xludf.DUMMYFUNCTION("""COMPUTED_VALUE"""),"Tin")</f>
        <v>Tin</v>
      </c>
      <c r="E2019" s="1" t="str">
        <f>IFERROR(__xludf.DUMMYFUNCTION("""COMPUTED_VALUE"""),"Man Arellano Bat ayusin mo spelling napaghahalatang nahulog na utak mo pulutin mo muna😂")</f>
        <v>Man Arellano Bat ayusin mo spelling napaghahalatang nahulog na utak mo pulutin mo muna😂</v>
      </c>
      <c r="F2019" s="1">
        <f>IFERROR(__xludf.DUMMYFUNCTION("""COMPUTED_VALUE"""),5.0)</f>
        <v>5</v>
      </c>
      <c r="G2019" s="1" t="str">
        <f>IFERROR(__xludf.DUMMYFUNCTION("""COMPUTED_VALUE"""),"3 mos")</f>
        <v>3 mos</v>
      </c>
      <c r="H2019" s="1" t="str">
        <f>IFERROR(__xludf.DUMMYFUNCTION("""COMPUTED_VALUE"""),"reply")</f>
        <v>reply</v>
      </c>
      <c r="I2019"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19" s="1" t="str">
        <f>IFERROR(__xludf.DUMMYFUNCTION("""COMPUTED_VALUE"""),"2022-07-04T15:46:50.839Z")</f>
        <v>2022-07-04T15:46:50.839Z</v>
      </c>
      <c r="K2019" s="1"/>
    </row>
    <row r="2020">
      <c r="A2020" s="2" t="str">
        <f>IFERROR(__xludf.DUMMYFUNCTION("""COMPUTED_VALUE"""),"https://www.facebook.com/cidernald")</f>
        <v>https://www.facebook.com/cidernald</v>
      </c>
      <c r="B2020" s="1" t="str">
        <f>IFERROR(__xludf.DUMMYFUNCTION("""COMPUTED_VALUE"""),"Aro Sqr Nhald")</f>
        <v>Aro Sqr Nhald</v>
      </c>
      <c r="C2020" s="1" t="str">
        <f>IFERROR(__xludf.DUMMYFUNCTION("""COMPUTED_VALUE"""),"Aro")</f>
        <v>Aro</v>
      </c>
      <c r="D2020" s="1" t="str">
        <f>IFERROR(__xludf.DUMMYFUNCTION("""COMPUTED_VALUE"""),"Sqr Nhald")</f>
        <v>Sqr Nhald</v>
      </c>
      <c r="E2020" s="1" t="str">
        <f>IFERROR(__xludf.DUMMYFUNCTION("""COMPUTED_VALUE"""),"Man Arellano Bat  wag lang c KAMAGNA")</f>
        <v>Man Arellano Bat  wag lang c KAMAGNA</v>
      </c>
      <c r="F2020" s="1">
        <f>IFERROR(__xludf.DUMMYFUNCTION("""COMPUTED_VALUE"""),2.0)</f>
        <v>2</v>
      </c>
      <c r="G2020" s="1" t="str">
        <f>IFERROR(__xludf.DUMMYFUNCTION("""COMPUTED_VALUE"""),"3 mos")</f>
        <v>3 mos</v>
      </c>
      <c r="H2020" s="1" t="str">
        <f>IFERROR(__xludf.DUMMYFUNCTION("""COMPUTED_VALUE"""),"reply")</f>
        <v>reply</v>
      </c>
      <c r="I2020"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0" s="1" t="str">
        <f>IFERROR(__xludf.DUMMYFUNCTION("""COMPUTED_VALUE"""),"2022-07-04T15:46:50.839Z")</f>
        <v>2022-07-04T15:46:50.839Z</v>
      </c>
      <c r="K2020" s="1"/>
    </row>
    <row r="2021">
      <c r="A2021" s="2" t="str">
        <f>IFERROR(__xludf.DUMMYFUNCTION("""COMPUTED_VALUE"""),"https://www.facebook.com/man.arellano.12")</f>
        <v>https://www.facebook.com/man.arellano.12</v>
      </c>
      <c r="B2021" s="1" t="str">
        <f>IFERROR(__xludf.DUMMYFUNCTION("""COMPUTED_VALUE"""),"Man Arellano Bat")</f>
        <v>Man Arellano Bat</v>
      </c>
      <c r="C2021" s="1" t="str">
        <f>IFERROR(__xludf.DUMMYFUNCTION("""COMPUTED_VALUE"""),"Man")</f>
        <v>Man</v>
      </c>
      <c r="D2021" s="1" t="str">
        <f>IFERROR(__xludf.DUMMYFUNCTION("""COMPUTED_VALUE"""),"Arellano Bat")</f>
        <v>Arellano Bat</v>
      </c>
      <c r="E2021" s="1" t="str">
        <f>IFERROR(__xludf.DUMMYFUNCTION("""COMPUTED_VALUE"""),"Leny puppet")</f>
        <v>Leny puppet</v>
      </c>
      <c r="F2021" s="1"/>
      <c r="G2021" s="1" t="str">
        <f>IFERROR(__xludf.DUMMYFUNCTION("""COMPUTED_VALUE"""),"3 mos")</f>
        <v>3 mos</v>
      </c>
      <c r="H2021" s="1" t="str">
        <f>IFERROR(__xludf.DUMMYFUNCTION("""COMPUTED_VALUE"""),"reply")</f>
        <v>reply</v>
      </c>
      <c r="I2021"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1" s="1" t="str">
        <f>IFERROR(__xludf.DUMMYFUNCTION("""COMPUTED_VALUE"""),"2022-07-04T15:46:50.839Z")</f>
        <v>2022-07-04T15:46:50.839Z</v>
      </c>
      <c r="K2021" s="1"/>
    </row>
    <row r="2022">
      <c r="A2022" s="2" t="str">
        <f>IFERROR(__xludf.DUMMYFUNCTION("""COMPUTED_VALUE"""),"https://www.facebook.com/editha.silvestre")</f>
        <v>https://www.facebook.com/editha.silvestre</v>
      </c>
      <c r="B2022" s="1" t="str">
        <f>IFERROR(__xludf.DUMMYFUNCTION("""COMPUTED_VALUE"""),"Editha Fetros Silvestre")</f>
        <v>Editha Fetros Silvestre</v>
      </c>
      <c r="C2022" s="1" t="str">
        <f>IFERROR(__xludf.DUMMYFUNCTION("""COMPUTED_VALUE"""),"Editha")</f>
        <v>Editha</v>
      </c>
      <c r="D2022" s="1" t="str">
        <f>IFERROR(__xludf.DUMMYFUNCTION("""COMPUTED_VALUE"""),"Fetros Silvestre")</f>
        <v>Fetros Silvestre</v>
      </c>
      <c r="E2022" s="1" t="str">
        <f>IFERROR(__xludf.DUMMYFUNCTION("""COMPUTED_VALUE"""),"Editha Fetros Silvestre")</f>
        <v>Editha Fetros Silvestre</v>
      </c>
      <c r="F2022" s="1"/>
      <c r="G2022" s="1" t="str">
        <f>IFERROR(__xludf.DUMMYFUNCTION("""COMPUTED_VALUE"""),"3 mos")</f>
        <v>3 mos</v>
      </c>
      <c r="H2022" s="1" t="str">
        <f>IFERROR(__xludf.DUMMYFUNCTION("""COMPUTED_VALUE"""),"comment")</f>
        <v>comment</v>
      </c>
      <c r="I2022"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2" s="1" t="str">
        <f>IFERROR(__xludf.DUMMYFUNCTION("""COMPUTED_VALUE"""),"2022-07-04T15:46:50.839Z")</f>
        <v>2022-07-04T15:46:50.839Z</v>
      </c>
      <c r="K2022" s="1"/>
    </row>
    <row r="2023">
      <c r="A2023" s="2" t="str">
        <f>IFERROR(__xludf.DUMMYFUNCTION("""COMPUTED_VALUE"""),"https://www.facebook.com/she.real.9883")</f>
        <v>https://www.facebook.com/she.real.9883</v>
      </c>
      <c r="B2023" s="1" t="str">
        <f>IFERROR(__xludf.DUMMYFUNCTION("""COMPUTED_VALUE"""),"She Real")</f>
        <v>She Real</v>
      </c>
      <c r="C2023" s="1" t="str">
        <f>IFERROR(__xludf.DUMMYFUNCTION("""COMPUTED_VALUE"""),"She")</f>
        <v>She</v>
      </c>
      <c r="D2023" s="1" t="str">
        <f>IFERROR(__xludf.DUMMYFUNCTION("""COMPUTED_VALUE"""),"Real")</f>
        <v>Real</v>
      </c>
      <c r="E2023" s="1" t="str">
        <f>IFERROR(__xludf.DUMMYFUNCTION("""COMPUTED_VALUE"""),"truth hurts")</f>
        <v>truth hurts</v>
      </c>
      <c r="F2023" s="1">
        <f>IFERROR(__xludf.DUMMYFUNCTION("""COMPUTED_VALUE"""),1.0)</f>
        <v>1</v>
      </c>
      <c r="G2023" s="1" t="str">
        <f>IFERROR(__xludf.DUMMYFUNCTION("""COMPUTED_VALUE"""),"3 mos")</f>
        <v>3 mos</v>
      </c>
      <c r="H2023" s="1" t="str">
        <f>IFERROR(__xludf.DUMMYFUNCTION("""COMPUTED_VALUE"""),"comment")</f>
        <v>comment</v>
      </c>
      <c r="I2023"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3" s="1" t="str">
        <f>IFERROR(__xludf.DUMMYFUNCTION("""COMPUTED_VALUE"""),"2022-07-04T15:46:50.839Z")</f>
        <v>2022-07-04T15:46:50.839Z</v>
      </c>
      <c r="K2023" s="1"/>
    </row>
    <row r="2024">
      <c r="A2024" s="2" t="str">
        <f>IFERROR(__xludf.DUMMYFUNCTION("""COMPUTED_VALUE"""),"https://www.facebook.com/annejhov")</f>
        <v>https://www.facebook.com/annejhov</v>
      </c>
      <c r="B2024" s="1" t="str">
        <f>IFERROR(__xludf.DUMMYFUNCTION("""COMPUTED_VALUE"""),"Alliana Alliana")</f>
        <v>Alliana Alliana</v>
      </c>
      <c r="C2024" s="1" t="str">
        <f>IFERROR(__xludf.DUMMYFUNCTION("""COMPUTED_VALUE"""),"Alliana")</f>
        <v>Alliana</v>
      </c>
      <c r="D2024" s="1" t="str">
        <f>IFERROR(__xludf.DUMMYFUNCTION("""COMPUTED_VALUE"""),"Alliana")</f>
        <v>Alliana</v>
      </c>
      <c r="E2024" s="1" t="str">
        <f>IFERROR(__xludf.DUMMYFUNCTION("""COMPUTED_VALUE"""),"❤️❤️❤️❤️💚💚💚💚")</f>
        <v>❤️❤️❤️❤️💚💚💚💚</v>
      </c>
      <c r="F2024" s="1"/>
      <c r="G2024" s="1" t="str">
        <f>IFERROR(__xludf.DUMMYFUNCTION("""COMPUTED_VALUE"""),"3 mos")</f>
        <v>3 mos</v>
      </c>
      <c r="H2024" s="1" t="str">
        <f>IFERROR(__xludf.DUMMYFUNCTION("""COMPUTED_VALUE"""),"comment")</f>
        <v>comment</v>
      </c>
      <c r="I2024"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4" s="1" t="str">
        <f>IFERROR(__xludf.DUMMYFUNCTION("""COMPUTED_VALUE"""),"2022-07-04T15:46:50.839Z")</f>
        <v>2022-07-04T15:46:50.839Z</v>
      </c>
      <c r="K2024" s="1"/>
    </row>
    <row r="2025">
      <c r="A2025" s="2" t="str">
        <f>IFERROR(__xludf.DUMMYFUNCTION("""COMPUTED_VALUE"""),"https://www.facebook.com/frucy.manayonflores.1")</f>
        <v>https://www.facebook.com/frucy.manayonflores.1</v>
      </c>
      <c r="B2025" s="1" t="str">
        <f>IFERROR(__xludf.DUMMYFUNCTION("""COMPUTED_VALUE"""),"Frucy Manayon-Flores")</f>
        <v>Frucy Manayon-Flores</v>
      </c>
      <c r="C2025" s="1" t="str">
        <f>IFERROR(__xludf.DUMMYFUNCTION("""COMPUTED_VALUE"""),"Frucy")</f>
        <v>Frucy</v>
      </c>
      <c r="D2025" s="1" t="str">
        <f>IFERROR(__xludf.DUMMYFUNCTION("""COMPUTED_VALUE"""),"Manayon-Flores")</f>
        <v>Manayon-Flores</v>
      </c>
      <c r="E2025" s="1" t="str">
        <f>IFERROR(__xludf.DUMMYFUNCTION("""COMPUTED_VALUE"""),"💖💖💕💕🌹🌹🌷🌷❣❣💟💟💞💞🌸🌸🎀🎀👑👑💃💃💃💃🇵🇭🇵🇭🇵🇭🇵🇭🇵🇭💌💌👑👑🎀🎀💃")</f>
        <v>💖💖💕💕🌹🌹🌷🌷❣❣💟💟💞💞🌸🌸🎀🎀👑👑💃💃💃💃🇵🇭🇵🇭🇵🇭🇵🇭🇵🇭💌💌👑👑🎀🎀💃</v>
      </c>
      <c r="F2025" s="1">
        <f>IFERROR(__xludf.DUMMYFUNCTION("""COMPUTED_VALUE"""),1.0)</f>
        <v>1</v>
      </c>
      <c r="G2025" s="1" t="str">
        <f>IFERROR(__xludf.DUMMYFUNCTION("""COMPUTED_VALUE"""),"3 mos")</f>
        <v>3 mos</v>
      </c>
      <c r="H2025" s="1" t="str">
        <f>IFERROR(__xludf.DUMMYFUNCTION("""COMPUTED_VALUE"""),"comment")</f>
        <v>comment</v>
      </c>
      <c r="I2025"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5" s="1" t="str">
        <f>IFERROR(__xludf.DUMMYFUNCTION("""COMPUTED_VALUE"""),"2022-07-04T15:46:50.839Z")</f>
        <v>2022-07-04T15:46:50.839Z</v>
      </c>
      <c r="K2025" s="1"/>
    </row>
    <row r="2026">
      <c r="A2026" s="2" t="str">
        <f>IFERROR(__xludf.DUMMYFUNCTION("""COMPUTED_VALUE"""),"https://www.facebook.com/edgar.puertullano")</f>
        <v>https://www.facebook.com/edgar.puertullano</v>
      </c>
      <c r="B2026" s="1" t="str">
        <f>IFERROR(__xludf.DUMMYFUNCTION("""COMPUTED_VALUE"""),"Edgar Puertullano")</f>
        <v>Edgar Puertullano</v>
      </c>
      <c r="C2026" s="1" t="str">
        <f>IFERROR(__xludf.DUMMYFUNCTION("""COMPUTED_VALUE"""),"Edgar")</f>
        <v>Edgar</v>
      </c>
      <c r="D2026" s="1" t="str">
        <f>IFERROR(__xludf.DUMMYFUNCTION("""COMPUTED_VALUE"""),"Puertullano")</f>
        <v>Puertullano</v>
      </c>
      <c r="E2026" s="1" t="str">
        <f>IFERROR(__xludf.DUMMYFUNCTION("""COMPUTED_VALUE"""),"Ogags kailangan paba yon diosmeo....")</f>
        <v>Ogags kailangan paba yon diosmeo....</v>
      </c>
      <c r="F2026" s="1"/>
      <c r="G2026" s="1" t="str">
        <f>IFERROR(__xludf.DUMMYFUNCTION("""COMPUTED_VALUE"""),"3 mos")</f>
        <v>3 mos</v>
      </c>
      <c r="H2026" s="1" t="str">
        <f>IFERROR(__xludf.DUMMYFUNCTION("""COMPUTED_VALUE"""),"comment")</f>
        <v>comment</v>
      </c>
      <c r="I2026"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6" s="1" t="str">
        <f>IFERROR(__xludf.DUMMYFUNCTION("""COMPUTED_VALUE"""),"2022-07-04T15:46:50.839Z")</f>
        <v>2022-07-04T15:46:50.839Z</v>
      </c>
      <c r="K2026" s="1"/>
    </row>
    <row r="2027">
      <c r="A2027" s="2" t="str">
        <f>IFERROR(__xludf.DUMMYFUNCTION("""COMPUTED_VALUE"""),"https://www.facebook.com/analiza.baluyot.7")</f>
        <v>https://www.facebook.com/analiza.baluyot.7</v>
      </c>
      <c r="B2027" s="1" t="str">
        <f>IFERROR(__xludf.DUMMYFUNCTION("""COMPUTED_VALUE"""),"Ana Gabriel")</f>
        <v>Ana Gabriel</v>
      </c>
      <c r="C2027" s="1" t="str">
        <f>IFERROR(__xludf.DUMMYFUNCTION("""COMPUTED_VALUE"""),"Ana")</f>
        <v>Ana</v>
      </c>
      <c r="D2027" s="1" t="str">
        <f>IFERROR(__xludf.DUMMYFUNCTION("""COMPUTED_VALUE"""),"Gabriel")</f>
        <v>Gabriel</v>
      </c>
      <c r="E2027" s="1" t="str">
        <f>IFERROR(__xludf.DUMMYFUNCTION("""COMPUTED_VALUE"""),"Naksssss😅")</f>
        <v>Naksssss😅</v>
      </c>
      <c r="F2027" s="1"/>
      <c r="G2027" s="1" t="str">
        <f>IFERROR(__xludf.DUMMYFUNCTION("""COMPUTED_VALUE"""),"3 mos")</f>
        <v>3 mos</v>
      </c>
      <c r="H2027" s="1" t="str">
        <f>IFERROR(__xludf.DUMMYFUNCTION("""COMPUTED_VALUE"""),"comment")</f>
        <v>comment</v>
      </c>
      <c r="I2027"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7" s="1" t="str">
        <f>IFERROR(__xludf.DUMMYFUNCTION("""COMPUTED_VALUE"""),"2022-07-04T15:46:50.839Z")</f>
        <v>2022-07-04T15:46:50.839Z</v>
      </c>
      <c r="K2027" s="1"/>
    </row>
    <row r="2028">
      <c r="A2028" s="2" t="str">
        <f>IFERROR(__xludf.DUMMYFUNCTION("""COMPUTED_VALUE"""),"https://www.facebook.com/demboy2000")</f>
        <v>https://www.facebook.com/demboy2000</v>
      </c>
      <c r="B2028" s="1" t="str">
        <f>IFERROR(__xludf.DUMMYFUNCTION("""COMPUTED_VALUE"""),"Denver Oracion")</f>
        <v>Denver Oracion</v>
      </c>
      <c r="C2028" s="1" t="str">
        <f>IFERROR(__xludf.DUMMYFUNCTION("""COMPUTED_VALUE"""),"Denver")</f>
        <v>Denver</v>
      </c>
      <c r="D2028" s="1" t="str">
        <f>IFERROR(__xludf.DUMMYFUNCTION("""COMPUTED_VALUE"""),"Oracion")</f>
        <v>Oracion</v>
      </c>
      <c r="E2028" s="1" t="str">
        <f>IFERROR(__xludf.DUMMYFUNCTION("""COMPUTED_VALUE"""),"tama naman")</f>
        <v>tama naman</v>
      </c>
      <c r="F2028" s="1"/>
      <c r="G2028" s="1" t="str">
        <f>IFERROR(__xludf.DUMMYFUNCTION("""COMPUTED_VALUE"""),"3 mos")</f>
        <v>3 mos</v>
      </c>
      <c r="H2028" s="1" t="str">
        <f>IFERROR(__xludf.DUMMYFUNCTION("""COMPUTED_VALUE"""),"comment")</f>
        <v>comment</v>
      </c>
      <c r="I2028"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8" s="1" t="str">
        <f>IFERROR(__xludf.DUMMYFUNCTION("""COMPUTED_VALUE"""),"2022-07-04T15:46:50.839Z")</f>
        <v>2022-07-04T15:46:50.839Z</v>
      </c>
      <c r="K2028" s="1"/>
    </row>
    <row r="2029">
      <c r="A2029" s="2" t="str">
        <f>IFERROR(__xludf.DUMMYFUNCTION("""COMPUTED_VALUE"""),"https://www.facebook.com/jeza.esarza.1")</f>
        <v>https://www.facebook.com/jeza.esarza.1</v>
      </c>
      <c r="B2029" s="1" t="str">
        <f>IFERROR(__xludf.DUMMYFUNCTION("""COMPUTED_VALUE"""),"Ki Zu Mi")</f>
        <v>Ki Zu Mi</v>
      </c>
      <c r="C2029" s="1" t="str">
        <f>IFERROR(__xludf.DUMMYFUNCTION("""COMPUTED_VALUE"""),"Ki")</f>
        <v>Ki</v>
      </c>
      <c r="D2029" s="1" t="str">
        <f>IFERROR(__xludf.DUMMYFUNCTION("""COMPUTED_VALUE"""),"Zu Mi")</f>
        <v>Zu Mi</v>
      </c>
      <c r="E2029" s="1" t="str">
        <f>IFERROR(__xludf.DUMMYFUNCTION("""COMPUTED_VALUE"""),"❤💚❤💚❤❤💚")</f>
        <v>❤💚❤💚❤❤💚</v>
      </c>
      <c r="F2029" s="1">
        <f>IFERROR(__xludf.DUMMYFUNCTION("""COMPUTED_VALUE"""),2.0)</f>
        <v>2</v>
      </c>
      <c r="G2029" s="1" t="str">
        <f>IFERROR(__xludf.DUMMYFUNCTION("""COMPUTED_VALUE"""),"3 mos")</f>
        <v>3 mos</v>
      </c>
      <c r="H2029" s="1" t="str">
        <f>IFERROR(__xludf.DUMMYFUNCTION("""COMPUTED_VALUE"""),"comment")</f>
        <v>comment</v>
      </c>
      <c r="I2029"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29" s="1" t="str">
        <f>IFERROR(__xludf.DUMMYFUNCTION("""COMPUTED_VALUE"""),"2022-07-04T15:46:50.840Z")</f>
        <v>2022-07-04T15:46:50.840Z</v>
      </c>
      <c r="K2029" s="1"/>
    </row>
    <row r="2030">
      <c r="A2030" s="2" t="str">
        <f>IFERROR(__xludf.DUMMYFUNCTION("""COMPUTED_VALUE"""),"https://www.facebook.com/rosemarie.saturno")</f>
        <v>https://www.facebook.com/rosemarie.saturno</v>
      </c>
      <c r="B2030" s="1" t="str">
        <f>IFERROR(__xludf.DUMMYFUNCTION("""COMPUTED_VALUE"""),"Rosemarie Uy Saturno")</f>
        <v>Rosemarie Uy Saturno</v>
      </c>
      <c r="C2030" s="1" t="str">
        <f>IFERROR(__xludf.DUMMYFUNCTION("""COMPUTED_VALUE"""),"Rosemarie")</f>
        <v>Rosemarie</v>
      </c>
      <c r="D2030" s="1" t="str">
        <f>IFERROR(__xludf.DUMMYFUNCTION("""COMPUTED_VALUE"""),"Uy Saturno")</f>
        <v>Uy Saturno</v>
      </c>
      <c r="E2030" s="1" t="str">
        <f>IFERROR(__xludf.DUMMYFUNCTION("""COMPUTED_VALUE"""),"✌👊❤💚")</f>
        <v>✌👊❤💚</v>
      </c>
      <c r="F2030" s="1">
        <f>IFERROR(__xludf.DUMMYFUNCTION("""COMPUTED_VALUE"""),2.0)</f>
        <v>2</v>
      </c>
      <c r="G2030" s="1" t="str">
        <f>IFERROR(__xludf.DUMMYFUNCTION("""COMPUTED_VALUE"""),"3 mos")</f>
        <v>3 mos</v>
      </c>
      <c r="H2030" s="1" t="str">
        <f>IFERROR(__xludf.DUMMYFUNCTION("""COMPUTED_VALUE"""),"comment")</f>
        <v>comment</v>
      </c>
      <c r="I2030"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30" s="1" t="str">
        <f>IFERROR(__xludf.DUMMYFUNCTION("""COMPUTED_VALUE"""),"2022-07-04T15:46:50.840Z")</f>
        <v>2022-07-04T15:46:50.840Z</v>
      </c>
      <c r="K2030" s="1"/>
    </row>
    <row r="2031">
      <c r="A2031" s="2" t="str">
        <f>IFERROR(__xludf.DUMMYFUNCTION("""COMPUTED_VALUE"""),"https://www.facebook.com/sumadsad.loyalty")</f>
        <v>https://www.facebook.com/sumadsad.loyalty</v>
      </c>
      <c r="B2031" s="1" t="str">
        <f>IFERROR(__xludf.DUMMYFUNCTION("""COMPUTED_VALUE"""),"Dasdamus Ejidua Ytlaylo")</f>
        <v>Dasdamus Ejidua Ytlaylo</v>
      </c>
      <c r="C2031" s="1" t="str">
        <f>IFERROR(__xludf.DUMMYFUNCTION("""COMPUTED_VALUE"""),"Dasdamus")</f>
        <v>Dasdamus</v>
      </c>
      <c r="D2031" s="1" t="str">
        <f>IFERROR(__xludf.DUMMYFUNCTION("""COMPUTED_VALUE"""),"Ejidua Ytlaylo")</f>
        <v>Ejidua Ytlaylo</v>
      </c>
      <c r="E2031" s="1" t="str">
        <f>IFERROR(__xludf.DUMMYFUNCTION("""COMPUTED_VALUE"""),"Dasdamus Ejidua Ytlaylo")</f>
        <v>Dasdamus Ejidua Ytlaylo</v>
      </c>
      <c r="F2031" s="1"/>
      <c r="G2031" s="1" t="str">
        <f>IFERROR(__xludf.DUMMYFUNCTION("""COMPUTED_VALUE"""),"3 mos")</f>
        <v>3 mos</v>
      </c>
      <c r="H2031" s="1" t="str">
        <f>IFERROR(__xludf.DUMMYFUNCTION("""COMPUTED_VALUE"""),"comment")</f>
        <v>comment</v>
      </c>
      <c r="I2031" s="2" t="str">
        <f>IFERROR(__xludf.DUMMYFUNCTION("""COMPUTED_VALUE"""),"https://www.facebook.com/rapplerdotcom/posts/pfbid02kmyrDmvYtHxz51VdR228sTCyvbHYDrwL4TgeoVAenoprSKkWhUFLyRmAuKBuGtXXl")</f>
        <v>https://www.facebook.com/rapplerdotcom/posts/pfbid02kmyrDmvYtHxz51VdR228sTCyvbHYDrwL4TgeoVAenoprSKkWhUFLyRmAuKBuGtXXl</v>
      </c>
      <c r="J2031" s="1" t="str">
        <f>IFERROR(__xludf.DUMMYFUNCTION("""COMPUTED_VALUE"""),"2022-07-04T15:46:50.840Z")</f>
        <v>2022-07-04T15:46:50.840Z</v>
      </c>
      <c r="K2031" s="1"/>
    </row>
    <row r="2032">
      <c r="A2032" s="2" t="str">
        <f>IFERROR(__xludf.DUMMYFUNCTION("""COMPUTED_VALUE"""),"https://www.facebook.com/annejhov")</f>
        <v>https://www.facebook.com/annejhov</v>
      </c>
      <c r="B2032" s="1" t="str">
        <f>IFERROR(__xludf.DUMMYFUNCTION("""COMPUTED_VALUE"""),"Alliana Alliana")</f>
        <v>Alliana Alliana</v>
      </c>
      <c r="C2032" s="1" t="str">
        <f>IFERROR(__xludf.DUMMYFUNCTION("""COMPUTED_VALUE"""),"Alliana")</f>
        <v>Alliana</v>
      </c>
      <c r="D2032" s="1" t="str">
        <f>IFERROR(__xludf.DUMMYFUNCTION("""COMPUTED_VALUE"""),"Alliana")</f>
        <v>Alliana</v>
      </c>
      <c r="E2032" s="1" t="str">
        <f>IFERROR(__xludf.DUMMYFUNCTION("""COMPUTED_VALUE"""),"Kung yan lng iboboto wag na🤣🤣🤣🤣🤣")</f>
        <v>Kung yan lng iboboto wag na🤣🤣🤣🤣🤣</v>
      </c>
      <c r="F2032" s="1"/>
      <c r="G2032" s="1" t="str">
        <f>IFERROR(__xludf.DUMMYFUNCTION("""COMPUTED_VALUE"""),"3 mos")</f>
        <v>3 mos</v>
      </c>
      <c r="H2032" s="1" t="str">
        <f>IFERROR(__xludf.DUMMYFUNCTION("""COMPUTED_VALUE"""),"comment")</f>
        <v>comment</v>
      </c>
      <c r="I2032" s="2" t="str">
        <f>IFERROR(__xludf.DUMMYFUNCTION("""COMPUTED_VALUE"""),"https://www.facebook.com/rapplerdotcom/posts/pfbid02e13StaPScJpokGyF13qCs6EvExmqrY1RRtBKf3tVEwKeP7fhsKEK5TgBCKEBBrE1l")</f>
        <v>https://www.facebook.com/rapplerdotcom/posts/pfbid02e13StaPScJpokGyF13qCs6EvExmqrY1RRtBKf3tVEwKeP7fhsKEK5TgBCKEBBrE1l</v>
      </c>
      <c r="J2032" s="1" t="str">
        <f>IFERROR(__xludf.DUMMYFUNCTION("""COMPUTED_VALUE"""),"2022-07-04T15:46:57.377Z")</f>
        <v>2022-07-04T15:46:57.377Z</v>
      </c>
      <c r="K2032" s="1"/>
    </row>
    <row r="2033">
      <c r="A2033" s="2" t="str">
        <f>IFERROR(__xludf.DUMMYFUNCTION("""COMPUTED_VALUE"""),"https://www.facebook.com/profile.php?id=100011366202531")</f>
        <v>https://www.facebook.com/profile.php?id=100011366202531</v>
      </c>
      <c r="B2033" s="1" t="str">
        <f>IFERROR(__xludf.DUMMYFUNCTION("""COMPUTED_VALUE"""),"Francis Abel")</f>
        <v>Francis Abel</v>
      </c>
      <c r="C2033" s="1" t="str">
        <f>IFERROR(__xludf.DUMMYFUNCTION("""COMPUTED_VALUE"""),"Francis")</f>
        <v>Francis</v>
      </c>
      <c r="D2033" s="1" t="str">
        <f>IFERROR(__xludf.DUMMYFUNCTION("""COMPUTED_VALUE"""),"Abel")</f>
        <v>Abel</v>
      </c>
      <c r="E2033" s="1" t="str">
        <f>IFERROR(__xludf.DUMMYFUNCTION("""COMPUTED_VALUE"""),"I couldn't agree more... like any successor, she is a better one for sure.💗🌷")</f>
        <v>I couldn't agree more... like any successor, she is a better one for sure.💗🌷</v>
      </c>
      <c r="F2033" s="1"/>
      <c r="G2033" s="1" t="str">
        <f>IFERROR(__xludf.DUMMYFUNCTION("""COMPUTED_VALUE"""),"3 mos")</f>
        <v>3 mos</v>
      </c>
      <c r="H2033" s="1" t="str">
        <f>IFERROR(__xludf.DUMMYFUNCTION("""COMPUTED_VALUE"""),"comment")</f>
        <v>comment</v>
      </c>
      <c r="I2033"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33" s="1" t="str">
        <f>IFERROR(__xludf.DUMMYFUNCTION("""COMPUTED_VALUE"""),"2022-07-04T15:47:29.151Z")</f>
        <v>2022-07-04T15:47:29.151Z</v>
      </c>
      <c r="K2033" s="1"/>
    </row>
    <row r="2034">
      <c r="A2034" s="2" t="str">
        <f>IFERROR(__xludf.DUMMYFUNCTION("""COMPUTED_VALUE"""),"https://www.facebook.com/vhersapitula")</f>
        <v>https://www.facebook.com/vhersapitula</v>
      </c>
      <c r="B2034" s="1" t="str">
        <f>IFERROR(__xludf.DUMMYFUNCTION("""COMPUTED_VALUE"""),"Vher Sapitula")</f>
        <v>Vher Sapitula</v>
      </c>
      <c r="C2034" s="1" t="str">
        <f>IFERROR(__xludf.DUMMYFUNCTION("""COMPUTED_VALUE"""),"Vher")</f>
        <v>Vher</v>
      </c>
      <c r="D2034" s="1" t="str">
        <f>IFERROR(__xludf.DUMMYFUNCTION("""COMPUTED_VALUE"""),"Sapitula")</f>
        <v>Sapitula</v>
      </c>
      <c r="E2034" s="1" t="str">
        <f>IFERROR(__xludf.DUMMYFUNCTION("""COMPUTED_VALUE"""),"Len-len lutang libre mangarap...")</f>
        <v>Len-len lutang libre mangarap...</v>
      </c>
      <c r="F2034" s="1">
        <f>IFERROR(__xludf.DUMMYFUNCTION("""COMPUTED_VALUE"""),11.0)</f>
        <v>11</v>
      </c>
      <c r="G2034" s="1" t="str">
        <f>IFERROR(__xludf.DUMMYFUNCTION("""COMPUTED_VALUE"""),"3 mos")</f>
        <v>3 mos</v>
      </c>
      <c r="H2034" s="1" t="str">
        <f>IFERROR(__xludf.DUMMYFUNCTION("""COMPUTED_VALUE"""),"comment")</f>
        <v>comment</v>
      </c>
      <c r="I2034"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34" s="1" t="str">
        <f>IFERROR(__xludf.DUMMYFUNCTION("""COMPUTED_VALUE"""),"2022-07-04T15:47:29.151Z")</f>
        <v>2022-07-04T15:47:29.151Z</v>
      </c>
      <c r="K2034" s="1"/>
    </row>
    <row r="2035">
      <c r="A2035" s="2" t="str">
        <f>IFERROR(__xludf.DUMMYFUNCTION("""COMPUTED_VALUE"""),"https://www.facebook.com/IamRoselleBaltazar")</f>
        <v>https://www.facebook.com/IamRoselleBaltazar</v>
      </c>
      <c r="B2035" s="1" t="str">
        <f>IFERROR(__xludf.DUMMYFUNCTION("""COMPUTED_VALUE"""),"Roselle Baltazar")</f>
        <v>Roselle Baltazar</v>
      </c>
      <c r="C2035" s="1" t="str">
        <f>IFERROR(__xludf.DUMMYFUNCTION("""COMPUTED_VALUE"""),"Roselle")</f>
        <v>Roselle</v>
      </c>
      <c r="D2035" s="1" t="str">
        <f>IFERROR(__xludf.DUMMYFUNCTION("""COMPUTED_VALUE"""),"Baltazar")</f>
        <v>Baltazar</v>
      </c>
      <c r="E2035" s="1" t="str">
        <f>IFERROR(__xludf.DUMMYFUNCTION("""COMPUTED_VALUE"""),"Vher Sapitula  lutang na lutang po talaga. 🙊  https://fb.watch/bZbb2LFA7_/  https://fb.watch/bZbd7kZ_zI/")</f>
        <v>Vher Sapitula  lutang na lutang po talaga. 🙊  https://fb.watch/bZbb2LFA7_/  https://fb.watch/bZbd7kZ_zI/</v>
      </c>
      <c r="F2035" s="1">
        <f>IFERROR(__xludf.DUMMYFUNCTION("""COMPUTED_VALUE"""),2.0)</f>
        <v>2</v>
      </c>
      <c r="G2035" s="1" t="str">
        <f>IFERROR(__xludf.DUMMYFUNCTION("""COMPUTED_VALUE"""),"March 25 at 1:12 AM")</f>
        <v>March 25 at 1:12 AM</v>
      </c>
      <c r="H2035" s="1" t="str">
        <f>IFERROR(__xludf.DUMMYFUNCTION("""COMPUTED_VALUE"""),"reply")</f>
        <v>reply</v>
      </c>
      <c r="I2035"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35" s="1" t="str">
        <f>IFERROR(__xludf.DUMMYFUNCTION("""COMPUTED_VALUE"""),"2022-07-04T15:47:29.151Z")</f>
        <v>2022-07-04T15:47:29.151Z</v>
      </c>
      <c r="K2035" s="1"/>
    </row>
    <row r="2036">
      <c r="A2036" s="2" t="str">
        <f>IFERROR(__xludf.DUMMYFUNCTION("""COMPUTED_VALUE"""),"https://www.facebook.com/profile.php?id=100004103093312")</f>
        <v>https://www.facebook.com/profile.php?id=100004103093312</v>
      </c>
      <c r="B2036" s="1" t="str">
        <f>IFERROR(__xludf.DUMMYFUNCTION("""COMPUTED_VALUE"""),"Adors Adriano")</f>
        <v>Adors Adriano</v>
      </c>
      <c r="C2036" s="1" t="str">
        <f>IFERROR(__xludf.DUMMYFUNCTION("""COMPUTED_VALUE"""),"Adors")</f>
        <v>Adors</v>
      </c>
      <c r="D2036" s="1" t="str">
        <f>IFERROR(__xludf.DUMMYFUNCTION("""COMPUTED_VALUE"""),"Adriano")</f>
        <v>Adriano</v>
      </c>
      <c r="E2036" s="1" t="str">
        <f>IFERROR(__xludf.DUMMYFUNCTION("""COMPUTED_VALUE"""),"Vher Sapitula Oo lutang sya, at lumulutang sya sa alapaap ng kaligayahan dahil sa dami at bumubuhos na naninindigan para sa magandang kinabukasan. #CaMaNaVaForLeniKiko #CaMaNaVaIsPink 💗💚💗💚💗💚💗💚💗💚💗💚💗💚💗💚💗💚💗💚💗💚💗💚💗💚💗💚💗💚")</f>
        <v>Vher Sapitula Oo lutang sya, at lumulutang sya sa alapaap ng kaligayahan dahil sa dami at bumubuhos na naninindigan para sa magandang kinabukasan. #CaMaNaVaForLeniKiko #CaMaNaVaIsPink 💗💚💗💚💗💚💗💚💗💚💗💚💗💚💗💚💗💚💗💚💗💚💗💚💗💚💗💚💗💚</v>
      </c>
      <c r="F2036" s="1">
        <f>IFERROR(__xludf.DUMMYFUNCTION("""COMPUTED_VALUE"""),1.0)</f>
        <v>1</v>
      </c>
      <c r="G2036" s="1" t="str">
        <f>IFERROR(__xludf.DUMMYFUNCTION("""COMPUTED_VALUE"""),"3 mos")</f>
        <v>3 mos</v>
      </c>
      <c r="H2036" s="1" t="str">
        <f>IFERROR(__xludf.DUMMYFUNCTION("""COMPUTED_VALUE"""),"reply")</f>
        <v>reply</v>
      </c>
      <c r="I2036"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36" s="1" t="str">
        <f>IFERROR(__xludf.DUMMYFUNCTION("""COMPUTED_VALUE"""),"2022-07-04T15:47:29.152Z")</f>
        <v>2022-07-04T15:47:29.152Z</v>
      </c>
      <c r="K2036" s="1"/>
    </row>
    <row r="2037">
      <c r="A2037" s="2" t="str">
        <f>IFERROR(__xludf.DUMMYFUNCTION("""COMPUTED_VALUE"""),"https://www.facebook.com/laura.coloma.7")</f>
        <v>https://www.facebook.com/laura.coloma.7</v>
      </c>
      <c r="B2037" s="1" t="str">
        <f>IFERROR(__xludf.DUMMYFUNCTION("""COMPUTED_VALUE"""),"Laura Coloma")</f>
        <v>Laura Coloma</v>
      </c>
      <c r="C2037" s="1" t="str">
        <f>IFERROR(__xludf.DUMMYFUNCTION("""COMPUTED_VALUE"""),"Laura")</f>
        <v>Laura</v>
      </c>
      <c r="D2037" s="1" t="str">
        <f>IFERROR(__xludf.DUMMYFUNCTION("""COMPUTED_VALUE"""),"Coloma")</f>
        <v>Coloma</v>
      </c>
      <c r="E2037" s="1" t="str">
        <f>IFERROR(__xludf.DUMMYFUNCTION("""COMPUTED_VALUE"""),"Ang mag de decide pa rin ay mga tao...sila ang pipili...at hindi yung kung sino lang....anf mga tao ang magluluklok sa taong gusto nila...huwag nating pangunahan....mas matatalino na mga tao...at hindi na nagpapadala sa mga mainstream media.....marami nan"&amp;"g sources at hindi na nagpapadala sa mga  maling impormasyon...")</f>
        <v>Ang mag de decide pa rin ay mga tao...sila ang pipili...at hindi yung kung sino lang....anf mga tao ang magluluklok sa taong gusto nila...huwag nating pangunahan....mas matatalino na mga tao...at hindi na nagpapadala sa mga mainstream media.....marami nang sources at hindi na nagpapadala sa mga  maling impormasyon...</v>
      </c>
      <c r="F2037" s="1"/>
      <c r="G2037" s="1" t="str">
        <f>IFERROR(__xludf.DUMMYFUNCTION("""COMPUTED_VALUE"""),"3 mos")</f>
        <v>3 mos</v>
      </c>
      <c r="H2037" s="1" t="str">
        <f>IFERROR(__xludf.DUMMYFUNCTION("""COMPUTED_VALUE"""),"comment")</f>
        <v>comment</v>
      </c>
      <c r="I2037"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37" s="1" t="str">
        <f>IFERROR(__xludf.DUMMYFUNCTION("""COMPUTED_VALUE"""),"2022-07-04T15:47:29.152Z")</f>
        <v>2022-07-04T15:47:29.152Z</v>
      </c>
      <c r="K2037" s="1"/>
    </row>
    <row r="2038">
      <c r="A2038" s="2" t="str">
        <f>IFERROR(__xludf.DUMMYFUNCTION("""COMPUTED_VALUE"""),"https://www.facebook.com/jingbong.suan")</f>
        <v>https://www.facebook.com/jingbong.suan</v>
      </c>
      <c r="B2038" s="1" t="str">
        <f>IFERROR(__xludf.DUMMYFUNCTION("""COMPUTED_VALUE"""),"Felix Suan")</f>
        <v>Felix Suan</v>
      </c>
      <c r="C2038" s="1" t="str">
        <f>IFERROR(__xludf.DUMMYFUNCTION("""COMPUTED_VALUE"""),"Felix")</f>
        <v>Felix</v>
      </c>
      <c r="D2038" s="1" t="str">
        <f>IFERROR(__xludf.DUMMYFUNCTION("""COMPUTED_VALUE"""),"Suan")</f>
        <v>Suan</v>
      </c>
      <c r="E2038" s="1" t="str">
        <f>IFERROR(__xludf.DUMMYFUNCTION("""COMPUTED_VALUE"""),"ayaw na naming maduterte pa ulit")</f>
        <v>ayaw na naming maduterte pa ulit</v>
      </c>
      <c r="F2038" s="1">
        <f>IFERROR(__xludf.DUMMYFUNCTION("""COMPUTED_VALUE"""),9.0)</f>
        <v>9</v>
      </c>
      <c r="G2038" s="1" t="str">
        <f>IFERROR(__xludf.DUMMYFUNCTION("""COMPUTED_VALUE"""),"3 mos")</f>
        <v>3 mos</v>
      </c>
      <c r="H2038" s="1" t="str">
        <f>IFERROR(__xludf.DUMMYFUNCTION("""COMPUTED_VALUE"""),"comment")</f>
        <v>comment</v>
      </c>
      <c r="I2038"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38" s="1" t="str">
        <f>IFERROR(__xludf.DUMMYFUNCTION("""COMPUTED_VALUE"""),"2022-07-04T15:47:29.152Z")</f>
        <v>2022-07-04T15:47:29.152Z</v>
      </c>
      <c r="K2038" s="1"/>
    </row>
    <row r="2039">
      <c r="A2039" s="2" t="str">
        <f>IFERROR(__xludf.DUMMYFUNCTION("""COMPUTED_VALUE"""),"https://www.facebook.com/esting.cabrerazaAaAaA")</f>
        <v>https://www.facebook.com/esting.cabrerazaAaAaA</v>
      </c>
      <c r="B2039" s="1" t="str">
        <f>IFERROR(__xludf.DUMMYFUNCTION("""COMPUTED_VALUE"""),"Esting Cabrera")</f>
        <v>Esting Cabrera</v>
      </c>
      <c r="C2039" s="1" t="str">
        <f>IFERROR(__xludf.DUMMYFUNCTION("""COMPUTED_VALUE"""),"Esting")</f>
        <v>Esting</v>
      </c>
      <c r="D2039" s="1" t="str">
        <f>IFERROR(__xludf.DUMMYFUNCTION("""COMPUTED_VALUE"""),"Cabrera")</f>
        <v>Cabrera</v>
      </c>
      <c r="E2039" s="1" t="str">
        <f>IFERROR(__xludf.DUMMYFUNCTION("""COMPUTED_VALUE"""),"Felix Suan oo nga.po grabe iniwan na utang 12.2trillion npka laki ilan porsiento kya napunta sa nga bulsa ng mga ganid na pulitiko.numero uno pandemic a very good source of corruption..")</f>
        <v>Felix Suan oo nga.po grabe iniwan na utang 12.2trillion npka laki ilan porsiento kya napunta sa nga bulsa ng mga ganid na pulitiko.numero uno pandemic a very good source of corruption..</v>
      </c>
      <c r="F2039" s="1">
        <f>IFERROR(__xludf.DUMMYFUNCTION("""COMPUTED_VALUE"""),2.0)</f>
        <v>2</v>
      </c>
      <c r="G2039" s="1" t="str">
        <f>IFERROR(__xludf.DUMMYFUNCTION("""COMPUTED_VALUE"""),"3 mos")</f>
        <v>3 mos</v>
      </c>
      <c r="H2039" s="1" t="str">
        <f>IFERROR(__xludf.DUMMYFUNCTION("""COMPUTED_VALUE"""),"reply")</f>
        <v>reply</v>
      </c>
      <c r="I2039"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39" s="1" t="str">
        <f>IFERROR(__xludf.DUMMYFUNCTION("""COMPUTED_VALUE"""),"2022-07-04T15:47:29.152Z")</f>
        <v>2022-07-04T15:47:29.152Z</v>
      </c>
      <c r="K2039" s="1"/>
    </row>
    <row r="2040">
      <c r="A2040" s="2" t="str">
        <f>IFERROR(__xludf.DUMMYFUNCTION("""COMPUTED_VALUE"""),"https://www.facebook.com/alma.bautista.148")</f>
        <v>https://www.facebook.com/alma.bautista.148</v>
      </c>
      <c r="B2040" s="1" t="str">
        <f>IFERROR(__xludf.DUMMYFUNCTION("""COMPUTED_VALUE"""),"Maria Alma Bautista")</f>
        <v>Maria Alma Bautista</v>
      </c>
      <c r="C2040" s="1" t="str">
        <f>IFERROR(__xludf.DUMMYFUNCTION("""COMPUTED_VALUE"""),"Maria")</f>
        <v>Maria</v>
      </c>
      <c r="D2040" s="1" t="str">
        <f>IFERROR(__xludf.DUMMYFUNCTION("""COMPUTED_VALUE"""),"Alma Bautista")</f>
        <v>Alma Bautista</v>
      </c>
      <c r="E2040" s="1" t="str">
        <f>IFERROR(__xludf.DUMMYFUNCTION("""COMPUTED_VALUE"""),"Maria Alma Bautista")</f>
        <v>Maria Alma Bautista</v>
      </c>
      <c r="F2040" s="1">
        <f>IFERROR(__xludf.DUMMYFUNCTION("""COMPUTED_VALUE"""),4.0)</f>
        <v>4</v>
      </c>
      <c r="G2040" s="1" t="str">
        <f>IFERROR(__xludf.DUMMYFUNCTION("""COMPUTED_VALUE"""),"3 mos")</f>
        <v>3 mos</v>
      </c>
      <c r="H2040" s="1" t="str">
        <f>IFERROR(__xludf.DUMMYFUNCTION("""COMPUTED_VALUE"""),"comment")</f>
        <v>comment</v>
      </c>
      <c r="I2040"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0" s="1" t="str">
        <f>IFERROR(__xludf.DUMMYFUNCTION("""COMPUTED_VALUE"""),"2022-07-04T15:47:29.152Z")</f>
        <v>2022-07-04T15:47:29.152Z</v>
      </c>
      <c r="K2040" s="1"/>
    </row>
    <row r="2041">
      <c r="A2041" s="2" t="str">
        <f>IFERROR(__xludf.DUMMYFUNCTION("""COMPUTED_VALUE"""),"https://www.facebook.com/jrockersgsm")</f>
        <v>https://www.facebook.com/jrockersgsm</v>
      </c>
      <c r="B2041" s="1" t="str">
        <f>IFERROR(__xludf.DUMMYFUNCTION("""COMPUTED_VALUE"""),"Jovey Seson Laput")</f>
        <v>Jovey Seson Laput</v>
      </c>
      <c r="C2041" s="1" t="str">
        <f>IFERROR(__xludf.DUMMYFUNCTION("""COMPUTED_VALUE"""),"Jovey")</f>
        <v>Jovey</v>
      </c>
      <c r="D2041" s="1" t="str">
        <f>IFERROR(__xludf.DUMMYFUNCTION("""COMPUTED_VALUE"""),"Seson Laput")</f>
        <v>Seson Laput</v>
      </c>
      <c r="E2041" s="1" t="str">
        <f>IFERROR(__xludf.DUMMYFUNCTION("""COMPUTED_VALUE"""),"Maawa napo kau kay lenlen.😂🤣")</f>
        <v>Maawa napo kau kay lenlen.😂🤣</v>
      </c>
      <c r="F2041" s="1"/>
      <c r="G2041" s="1" t="str">
        <f>IFERROR(__xludf.DUMMYFUNCTION("""COMPUTED_VALUE"""),"3 mos")</f>
        <v>3 mos</v>
      </c>
      <c r="H2041" s="1" t="str">
        <f>IFERROR(__xludf.DUMMYFUNCTION("""COMPUTED_VALUE"""),"comment")</f>
        <v>comment</v>
      </c>
      <c r="I2041"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1" s="1" t="str">
        <f>IFERROR(__xludf.DUMMYFUNCTION("""COMPUTED_VALUE"""),"2022-07-04T15:47:29.152Z")</f>
        <v>2022-07-04T15:47:29.152Z</v>
      </c>
      <c r="K2041" s="1"/>
    </row>
    <row r="2042">
      <c r="A2042" s="2" t="str">
        <f>IFERROR(__xludf.DUMMYFUNCTION("""COMPUTED_VALUE"""),"https://www.facebook.com/marichu.espinosa.5")</f>
        <v>https://www.facebook.com/marichu.espinosa.5</v>
      </c>
      <c r="B2042" s="1" t="str">
        <f>IFERROR(__xludf.DUMMYFUNCTION("""COMPUTED_VALUE"""),"Marichu Espinosa")</f>
        <v>Marichu Espinosa</v>
      </c>
      <c r="C2042" s="1" t="str">
        <f>IFERROR(__xludf.DUMMYFUNCTION("""COMPUTED_VALUE"""),"Marichu")</f>
        <v>Marichu</v>
      </c>
      <c r="D2042" s="1" t="str">
        <f>IFERROR(__xludf.DUMMYFUNCTION("""COMPUTED_VALUE"""),"Espinosa")</f>
        <v>Espinosa</v>
      </c>
      <c r="E2042" s="1" t="str">
        <f>IFERROR(__xludf.DUMMYFUNCTION("""COMPUTED_VALUE"""),"tama po kyo.at bihira manalo ang indorso ng admin.")</f>
        <v>tama po kyo.at bihira manalo ang indorso ng admin.</v>
      </c>
      <c r="F2042" s="1">
        <f>IFERROR(__xludf.DUMMYFUNCTION("""COMPUTED_VALUE"""),9.0)</f>
        <v>9</v>
      </c>
      <c r="G2042" s="1" t="str">
        <f>IFERROR(__xludf.DUMMYFUNCTION("""COMPUTED_VALUE"""),"3 mos")</f>
        <v>3 mos</v>
      </c>
      <c r="H2042" s="1" t="str">
        <f>IFERROR(__xludf.DUMMYFUNCTION("""COMPUTED_VALUE"""),"comment")</f>
        <v>comment</v>
      </c>
      <c r="I2042"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2" s="1" t="str">
        <f>IFERROR(__xludf.DUMMYFUNCTION("""COMPUTED_VALUE"""),"2022-07-04T15:47:29.152Z")</f>
        <v>2022-07-04T15:47:29.152Z</v>
      </c>
      <c r="K2042" s="1"/>
    </row>
    <row r="2043">
      <c r="A2043" s="2" t="str">
        <f>IFERROR(__xludf.DUMMYFUNCTION("""COMPUTED_VALUE"""),"https://www.facebook.com/arnel.bernardino.9")</f>
        <v>https://www.facebook.com/arnel.bernardino.9</v>
      </c>
      <c r="B2043" s="1" t="str">
        <f>IFERROR(__xludf.DUMMYFUNCTION("""COMPUTED_VALUE"""),"Arnel Bernardino")</f>
        <v>Arnel Bernardino</v>
      </c>
      <c r="C2043" s="1" t="str">
        <f>IFERROR(__xludf.DUMMYFUNCTION("""COMPUTED_VALUE"""),"Arnel")</f>
        <v>Arnel</v>
      </c>
      <c r="D2043" s="1" t="str">
        <f>IFERROR(__xludf.DUMMYFUNCTION("""COMPUTED_VALUE"""),"Bernardino")</f>
        <v>Bernardino</v>
      </c>
      <c r="E2043" s="1" t="str">
        <f>IFERROR(__xludf.DUMMYFUNCTION("""COMPUTED_VALUE"""),"Marichu Espinosa wehhhh😂😂")</f>
        <v>Marichu Espinosa wehhhh😂😂</v>
      </c>
      <c r="F2043" s="1"/>
      <c r="G2043" s="1" t="str">
        <f>IFERROR(__xludf.DUMMYFUNCTION("""COMPUTED_VALUE"""),"3 mos")</f>
        <v>3 mos</v>
      </c>
      <c r="H2043" s="1" t="str">
        <f>IFERROR(__xludf.DUMMYFUNCTION("""COMPUTED_VALUE"""),"reply")</f>
        <v>reply</v>
      </c>
      <c r="I2043"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3" s="1" t="str">
        <f>IFERROR(__xludf.DUMMYFUNCTION("""COMPUTED_VALUE"""),"2022-07-04T15:47:29.152Z")</f>
        <v>2022-07-04T15:47:29.152Z</v>
      </c>
      <c r="K2043" s="1"/>
    </row>
    <row r="2044">
      <c r="A2044" s="2" t="str">
        <f>IFERROR(__xludf.DUMMYFUNCTION("""COMPUTED_VALUE"""),"https://www.facebook.com/rgrino1")</f>
        <v>https://www.facebook.com/rgrino1</v>
      </c>
      <c r="B2044" s="1" t="str">
        <f>IFERROR(__xludf.DUMMYFUNCTION("""COMPUTED_VALUE"""),"Ruc Griño")</f>
        <v>Ruc Griño</v>
      </c>
      <c r="C2044" s="1" t="str">
        <f>IFERROR(__xludf.DUMMYFUNCTION("""COMPUTED_VALUE"""),"Ruc")</f>
        <v>Ruc</v>
      </c>
      <c r="D2044" s="1" t="str">
        <f>IFERROR(__xludf.DUMMYFUNCTION("""COMPUTED_VALUE"""),"Griño")</f>
        <v>Griño</v>
      </c>
      <c r="E2044" s="1" t="str">
        <f>IFERROR(__xludf.DUMMYFUNCTION("""COMPUTED_VALUE"""),"Marichu Espinosa panu mo nasabi?? Lalo na kakarampot lang kau")</f>
        <v>Marichu Espinosa panu mo nasabi?? Lalo na kakarampot lang kau</v>
      </c>
      <c r="F2044" s="1"/>
      <c r="G2044" s="1" t="str">
        <f>IFERROR(__xludf.DUMMYFUNCTION("""COMPUTED_VALUE"""),"3 mos")</f>
        <v>3 mos</v>
      </c>
      <c r="H2044" s="1" t="str">
        <f>IFERROR(__xludf.DUMMYFUNCTION("""COMPUTED_VALUE"""),"reply")</f>
        <v>reply</v>
      </c>
      <c r="I2044"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4" s="1" t="str">
        <f>IFERROR(__xludf.DUMMYFUNCTION("""COMPUTED_VALUE"""),"2022-07-04T15:47:29.152Z")</f>
        <v>2022-07-04T15:47:29.152Z</v>
      </c>
      <c r="K2044" s="1"/>
    </row>
    <row r="2045">
      <c r="A2045" s="2" t="str">
        <f>IFERROR(__xludf.DUMMYFUNCTION("""COMPUTED_VALUE"""),"https://www.facebook.com/kawboy02")</f>
        <v>https://www.facebook.com/kawboy02</v>
      </c>
      <c r="B2045" s="1" t="str">
        <f>IFERROR(__xludf.DUMMYFUNCTION("""COMPUTED_VALUE"""),"Rico James U. Felasol")</f>
        <v>Rico James U. Felasol</v>
      </c>
      <c r="C2045" s="1" t="str">
        <f>IFERROR(__xludf.DUMMYFUNCTION("""COMPUTED_VALUE"""),"Rico")</f>
        <v>Rico</v>
      </c>
      <c r="D2045" s="1" t="str">
        <f>IFERROR(__xludf.DUMMYFUNCTION("""COMPUTED_VALUE"""),"James U. Felasol")</f>
        <v>James U. Felasol</v>
      </c>
      <c r="E2045" s="1" t="str">
        <f>IFERROR(__xludf.DUMMYFUNCTION("""COMPUTED_VALUE"""),"Marichu Espinosa Mind Conditioning Sigurado may Dayaan sa May 9 Buti nahuli Yung Breached Sa Comelec Kaya kompyansa kayu")</f>
        <v>Marichu Espinosa Mind Conditioning Sigurado may Dayaan sa May 9 Buti nahuli Yung Breached Sa Comelec Kaya kompyansa kayu</v>
      </c>
      <c r="F2045" s="1"/>
      <c r="G2045" s="1" t="str">
        <f>IFERROR(__xludf.DUMMYFUNCTION("""COMPUTED_VALUE"""),"3 mos")</f>
        <v>3 mos</v>
      </c>
      <c r="H2045" s="1" t="str">
        <f>IFERROR(__xludf.DUMMYFUNCTION("""COMPUTED_VALUE"""),"reply")</f>
        <v>reply</v>
      </c>
      <c r="I2045"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5" s="1" t="str">
        <f>IFERROR(__xludf.DUMMYFUNCTION("""COMPUTED_VALUE"""),"2022-07-04T15:47:29.152Z")</f>
        <v>2022-07-04T15:47:29.152Z</v>
      </c>
      <c r="K2045" s="1"/>
    </row>
    <row r="2046">
      <c r="A2046" s="2" t="str">
        <f>IFERROR(__xludf.DUMMYFUNCTION("""COMPUTED_VALUE"""),"https://www.facebook.com/vanessa.cabelto")</f>
        <v>https://www.facebook.com/vanessa.cabelto</v>
      </c>
      <c r="B2046" s="1" t="str">
        <f>IFERROR(__xludf.DUMMYFUNCTION("""COMPUTED_VALUE"""),"Vanessa Cabelto")</f>
        <v>Vanessa Cabelto</v>
      </c>
      <c r="C2046" s="1" t="str">
        <f>IFERROR(__xludf.DUMMYFUNCTION("""COMPUTED_VALUE"""),"Vanessa")</f>
        <v>Vanessa</v>
      </c>
      <c r="D2046" s="1" t="str">
        <f>IFERROR(__xludf.DUMMYFUNCTION("""COMPUTED_VALUE"""),"Cabelto")</f>
        <v>Cabelto</v>
      </c>
      <c r="E2046" s="1" t="str">
        <f>IFERROR(__xludf.DUMMYFUNCTION("""COMPUTED_VALUE"""),"Vanessa Cabelto")</f>
        <v>Vanessa Cabelto</v>
      </c>
      <c r="F2046" s="1"/>
      <c r="G2046" s="1" t="str">
        <f>IFERROR(__xludf.DUMMYFUNCTION("""COMPUTED_VALUE"""),"3 mos")</f>
        <v>3 mos</v>
      </c>
      <c r="H2046" s="1" t="str">
        <f>IFERROR(__xludf.DUMMYFUNCTION("""COMPUTED_VALUE"""),"comment")</f>
        <v>comment</v>
      </c>
      <c r="I2046"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6" s="1" t="str">
        <f>IFERROR(__xludf.DUMMYFUNCTION("""COMPUTED_VALUE"""),"2022-07-04T15:47:29.152Z")</f>
        <v>2022-07-04T15:47:29.152Z</v>
      </c>
      <c r="K2046" s="1"/>
    </row>
    <row r="2047">
      <c r="A2047" s="2" t="str">
        <f>IFERROR(__xludf.DUMMYFUNCTION("""COMPUTED_VALUE"""),"https://www.facebook.com/ronel.padrqiue")</f>
        <v>https://www.facebook.com/ronel.padrqiue</v>
      </c>
      <c r="B2047" s="1" t="str">
        <f>IFERROR(__xludf.DUMMYFUNCTION("""COMPUTED_VALUE"""),"Ronel Padrique")</f>
        <v>Ronel Padrique</v>
      </c>
      <c r="C2047" s="1" t="str">
        <f>IFERROR(__xludf.DUMMYFUNCTION("""COMPUTED_VALUE"""),"Ronel")</f>
        <v>Ronel</v>
      </c>
      <c r="D2047" s="1" t="str">
        <f>IFERROR(__xludf.DUMMYFUNCTION("""COMPUTED_VALUE"""),"Padrique")</f>
        <v>Padrique</v>
      </c>
      <c r="E2047" s="1" t="str">
        <f>IFERROR(__xludf.DUMMYFUNCTION("""COMPUTED_VALUE"""),"Mga botante ang magpapasya hindi ng kung sino man at nakikita natin yon sa kasalukuyan")</f>
        <v>Mga botante ang magpapasya hindi ng kung sino man at nakikita natin yon sa kasalukuyan</v>
      </c>
      <c r="F2047" s="1"/>
      <c r="G2047" s="1" t="str">
        <f>IFERROR(__xludf.DUMMYFUNCTION("""COMPUTED_VALUE"""),"3 mos")</f>
        <v>3 mos</v>
      </c>
      <c r="H2047" s="1" t="str">
        <f>IFERROR(__xludf.DUMMYFUNCTION("""COMPUTED_VALUE"""),"comment")</f>
        <v>comment</v>
      </c>
      <c r="I2047"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7" s="1" t="str">
        <f>IFERROR(__xludf.DUMMYFUNCTION("""COMPUTED_VALUE"""),"2022-07-04T15:47:29.152Z")</f>
        <v>2022-07-04T15:47:29.152Z</v>
      </c>
      <c r="K2047" s="1"/>
    </row>
    <row r="2048">
      <c r="A2048" s="2" t="str">
        <f>IFERROR(__xludf.DUMMYFUNCTION("""COMPUTED_VALUE"""),"https://www.facebook.com/carmen.tabarnilla")</f>
        <v>https://www.facebook.com/carmen.tabarnilla</v>
      </c>
      <c r="B2048" s="1" t="str">
        <f>IFERROR(__xludf.DUMMYFUNCTION("""COMPUTED_VALUE"""),"Carmen Eustaquio Tabarnilla")</f>
        <v>Carmen Eustaquio Tabarnilla</v>
      </c>
      <c r="C2048" s="1" t="str">
        <f>IFERROR(__xludf.DUMMYFUNCTION("""COMPUTED_VALUE"""),"Carmen")</f>
        <v>Carmen</v>
      </c>
      <c r="D2048" s="1" t="str">
        <f>IFERROR(__xludf.DUMMYFUNCTION("""COMPUTED_VALUE"""),"Eustaquio Tabarnilla")</f>
        <v>Eustaquio Tabarnilla</v>
      </c>
      <c r="E2048" s="1" t="str">
        <f>IFERROR(__xludf.DUMMYFUNCTION("""COMPUTED_VALUE"""),"❤💚")</f>
        <v>❤💚</v>
      </c>
      <c r="F2048" s="1"/>
      <c r="G2048" s="1" t="str">
        <f>IFERROR(__xludf.DUMMYFUNCTION("""COMPUTED_VALUE"""),"3 mos")</f>
        <v>3 mos</v>
      </c>
      <c r="H2048" s="1" t="str">
        <f>IFERROR(__xludf.DUMMYFUNCTION("""COMPUTED_VALUE"""),"comment")</f>
        <v>comment</v>
      </c>
      <c r="I2048"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8" s="1" t="str">
        <f>IFERROR(__xludf.DUMMYFUNCTION("""COMPUTED_VALUE"""),"2022-07-04T15:47:29.152Z")</f>
        <v>2022-07-04T15:47:29.152Z</v>
      </c>
      <c r="K2048" s="1"/>
    </row>
    <row r="2049">
      <c r="A2049" s="2" t="str">
        <f>IFERROR(__xludf.DUMMYFUNCTION("""COMPUTED_VALUE"""),"https://www.facebook.com/liv.viloria18")</f>
        <v>https://www.facebook.com/liv.viloria18</v>
      </c>
      <c r="B2049" s="1" t="str">
        <f>IFERROR(__xludf.DUMMYFUNCTION("""COMPUTED_VALUE"""),"Liv Viloria")</f>
        <v>Liv Viloria</v>
      </c>
      <c r="C2049" s="1" t="str">
        <f>IFERROR(__xludf.DUMMYFUNCTION("""COMPUTED_VALUE"""),"Liv")</f>
        <v>Liv</v>
      </c>
      <c r="D2049" s="1" t="str">
        <f>IFERROR(__xludf.DUMMYFUNCTION("""COMPUTED_VALUE"""),"Viloria")</f>
        <v>Viloria</v>
      </c>
      <c r="E2049" s="1" t="str">
        <f>IFERROR(__xludf.DUMMYFUNCTION("""COMPUTED_VALUE"""),"❤️💚")</f>
        <v>❤️💚</v>
      </c>
      <c r="F2049" s="1"/>
      <c r="G2049" s="1" t="str">
        <f>IFERROR(__xludf.DUMMYFUNCTION("""COMPUTED_VALUE"""),"3 mos")</f>
        <v>3 mos</v>
      </c>
      <c r="H2049" s="1" t="str">
        <f>IFERROR(__xludf.DUMMYFUNCTION("""COMPUTED_VALUE"""),"comment")</f>
        <v>comment</v>
      </c>
      <c r="I2049"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49" s="1" t="str">
        <f>IFERROR(__xludf.DUMMYFUNCTION("""COMPUTED_VALUE"""),"2022-07-04T15:47:29.152Z")</f>
        <v>2022-07-04T15:47:29.152Z</v>
      </c>
      <c r="K2049" s="1"/>
    </row>
    <row r="2050">
      <c r="A2050" s="2" t="str">
        <f>IFERROR(__xludf.DUMMYFUNCTION("""COMPUTED_VALUE"""),"https://www.facebook.com/jkeallano")</f>
        <v>https://www.facebook.com/jkeallano</v>
      </c>
      <c r="B2050" s="1" t="str">
        <f>IFERROR(__xludf.DUMMYFUNCTION("""COMPUTED_VALUE"""),"Jake Catanyag Semillano")</f>
        <v>Jake Catanyag Semillano</v>
      </c>
      <c r="C2050" s="1" t="str">
        <f>IFERROR(__xludf.DUMMYFUNCTION("""COMPUTED_VALUE"""),"Jake")</f>
        <v>Jake</v>
      </c>
      <c r="D2050" s="1" t="str">
        <f>IFERROR(__xludf.DUMMYFUNCTION("""COMPUTED_VALUE"""),"Catanyag Semillano")</f>
        <v>Catanyag Semillano</v>
      </c>
      <c r="E2050" s="1" t="str">
        <f>IFERROR(__xludf.DUMMYFUNCTION("""COMPUTED_VALUE"""),"🤔🤔😁")</f>
        <v>🤔🤔😁</v>
      </c>
      <c r="F2050" s="1"/>
      <c r="G2050" s="1" t="str">
        <f>IFERROR(__xludf.DUMMYFUNCTION("""COMPUTED_VALUE"""),"3 mos")</f>
        <v>3 mos</v>
      </c>
      <c r="H2050" s="1" t="str">
        <f>IFERROR(__xludf.DUMMYFUNCTION("""COMPUTED_VALUE"""),"comment")</f>
        <v>comment</v>
      </c>
      <c r="I2050"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50" s="1" t="str">
        <f>IFERROR(__xludf.DUMMYFUNCTION("""COMPUTED_VALUE"""),"2022-07-04T15:47:29.152Z")</f>
        <v>2022-07-04T15:47:29.152Z</v>
      </c>
      <c r="K2050" s="1"/>
    </row>
    <row r="2051">
      <c r="A2051" s="2" t="str">
        <f>IFERROR(__xludf.DUMMYFUNCTION("""COMPUTED_VALUE"""),"https://www.facebook.com/gregorio.deo")</f>
        <v>https://www.facebook.com/gregorio.deo</v>
      </c>
      <c r="B2051" s="1" t="str">
        <f>IFERROR(__xludf.DUMMYFUNCTION("""COMPUTED_VALUE"""),"Gregorio Deo")</f>
        <v>Gregorio Deo</v>
      </c>
      <c r="C2051" s="1" t="str">
        <f>IFERROR(__xludf.DUMMYFUNCTION("""COMPUTED_VALUE"""),"Gregorio")</f>
        <v>Gregorio</v>
      </c>
      <c r="D2051" s="1" t="str">
        <f>IFERROR(__xludf.DUMMYFUNCTION("""COMPUTED_VALUE"""),"Deo")</f>
        <v>Deo</v>
      </c>
      <c r="E2051" s="1" t="str">
        <f>IFERROR(__xludf.DUMMYFUNCTION("""COMPUTED_VALUE"""),"❤️💚✌️👊")</f>
        <v>❤️💚✌️👊</v>
      </c>
      <c r="F2051" s="1"/>
      <c r="G2051" s="1" t="str">
        <f>IFERROR(__xludf.DUMMYFUNCTION("""COMPUTED_VALUE"""),"3 mos")</f>
        <v>3 mos</v>
      </c>
      <c r="H2051" s="1" t="str">
        <f>IFERROR(__xludf.DUMMYFUNCTION("""COMPUTED_VALUE"""),"comment")</f>
        <v>comment</v>
      </c>
      <c r="I2051"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51" s="1" t="str">
        <f>IFERROR(__xludf.DUMMYFUNCTION("""COMPUTED_VALUE"""),"2022-07-04T15:47:29.152Z")</f>
        <v>2022-07-04T15:47:29.152Z</v>
      </c>
      <c r="K2051" s="1"/>
    </row>
    <row r="2052">
      <c r="A2052" s="2" t="str">
        <f>IFERROR(__xludf.DUMMYFUNCTION("""COMPUTED_VALUE"""),"https://www.facebook.com/kristine.r.nueva")</f>
        <v>https://www.facebook.com/kristine.r.nueva</v>
      </c>
      <c r="B2052" s="1" t="str">
        <f>IFERROR(__xludf.DUMMYFUNCTION("""COMPUTED_VALUE"""),"Kristine Reyes Nueva")</f>
        <v>Kristine Reyes Nueva</v>
      </c>
      <c r="C2052" s="1" t="str">
        <f>IFERROR(__xludf.DUMMYFUNCTION("""COMPUTED_VALUE"""),"Kristine")</f>
        <v>Kristine</v>
      </c>
      <c r="D2052" s="1" t="str">
        <f>IFERROR(__xludf.DUMMYFUNCTION("""COMPUTED_VALUE"""),"Reyes Nueva")</f>
        <v>Reyes Nueva</v>
      </c>
      <c r="E2052" s="1" t="str">
        <f>IFERROR(__xludf.DUMMYFUNCTION("""COMPUTED_VALUE"""),"❤️💚🇵🇭")</f>
        <v>❤️💚🇵🇭</v>
      </c>
      <c r="F2052" s="1"/>
      <c r="G2052" s="1" t="str">
        <f>IFERROR(__xludf.DUMMYFUNCTION("""COMPUTED_VALUE"""),"3 mos")</f>
        <v>3 mos</v>
      </c>
      <c r="H2052" s="1" t="str">
        <f>IFERROR(__xludf.DUMMYFUNCTION("""COMPUTED_VALUE"""),"comment")</f>
        <v>comment</v>
      </c>
      <c r="I2052"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52" s="1" t="str">
        <f>IFERROR(__xludf.DUMMYFUNCTION("""COMPUTED_VALUE"""),"2022-07-04T15:47:29.152Z")</f>
        <v>2022-07-04T15:47:29.152Z</v>
      </c>
      <c r="K2052" s="1"/>
    </row>
    <row r="2053">
      <c r="A2053" s="2" t="str">
        <f>IFERROR(__xludf.DUMMYFUNCTION("""COMPUTED_VALUE"""),"https://www.facebook.com/norieann.ramos")</f>
        <v>https://www.facebook.com/norieann.ramos</v>
      </c>
      <c r="B2053" s="1" t="str">
        <f>IFERROR(__xludf.DUMMYFUNCTION("""COMPUTED_VALUE"""),"Norie Ann Serrano")</f>
        <v>Norie Ann Serrano</v>
      </c>
      <c r="C2053" s="1" t="str">
        <f>IFERROR(__xludf.DUMMYFUNCTION("""COMPUTED_VALUE"""),"Norie")</f>
        <v>Norie</v>
      </c>
      <c r="D2053" s="1" t="str">
        <f>IFERROR(__xludf.DUMMYFUNCTION("""COMPUTED_VALUE"""),"Ann Serrano")</f>
        <v>Ann Serrano</v>
      </c>
      <c r="E2053" s="1" t="str">
        <f>IFERROR(__xludf.DUMMYFUNCTION("""COMPUTED_VALUE"""),"https://clickpartylist.ph/ CLICK NA CLICK BUHAY GAWING HIGHTECH No.40 sa balota")</f>
        <v>https://clickpartylist.ph/ CLICK NA CLICK BUHAY GAWING HIGHTECH No.40 sa balota</v>
      </c>
      <c r="F2053" s="1"/>
      <c r="G2053" s="1" t="str">
        <f>IFERROR(__xludf.DUMMYFUNCTION("""COMPUTED_VALUE"""),"3 mos")</f>
        <v>3 mos</v>
      </c>
      <c r="H2053" s="1" t="str">
        <f>IFERROR(__xludf.DUMMYFUNCTION("""COMPUTED_VALUE"""),"comment")</f>
        <v>comment</v>
      </c>
      <c r="I2053"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53" s="1" t="str">
        <f>IFERROR(__xludf.DUMMYFUNCTION("""COMPUTED_VALUE"""),"2022-07-04T15:47:29.152Z")</f>
        <v>2022-07-04T15:47:29.152Z</v>
      </c>
      <c r="K2053" s="1"/>
    </row>
    <row r="2054">
      <c r="A2054" s="2" t="str">
        <f>IFERROR(__xludf.DUMMYFUNCTION("""COMPUTED_VALUE"""),"https://www.facebook.com/jheys.lupet")</f>
        <v>https://www.facebook.com/jheys.lupet</v>
      </c>
      <c r="B2054" s="1" t="str">
        <f>IFERROR(__xludf.DUMMYFUNCTION("""COMPUTED_VALUE"""),"Batan Jason")</f>
        <v>Batan Jason</v>
      </c>
      <c r="C2054" s="1" t="str">
        <f>IFERROR(__xludf.DUMMYFUNCTION("""COMPUTED_VALUE"""),"Batan")</f>
        <v>Batan</v>
      </c>
      <c r="D2054" s="1" t="str">
        <f>IFERROR(__xludf.DUMMYFUNCTION("""COMPUTED_VALUE"""),"Jason")</f>
        <v>Jason</v>
      </c>
      <c r="E2054" s="1" t="str">
        <f>IFERROR(__xludf.DUMMYFUNCTION("""COMPUTED_VALUE"""),"Norie Ann Serrano CLICK NA CLICK. BUHAY GAWIN HIGHTECH! https://www.facebook.com/CLICKpartylist")</f>
        <v>Norie Ann Serrano CLICK NA CLICK. BUHAY GAWIN HIGHTECH! https://www.facebook.com/CLICKpartylist</v>
      </c>
      <c r="F2054" s="1"/>
      <c r="G2054" s="1" t="str">
        <f>IFERROR(__xludf.DUMMYFUNCTION("""COMPUTED_VALUE"""),"3 mos")</f>
        <v>3 mos</v>
      </c>
      <c r="H2054" s="1" t="str">
        <f>IFERROR(__xludf.DUMMYFUNCTION("""COMPUTED_VALUE"""),"reply")</f>
        <v>reply</v>
      </c>
      <c r="I2054"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54" s="1" t="str">
        <f>IFERROR(__xludf.DUMMYFUNCTION("""COMPUTED_VALUE"""),"2022-07-04T15:47:29.152Z")</f>
        <v>2022-07-04T15:47:29.152Z</v>
      </c>
      <c r="K2054" s="1"/>
    </row>
    <row r="2055">
      <c r="A2055" s="2" t="str">
        <f>IFERROR(__xludf.DUMMYFUNCTION("""COMPUTED_VALUE"""),"https://www.facebook.com/kram.nia.5")</f>
        <v>https://www.facebook.com/kram.nia.5</v>
      </c>
      <c r="B2055" s="1" t="str">
        <f>IFERROR(__xludf.DUMMYFUNCTION("""COMPUTED_VALUE"""),"Jeho Akin")</f>
        <v>Jeho Akin</v>
      </c>
      <c r="C2055" s="1" t="str">
        <f>IFERROR(__xludf.DUMMYFUNCTION("""COMPUTED_VALUE"""),"Jeho")</f>
        <v>Jeho</v>
      </c>
      <c r="D2055" s="1" t="str">
        <f>IFERROR(__xludf.DUMMYFUNCTION("""COMPUTED_VALUE"""),"Akin")</f>
        <v>Akin</v>
      </c>
      <c r="E2055" s="1" t="str">
        <f>IFERROR(__xludf.DUMMYFUNCTION("""COMPUTED_VALUE"""),"Ayaw nyu pa tumigil Wala na finish na asan na yang presedential nyu")</f>
        <v>Ayaw nyu pa tumigil Wala na finish na asan na yang presedential nyu</v>
      </c>
      <c r="F2055" s="1"/>
      <c r="G2055" s="1" t="str">
        <f>IFERROR(__xludf.DUMMYFUNCTION("""COMPUTED_VALUE"""),"3 mos")</f>
        <v>3 mos</v>
      </c>
      <c r="H2055" s="1" t="str">
        <f>IFERROR(__xludf.DUMMYFUNCTION("""COMPUTED_VALUE"""),"comment")</f>
        <v>comment</v>
      </c>
      <c r="I2055"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055" s="1" t="str">
        <f>IFERROR(__xludf.DUMMYFUNCTION("""COMPUTED_VALUE"""),"2022-07-04T15:47:29.152Z")</f>
        <v>2022-07-04T15:47:29.152Z</v>
      </c>
      <c r="K2055" s="1"/>
    </row>
    <row r="2056">
      <c r="A2056" s="2" t="str">
        <f>IFERROR(__xludf.DUMMYFUNCTION("""COMPUTED_VALUE"""),"https://www.facebook.com/depazngt")</f>
        <v>https://www.facebook.com/depazngt</v>
      </c>
      <c r="B2056" s="1" t="str">
        <f>IFERROR(__xludf.DUMMYFUNCTION("""COMPUTED_VALUE"""),"Noreen Grace")</f>
        <v>Noreen Grace</v>
      </c>
      <c r="C2056" s="1" t="str">
        <f>IFERROR(__xludf.DUMMYFUNCTION("""COMPUTED_VALUE"""),"Noreen")</f>
        <v>Noreen</v>
      </c>
      <c r="D2056" s="1" t="str">
        <f>IFERROR(__xludf.DUMMYFUNCTION("""COMPUTED_VALUE"""),"Grace")</f>
        <v>Grace</v>
      </c>
      <c r="E2056" s="1" t="str">
        <f>IFERROR(__xludf.DUMMYFUNCTION("""COMPUTED_VALUE"""),"Roxas is Rosas!  #LeniKiko2022")</f>
        <v>Roxas is Rosas!  #LeniKiko2022</v>
      </c>
      <c r="F2056" s="1">
        <f>IFERROR(__xludf.DUMMYFUNCTION("""COMPUTED_VALUE"""),58.0)</f>
        <v>58</v>
      </c>
      <c r="G2056" s="1" t="str">
        <f>IFERROR(__xludf.DUMMYFUNCTION("""COMPUTED_VALUE"""),"3 mos")</f>
        <v>3 mos</v>
      </c>
      <c r="H2056" s="1" t="str">
        <f>IFERROR(__xludf.DUMMYFUNCTION("""COMPUTED_VALUE"""),"comment")</f>
        <v>comment</v>
      </c>
      <c r="I2056" s="2" t="str">
        <f>IFERROR(__xludf.DUMMYFUNCTION("""COMPUTED_VALUE"""),"https://www.facebook.com/rapplerdotcom/photos/a.317154781638645/5594954703858600/")</f>
        <v>https://www.facebook.com/rapplerdotcom/photos/a.317154781638645/5594954703858600/</v>
      </c>
      <c r="J2056" s="1" t="str">
        <f>IFERROR(__xludf.DUMMYFUNCTION("""COMPUTED_VALUE"""),"2022-07-04T15:48:35.883Z")</f>
        <v>2022-07-04T15:48:35.883Z</v>
      </c>
      <c r="K2056" s="1"/>
    </row>
    <row r="2057">
      <c r="A2057" s="2" t="str">
        <f>IFERROR(__xludf.DUMMYFUNCTION("""COMPUTED_VALUE"""),"https://www.facebook.com/profile.php?id=100079181871183")</f>
        <v>https://www.facebook.com/profile.php?id=100079181871183</v>
      </c>
      <c r="B2057" s="1" t="str">
        <f>IFERROR(__xludf.DUMMYFUNCTION("""COMPUTED_VALUE"""),"Jon Delano")</f>
        <v>Jon Delano</v>
      </c>
      <c r="C2057" s="1" t="str">
        <f>IFERROR(__xludf.DUMMYFUNCTION("""COMPUTED_VALUE"""),"Jon")</f>
        <v>Jon</v>
      </c>
      <c r="D2057" s="1" t="str">
        <f>IFERROR(__xludf.DUMMYFUNCTION("""COMPUTED_VALUE"""),"Delano")</f>
        <v>Delano</v>
      </c>
      <c r="E2057" s="1" t="str">
        <f>IFERROR(__xludf.DUMMYFUNCTION("""COMPUTED_VALUE"""),"How could you be so mentally vacuous that you could say that mang maru is pink?")</f>
        <v>How could you be so mentally vacuous that you could say that mang maru is pink?</v>
      </c>
      <c r="F2057" s="1">
        <f>IFERROR(__xludf.DUMMYFUNCTION("""COMPUTED_VALUE"""),1.0)</f>
        <v>1</v>
      </c>
      <c r="G2057" s="1" t="str">
        <f>IFERROR(__xludf.DUMMYFUNCTION("""COMPUTED_VALUE"""),"3 mos")</f>
        <v>3 mos</v>
      </c>
      <c r="H2057" s="1" t="str">
        <f>IFERROR(__xludf.DUMMYFUNCTION("""COMPUTED_VALUE"""),"reply")</f>
        <v>reply</v>
      </c>
      <c r="I2057" s="2" t="str">
        <f>IFERROR(__xludf.DUMMYFUNCTION("""COMPUTED_VALUE"""),"https://www.facebook.com/rapplerdotcom/photos/a.317154781638645/5594954703858600/")</f>
        <v>https://www.facebook.com/rapplerdotcom/photos/a.317154781638645/5594954703858600/</v>
      </c>
      <c r="J2057" s="1" t="str">
        <f>IFERROR(__xludf.DUMMYFUNCTION("""COMPUTED_VALUE"""),"2022-07-04T15:48:35.883Z")</f>
        <v>2022-07-04T15:48:35.883Z</v>
      </c>
      <c r="K2057" s="1"/>
    </row>
    <row r="2058">
      <c r="A2058" s="2" t="str">
        <f>IFERROR(__xludf.DUMMYFUNCTION("""COMPUTED_VALUE"""),"https://www.facebook.com/aldo.lavingu")</f>
        <v>https://www.facebook.com/aldo.lavingu</v>
      </c>
      <c r="B2058" s="1" t="str">
        <f>IFERROR(__xludf.DUMMYFUNCTION("""COMPUTED_VALUE"""),"Bho Lan Tiaw")</f>
        <v>Bho Lan Tiaw</v>
      </c>
      <c r="C2058" s="1" t="str">
        <f>IFERROR(__xludf.DUMMYFUNCTION("""COMPUTED_VALUE"""),"Bho")</f>
        <v>Bho</v>
      </c>
      <c r="D2058" s="1" t="str">
        <f>IFERROR(__xludf.DUMMYFUNCTION("""COMPUTED_VALUE"""),"Lan Tiaw")</f>
        <v>Lan Tiaw</v>
      </c>
      <c r="E2058" s="1" t="str">
        <f>IFERROR(__xludf.DUMMYFUNCTION("""COMPUTED_VALUE"""),"Jon Delano 2022 na TABOGO ka pa din hangang ngayon.")</f>
        <v>Jon Delano 2022 na TABOGO ka pa din hangang ngayon.</v>
      </c>
      <c r="F2058" s="1">
        <f>IFERROR(__xludf.DUMMYFUNCTION("""COMPUTED_VALUE"""),1.0)</f>
        <v>1</v>
      </c>
      <c r="G2058" s="1" t="str">
        <f>IFERROR(__xludf.DUMMYFUNCTION("""COMPUTED_VALUE"""),"3 mos")</f>
        <v>3 mos</v>
      </c>
      <c r="H2058" s="1" t="str">
        <f>IFERROR(__xludf.DUMMYFUNCTION("""COMPUTED_VALUE"""),"reply")</f>
        <v>reply</v>
      </c>
      <c r="I2058" s="2" t="str">
        <f>IFERROR(__xludf.DUMMYFUNCTION("""COMPUTED_VALUE"""),"https://www.facebook.com/rapplerdotcom/photos/a.317154781638645/5594954703858600/")</f>
        <v>https://www.facebook.com/rapplerdotcom/photos/a.317154781638645/5594954703858600/</v>
      </c>
      <c r="J2058" s="1" t="str">
        <f>IFERROR(__xludf.DUMMYFUNCTION("""COMPUTED_VALUE"""),"2022-07-04T15:48:35.883Z")</f>
        <v>2022-07-04T15:48:35.883Z</v>
      </c>
      <c r="K2058" s="1"/>
    </row>
    <row r="2059">
      <c r="A2059" s="2" t="str">
        <f>IFERROR(__xludf.DUMMYFUNCTION("""COMPUTED_VALUE"""),"https://www.facebook.com/profile.php?id=100077976516349")</f>
        <v>https://www.facebook.com/profile.php?id=100077976516349</v>
      </c>
      <c r="B2059" s="1" t="str">
        <f>IFERROR(__xludf.DUMMYFUNCTION("""COMPUTED_VALUE"""),"Edralin Reyes")</f>
        <v>Edralin Reyes</v>
      </c>
      <c r="C2059" s="1" t="str">
        <f>IFERROR(__xludf.DUMMYFUNCTION("""COMPUTED_VALUE"""),"Edralin")</f>
        <v>Edralin</v>
      </c>
      <c r="D2059" s="1" t="str">
        <f>IFERROR(__xludf.DUMMYFUNCTION("""COMPUTED_VALUE"""),"Reyes")</f>
        <v>Reyes</v>
      </c>
      <c r="E2059" s="1" t="str">
        <f>IFERROR(__xludf.DUMMYFUNCTION("""COMPUTED_VALUE"""),"NoreenGrace Tigas De Paz same kapalpakan feathers😜")</f>
        <v>NoreenGrace Tigas De Paz same kapalpakan feathers😜</v>
      </c>
      <c r="F2059" s="1"/>
      <c r="G2059" s="1" t="str">
        <f>IFERROR(__xludf.DUMMYFUNCTION("""COMPUTED_VALUE"""),"3 mos")</f>
        <v>3 mos</v>
      </c>
      <c r="H2059" s="1" t="str">
        <f>IFERROR(__xludf.DUMMYFUNCTION("""COMPUTED_VALUE"""),"reply")</f>
        <v>reply</v>
      </c>
      <c r="I2059" s="2" t="str">
        <f>IFERROR(__xludf.DUMMYFUNCTION("""COMPUTED_VALUE"""),"https://www.facebook.com/rapplerdotcom/photos/a.317154781638645/5594954703858600/")</f>
        <v>https://www.facebook.com/rapplerdotcom/photos/a.317154781638645/5594954703858600/</v>
      </c>
      <c r="J2059" s="1" t="str">
        <f>IFERROR(__xludf.DUMMYFUNCTION("""COMPUTED_VALUE"""),"2022-07-04T15:48:35.883Z")</f>
        <v>2022-07-04T15:48:35.883Z</v>
      </c>
      <c r="K2059" s="1"/>
    </row>
    <row r="2060">
      <c r="A2060" s="2" t="str">
        <f>IFERROR(__xludf.DUMMYFUNCTION("""COMPUTED_VALUE"""),"https://www.facebook.com/aldo.lavingu")</f>
        <v>https://www.facebook.com/aldo.lavingu</v>
      </c>
      <c r="B2060" s="1" t="str">
        <f>IFERROR(__xludf.DUMMYFUNCTION("""COMPUTED_VALUE"""),"Bho Lan Tiaw")</f>
        <v>Bho Lan Tiaw</v>
      </c>
      <c r="C2060" s="1" t="str">
        <f>IFERROR(__xludf.DUMMYFUNCTION("""COMPUTED_VALUE"""),"Bho")</f>
        <v>Bho</v>
      </c>
      <c r="D2060" s="1" t="str">
        <f>IFERROR(__xludf.DUMMYFUNCTION("""COMPUTED_VALUE"""),"Lan Tiaw")</f>
        <v>Lan Tiaw</v>
      </c>
      <c r="E2060" s="1" t="str">
        <f>IFERROR(__xludf.DUMMYFUNCTION("""COMPUTED_VALUE"""),"Yor April NozUy ngi, nakakatakot naman ang picture,  hindi lang mukhang TABOGO,  ano ba yan.")</f>
        <v>Yor April NozUy ngi, nakakatakot naman ang picture,  hindi lang mukhang TABOGO,  ano ba yan.</v>
      </c>
      <c r="F2060" s="1"/>
      <c r="G2060" s="1" t="str">
        <f>IFERROR(__xludf.DUMMYFUNCTION("""COMPUTED_VALUE"""),"3 mos")</f>
        <v>3 mos</v>
      </c>
      <c r="H2060" s="1" t="str">
        <f>IFERROR(__xludf.DUMMYFUNCTION("""COMPUTED_VALUE"""),"reply")</f>
        <v>reply</v>
      </c>
      <c r="I2060" s="2" t="str">
        <f>IFERROR(__xludf.DUMMYFUNCTION("""COMPUTED_VALUE"""),"https://www.facebook.com/rapplerdotcom/photos/a.317154781638645/5594954703858600/")</f>
        <v>https://www.facebook.com/rapplerdotcom/photos/a.317154781638645/5594954703858600/</v>
      </c>
      <c r="J2060" s="1" t="str">
        <f>IFERROR(__xludf.DUMMYFUNCTION("""COMPUTED_VALUE"""),"2022-07-04T15:48:35.883Z")</f>
        <v>2022-07-04T15:48:35.883Z</v>
      </c>
      <c r="K2060" s="1"/>
    </row>
    <row r="2061">
      <c r="A2061" s="2" t="str">
        <f>IFERROR(__xludf.DUMMYFUNCTION("""COMPUTED_VALUE"""),"https://www.facebook.com/aldo.lavingu")</f>
        <v>https://www.facebook.com/aldo.lavingu</v>
      </c>
      <c r="B2061" s="1" t="str">
        <f>IFERROR(__xludf.DUMMYFUNCTION("""COMPUTED_VALUE"""),"Bho Lan Tiaw")</f>
        <v>Bho Lan Tiaw</v>
      </c>
      <c r="C2061" s="1" t="str">
        <f>IFERROR(__xludf.DUMMYFUNCTION("""COMPUTED_VALUE"""),"Bho")</f>
        <v>Bho</v>
      </c>
      <c r="D2061" s="1" t="str">
        <f>IFERROR(__xludf.DUMMYFUNCTION("""COMPUTED_VALUE"""),"Lan Tiaw")</f>
        <v>Lan Tiaw</v>
      </c>
      <c r="E2061" s="1" t="str">
        <f>IFERROR(__xludf.DUMMYFUNCTION("""COMPUTED_VALUE"""),"Edralin Reyes ai TABOGO ka pa din hangang ngayon.")</f>
        <v>Edralin Reyes ai TABOGO ka pa din hangang ngayon.</v>
      </c>
      <c r="F2061" s="1"/>
      <c r="G2061" s="1" t="str">
        <f>IFERROR(__xludf.DUMMYFUNCTION("""COMPUTED_VALUE"""),"3 mos")</f>
        <v>3 mos</v>
      </c>
      <c r="H2061" s="1" t="str">
        <f>IFERROR(__xludf.DUMMYFUNCTION("""COMPUTED_VALUE"""),"reply")</f>
        <v>reply</v>
      </c>
      <c r="I2061" s="2" t="str">
        <f>IFERROR(__xludf.DUMMYFUNCTION("""COMPUTED_VALUE"""),"https://www.facebook.com/rapplerdotcom/photos/a.317154781638645/5594954703858600/")</f>
        <v>https://www.facebook.com/rapplerdotcom/photos/a.317154781638645/5594954703858600/</v>
      </c>
      <c r="J2061" s="1" t="str">
        <f>IFERROR(__xludf.DUMMYFUNCTION("""COMPUTED_VALUE"""),"2022-07-04T15:48:35.883Z")</f>
        <v>2022-07-04T15:48:35.883Z</v>
      </c>
      <c r="K2061" s="1"/>
    </row>
    <row r="2062">
      <c r="A2062" s="2" t="str">
        <f>IFERROR(__xludf.DUMMYFUNCTION("""COMPUTED_VALUE"""),"https://www.facebook.com/sethestoy.montero")</f>
        <v>https://www.facebook.com/sethestoy.montero</v>
      </c>
      <c r="B2062" s="1" t="str">
        <f>IFERROR(__xludf.DUMMYFUNCTION("""COMPUTED_VALUE"""),"Seth Montero")</f>
        <v>Seth Montero</v>
      </c>
      <c r="C2062" s="1" t="str">
        <f>IFERROR(__xludf.DUMMYFUNCTION("""COMPUTED_VALUE"""),"Seth")</f>
        <v>Seth</v>
      </c>
      <c r="D2062" s="1" t="str">
        <f>IFERROR(__xludf.DUMMYFUNCTION("""COMPUTED_VALUE"""),"Montero")</f>
        <v>Montero</v>
      </c>
      <c r="E2062" s="1" t="str">
        <f>IFERROR(__xludf.DUMMYFUNCTION("""COMPUTED_VALUE"""),"ang supporters ni Mar nong 2016 election ganon din ang supporters ni Lenie eh si talo nanamam🤣🤣🤣")</f>
        <v>ang supporters ni Mar nong 2016 election ganon din ang supporters ni Lenie eh si talo nanamam🤣🤣🤣</v>
      </c>
      <c r="F2062" s="1"/>
      <c r="G2062" s="1" t="str">
        <f>IFERROR(__xludf.DUMMYFUNCTION("""COMPUTED_VALUE"""),"3 mos")</f>
        <v>3 mos</v>
      </c>
      <c r="H2062" s="1" t="str">
        <f>IFERROR(__xludf.DUMMYFUNCTION("""COMPUTED_VALUE"""),"reply")</f>
        <v>reply</v>
      </c>
      <c r="I2062" s="2" t="str">
        <f>IFERROR(__xludf.DUMMYFUNCTION("""COMPUTED_VALUE"""),"https://www.facebook.com/rapplerdotcom/photos/a.317154781638645/5594954703858600/")</f>
        <v>https://www.facebook.com/rapplerdotcom/photos/a.317154781638645/5594954703858600/</v>
      </c>
      <c r="J2062" s="1" t="str">
        <f>IFERROR(__xludf.DUMMYFUNCTION("""COMPUTED_VALUE"""),"2022-07-04T15:48:35.883Z")</f>
        <v>2022-07-04T15:48:35.883Z</v>
      </c>
      <c r="K2062" s="1"/>
    </row>
    <row r="2063">
      <c r="A2063" s="2" t="str">
        <f>IFERROR(__xludf.DUMMYFUNCTION("""COMPUTED_VALUE"""),"https://www.facebook.com/andrew.marfori.75")</f>
        <v>https://www.facebook.com/andrew.marfori.75</v>
      </c>
      <c r="B2063" s="1" t="str">
        <f>IFERROR(__xludf.DUMMYFUNCTION("""COMPUTED_VALUE"""),"Andrew Marfori")</f>
        <v>Andrew Marfori</v>
      </c>
      <c r="C2063" s="1" t="str">
        <f>IFERROR(__xludf.DUMMYFUNCTION("""COMPUTED_VALUE"""),"Andrew")</f>
        <v>Andrew</v>
      </c>
      <c r="D2063" s="1" t="str">
        <f>IFERROR(__xludf.DUMMYFUNCTION("""COMPUTED_VALUE"""),"Marfori")</f>
        <v>Marfori</v>
      </c>
      <c r="E2063" s="1" t="str">
        <f>IFERROR(__xludf.DUMMYFUNCTION("""COMPUTED_VALUE"""),"NoreenGrace Tigas De Paz hehehe ROXAS is AHAS hello YOLANDA")</f>
        <v>NoreenGrace Tigas De Paz hehehe ROXAS is AHAS hello YOLANDA</v>
      </c>
      <c r="F2063" s="1"/>
      <c r="G2063" s="1" t="str">
        <f>IFERROR(__xludf.DUMMYFUNCTION("""COMPUTED_VALUE"""),"3 mos")</f>
        <v>3 mos</v>
      </c>
      <c r="H2063" s="1" t="str">
        <f>IFERROR(__xludf.DUMMYFUNCTION("""COMPUTED_VALUE"""),"reply")</f>
        <v>reply</v>
      </c>
      <c r="I2063" s="2" t="str">
        <f>IFERROR(__xludf.DUMMYFUNCTION("""COMPUTED_VALUE"""),"https://www.facebook.com/rapplerdotcom/photos/a.317154781638645/5594954703858600/")</f>
        <v>https://www.facebook.com/rapplerdotcom/photos/a.317154781638645/5594954703858600/</v>
      </c>
      <c r="J2063" s="1" t="str">
        <f>IFERROR(__xludf.DUMMYFUNCTION("""COMPUTED_VALUE"""),"2022-07-04T15:48:35.883Z")</f>
        <v>2022-07-04T15:48:35.883Z</v>
      </c>
      <c r="K2063" s="1"/>
    </row>
    <row r="2064">
      <c r="A2064" s="2" t="str">
        <f>IFERROR(__xludf.DUMMYFUNCTION("""COMPUTED_VALUE"""),"https://www.facebook.com/mariaana.fontamillas")</f>
        <v>https://www.facebook.com/mariaana.fontamillas</v>
      </c>
      <c r="B2064" s="1" t="str">
        <f>IFERROR(__xludf.DUMMYFUNCTION("""COMPUTED_VALUE"""),"Maria Ana Fontamillas")</f>
        <v>Maria Ana Fontamillas</v>
      </c>
      <c r="C2064" s="1" t="str">
        <f>IFERROR(__xludf.DUMMYFUNCTION("""COMPUTED_VALUE"""),"Maria")</f>
        <v>Maria</v>
      </c>
      <c r="D2064" s="1" t="str">
        <f>IFERROR(__xludf.DUMMYFUNCTION("""COMPUTED_VALUE"""),"Ana Fontamillas")</f>
        <v>Ana Fontamillas</v>
      </c>
      <c r="E2064" s="1" t="str">
        <f>IFERROR(__xludf.DUMMYFUNCTION("""COMPUTED_VALUE"""),"🙋‍♀️ Sir Mar, 💟💟💟  Angat Buhay Lahat  PINK Power -Ipanalo NaTin Ito")</f>
        <v>🙋‍♀️ Sir Mar, 💟💟💟  Angat Buhay Lahat  PINK Power -Ipanalo NaTin Ito</v>
      </c>
      <c r="F2064" s="1">
        <f>IFERROR(__xludf.DUMMYFUNCTION("""COMPUTED_VALUE"""),34.0)</f>
        <v>34</v>
      </c>
      <c r="G2064" s="1" t="str">
        <f>IFERROR(__xludf.DUMMYFUNCTION("""COMPUTED_VALUE"""),"3 mos")</f>
        <v>3 mos</v>
      </c>
      <c r="H2064" s="1" t="str">
        <f>IFERROR(__xludf.DUMMYFUNCTION("""COMPUTED_VALUE"""),"comment")</f>
        <v>comment</v>
      </c>
      <c r="I2064" s="2" t="str">
        <f>IFERROR(__xludf.DUMMYFUNCTION("""COMPUTED_VALUE"""),"https://www.facebook.com/rapplerdotcom/photos/a.317154781638645/5594954703858600/")</f>
        <v>https://www.facebook.com/rapplerdotcom/photos/a.317154781638645/5594954703858600/</v>
      </c>
      <c r="J2064" s="1" t="str">
        <f>IFERROR(__xludf.DUMMYFUNCTION("""COMPUTED_VALUE"""),"2022-07-04T15:48:35.883Z")</f>
        <v>2022-07-04T15:48:35.883Z</v>
      </c>
      <c r="K2064" s="1"/>
    </row>
    <row r="2065">
      <c r="A2065" s="2" t="str">
        <f>IFERROR(__xludf.DUMMYFUNCTION("""COMPUTED_VALUE"""),"https://www.facebook.com/BraveHearT.Marzan")</f>
        <v>https://www.facebook.com/BraveHearT.Marzan</v>
      </c>
      <c r="B2065" s="1" t="str">
        <f>IFERROR(__xludf.DUMMYFUNCTION("""COMPUTED_VALUE"""),"Harry Rimorin Marzan")</f>
        <v>Harry Rimorin Marzan</v>
      </c>
      <c r="C2065" s="1" t="str">
        <f>IFERROR(__xludf.DUMMYFUNCTION("""COMPUTED_VALUE"""),"Harry")</f>
        <v>Harry</v>
      </c>
      <c r="D2065" s="1" t="str">
        <f>IFERROR(__xludf.DUMMYFUNCTION("""COMPUTED_VALUE"""),"Rimorin Marzan")</f>
        <v>Rimorin Marzan</v>
      </c>
      <c r="E2065" s="1" t="str">
        <f>IFERROR(__xludf.DUMMYFUNCTION("""COMPUTED_VALUE"""),"Maria Ana Fontamillas https://youtu.be/ryXnGhkKOl8")</f>
        <v>Maria Ana Fontamillas https://youtu.be/ryXnGhkKOl8</v>
      </c>
      <c r="F2065" s="1"/>
      <c r="G2065" s="1" t="str">
        <f>IFERROR(__xludf.DUMMYFUNCTION("""COMPUTED_VALUE"""),"3 mos")</f>
        <v>3 mos</v>
      </c>
      <c r="H2065" s="1" t="str">
        <f>IFERROR(__xludf.DUMMYFUNCTION("""COMPUTED_VALUE"""),"reply")</f>
        <v>reply</v>
      </c>
      <c r="I2065" s="2" t="str">
        <f>IFERROR(__xludf.DUMMYFUNCTION("""COMPUTED_VALUE"""),"https://www.facebook.com/rapplerdotcom/photos/a.317154781638645/5594954703858600/")</f>
        <v>https://www.facebook.com/rapplerdotcom/photos/a.317154781638645/5594954703858600/</v>
      </c>
      <c r="J2065" s="1" t="str">
        <f>IFERROR(__xludf.DUMMYFUNCTION("""COMPUTED_VALUE"""),"2022-07-04T15:48:35.883Z")</f>
        <v>2022-07-04T15:48:35.883Z</v>
      </c>
      <c r="K2065" s="1"/>
    </row>
    <row r="2066">
      <c r="A2066" s="2" t="str">
        <f>IFERROR(__xludf.DUMMYFUNCTION("""COMPUTED_VALUE"""),"https://www.facebook.com/BraveHearT.Marzan")</f>
        <v>https://www.facebook.com/BraveHearT.Marzan</v>
      </c>
      <c r="B2066" s="1" t="str">
        <f>IFERROR(__xludf.DUMMYFUNCTION("""COMPUTED_VALUE"""),"Harry Rimorin Marzan")</f>
        <v>Harry Rimorin Marzan</v>
      </c>
      <c r="C2066" s="1" t="str">
        <f>IFERROR(__xludf.DUMMYFUNCTION("""COMPUTED_VALUE"""),"Harry")</f>
        <v>Harry</v>
      </c>
      <c r="D2066" s="1" t="str">
        <f>IFERROR(__xludf.DUMMYFUNCTION("""COMPUTED_VALUE"""),"Rimorin Marzan")</f>
        <v>Rimorin Marzan</v>
      </c>
      <c r="E2066" s="1" t="str">
        <f>IFERROR(__xludf.DUMMYFUNCTION("""COMPUTED_VALUE"""),"Maria Ana Fontamillas https://youtu.be/0pqOd6CLaZo")</f>
        <v>Maria Ana Fontamillas https://youtu.be/0pqOd6CLaZo</v>
      </c>
      <c r="F2066" s="1"/>
      <c r="G2066" s="1" t="str">
        <f>IFERROR(__xludf.DUMMYFUNCTION("""COMPUTED_VALUE"""),"3 mos")</f>
        <v>3 mos</v>
      </c>
      <c r="H2066" s="1" t="str">
        <f>IFERROR(__xludf.DUMMYFUNCTION("""COMPUTED_VALUE"""),"reply")</f>
        <v>reply</v>
      </c>
      <c r="I2066" s="2" t="str">
        <f>IFERROR(__xludf.DUMMYFUNCTION("""COMPUTED_VALUE"""),"https://www.facebook.com/rapplerdotcom/photos/a.317154781638645/5594954703858600/")</f>
        <v>https://www.facebook.com/rapplerdotcom/photos/a.317154781638645/5594954703858600/</v>
      </c>
      <c r="J2066" s="1" t="str">
        <f>IFERROR(__xludf.DUMMYFUNCTION("""COMPUTED_VALUE"""),"2022-07-04T15:48:35.883Z")</f>
        <v>2022-07-04T15:48:35.883Z</v>
      </c>
      <c r="K2066" s="1"/>
    </row>
    <row r="2067">
      <c r="A2067" s="2" t="str">
        <f>IFERROR(__xludf.DUMMYFUNCTION("""COMPUTED_VALUE"""),"https://www.facebook.com/danilo.lansani.5")</f>
        <v>https://www.facebook.com/danilo.lansani.5</v>
      </c>
      <c r="B2067" s="1" t="str">
        <f>IFERROR(__xludf.DUMMYFUNCTION("""COMPUTED_VALUE"""),"Danilo Lansani")</f>
        <v>Danilo Lansani</v>
      </c>
      <c r="C2067" s="1" t="str">
        <f>IFERROR(__xludf.DUMMYFUNCTION("""COMPUTED_VALUE"""),"Danilo")</f>
        <v>Danilo</v>
      </c>
      <c r="D2067" s="1" t="str">
        <f>IFERROR(__xludf.DUMMYFUNCTION("""COMPUTED_VALUE"""),"Lansani")</f>
        <v>Lansani</v>
      </c>
      <c r="E2067" s="1" t="str">
        <f>IFERROR(__xludf.DUMMYFUNCTION("""COMPUTED_VALUE"""),"Maria Ana Fontamillas kawatan sa YULANDA!")</f>
        <v>Maria Ana Fontamillas kawatan sa YULANDA!</v>
      </c>
      <c r="F2067" s="1"/>
      <c r="G2067" s="1" t="str">
        <f>IFERROR(__xludf.DUMMYFUNCTION("""COMPUTED_VALUE"""),"3 mos")</f>
        <v>3 mos</v>
      </c>
      <c r="H2067" s="1" t="str">
        <f>IFERROR(__xludf.DUMMYFUNCTION("""COMPUTED_VALUE"""),"reply")</f>
        <v>reply</v>
      </c>
      <c r="I2067" s="2" t="str">
        <f>IFERROR(__xludf.DUMMYFUNCTION("""COMPUTED_VALUE"""),"https://www.facebook.com/rapplerdotcom/photos/a.317154781638645/5594954703858600/")</f>
        <v>https://www.facebook.com/rapplerdotcom/photos/a.317154781638645/5594954703858600/</v>
      </c>
      <c r="J2067" s="1" t="str">
        <f>IFERROR(__xludf.DUMMYFUNCTION("""COMPUTED_VALUE"""),"2022-07-04T15:48:35.883Z")</f>
        <v>2022-07-04T15:48:35.883Z</v>
      </c>
      <c r="K2067" s="1"/>
    </row>
    <row r="2068">
      <c r="A2068" s="2" t="str">
        <f>IFERROR(__xludf.DUMMYFUNCTION("""COMPUTED_VALUE"""),"https://www.facebook.com/profile.php?id=100011150311111")</f>
        <v>https://www.facebook.com/profile.php?id=100011150311111</v>
      </c>
      <c r="B2068" s="1" t="str">
        <f>IFERROR(__xludf.DUMMYFUNCTION("""COMPUTED_VALUE"""),"Kristoff O. Emit")</f>
        <v>Kristoff O. Emit</v>
      </c>
      <c r="C2068" s="1" t="str">
        <f>IFERROR(__xludf.DUMMYFUNCTION("""COMPUTED_VALUE"""),"Kristoff")</f>
        <v>Kristoff</v>
      </c>
      <c r="D2068" s="1" t="str">
        <f>IFERROR(__xludf.DUMMYFUNCTION("""COMPUTED_VALUE"""),"O. Emit")</f>
        <v>O. Emit</v>
      </c>
      <c r="E2068" s="1" t="str">
        <f>IFERROR(__xludf.DUMMYFUNCTION("""COMPUTED_VALUE"""),"Danilo Lansani meron risibo?")</f>
        <v>Danilo Lansani meron risibo?</v>
      </c>
      <c r="F2068" s="1">
        <f>IFERROR(__xludf.DUMMYFUNCTION("""COMPUTED_VALUE"""),1.0)</f>
        <v>1</v>
      </c>
      <c r="G2068" s="1" t="str">
        <f>IFERROR(__xludf.DUMMYFUNCTION("""COMPUTED_VALUE"""),"3 mos")</f>
        <v>3 mos</v>
      </c>
      <c r="H2068" s="1" t="str">
        <f>IFERROR(__xludf.DUMMYFUNCTION("""COMPUTED_VALUE"""),"reply")</f>
        <v>reply</v>
      </c>
      <c r="I2068" s="2" t="str">
        <f>IFERROR(__xludf.DUMMYFUNCTION("""COMPUTED_VALUE"""),"https://www.facebook.com/rapplerdotcom/photos/a.317154781638645/5594954703858600/")</f>
        <v>https://www.facebook.com/rapplerdotcom/photos/a.317154781638645/5594954703858600/</v>
      </c>
      <c r="J2068" s="1" t="str">
        <f>IFERROR(__xludf.DUMMYFUNCTION("""COMPUTED_VALUE"""),"2022-07-04T15:48:35.883Z")</f>
        <v>2022-07-04T15:48:35.883Z</v>
      </c>
      <c r="K2068" s="1"/>
    </row>
    <row r="2069">
      <c r="A2069" s="2" t="str">
        <f>IFERROR(__xludf.DUMMYFUNCTION("""COMPUTED_VALUE"""),"https://www.facebook.com/genesis.gardiano")</f>
        <v>https://www.facebook.com/genesis.gardiano</v>
      </c>
      <c r="B2069" s="1" t="str">
        <f>IFERROR(__xludf.DUMMYFUNCTION("""COMPUTED_VALUE"""),"Genesis Gardiano")</f>
        <v>Genesis Gardiano</v>
      </c>
      <c r="C2069" s="1" t="str">
        <f>IFERROR(__xludf.DUMMYFUNCTION("""COMPUTED_VALUE"""),"Genesis")</f>
        <v>Genesis</v>
      </c>
      <c r="D2069" s="1" t="str">
        <f>IFERROR(__xludf.DUMMYFUNCTION("""COMPUTED_VALUE"""),"Gardiano")</f>
        <v>Gardiano</v>
      </c>
      <c r="E2069" s="1" t="str">
        <f>IFERROR(__xludf.DUMMYFUNCTION("""COMPUTED_VALUE"""),"Maria Ana Fontamillas Angat buhay daw,tlga ga ba 😂..?????")</f>
        <v>Maria Ana Fontamillas Angat buhay daw,tlga ga ba 😂..?????</v>
      </c>
      <c r="F2069" s="1"/>
      <c r="G2069" s="1" t="str">
        <f>IFERROR(__xludf.DUMMYFUNCTION("""COMPUTED_VALUE"""),"3 mos")</f>
        <v>3 mos</v>
      </c>
      <c r="H2069" s="1" t="str">
        <f>IFERROR(__xludf.DUMMYFUNCTION("""COMPUTED_VALUE"""),"reply")</f>
        <v>reply</v>
      </c>
      <c r="I2069" s="2" t="str">
        <f>IFERROR(__xludf.DUMMYFUNCTION("""COMPUTED_VALUE"""),"https://www.facebook.com/rapplerdotcom/photos/a.317154781638645/5594954703858600/")</f>
        <v>https://www.facebook.com/rapplerdotcom/photos/a.317154781638645/5594954703858600/</v>
      </c>
      <c r="J2069" s="1" t="str">
        <f>IFERROR(__xludf.DUMMYFUNCTION("""COMPUTED_VALUE"""),"2022-07-04T15:48:35.883Z")</f>
        <v>2022-07-04T15:48:35.883Z</v>
      </c>
      <c r="K2069" s="1"/>
    </row>
    <row r="2070">
      <c r="A2070" s="2" t="str">
        <f>IFERROR(__xludf.DUMMYFUNCTION("""COMPUTED_VALUE"""),"https://www.facebook.com/aldo.lavingu")</f>
        <v>https://www.facebook.com/aldo.lavingu</v>
      </c>
      <c r="B2070" s="1" t="str">
        <f>IFERROR(__xludf.DUMMYFUNCTION("""COMPUTED_VALUE"""),"Bho Lan Tiaw")</f>
        <v>Bho Lan Tiaw</v>
      </c>
      <c r="C2070" s="1" t="str">
        <f>IFERROR(__xludf.DUMMYFUNCTION("""COMPUTED_VALUE"""),"Bho")</f>
        <v>Bho</v>
      </c>
      <c r="D2070" s="1" t="str">
        <f>IFERROR(__xludf.DUMMYFUNCTION("""COMPUTED_VALUE"""),"Lan Tiaw")</f>
        <v>Lan Tiaw</v>
      </c>
      <c r="E2070" s="1" t="str">
        <f>IFERROR(__xludf.DUMMYFUNCTION("""COMPUTED_VALUE"""),"Danilo Lansani 2022 na TABOGO ka pa din hangang ngayon, malaki na TAMA mo.")</f>
        <v>Danilo Lansani 2022 na TABOGO ka pa din hangang ngayon, malaki na TAMA mo.</v>
      </c>
      <c r="F2070" s="1"/>
      <c r="G2070" s="1" t="str">
        <f>IFERROR(__xludf.DUMMYFUNCTION("""COMPUTED_VALUE"""),"3 mos")</f>
        <v>3 mos</v>
      </c>
      <c r="H2070" s="1" t="str">
        <f>IFERROR(__xludf.DUMMYFUNCTION("""COMPUTED_VALUE"""),"reply")</f>
        <v>reply</v>
      </c>
      <c r="I2070" s="2" t="str">
        <f>IFERROR(__xludf.DUMMYFUNCTION("""COMPUTED_VALUE"""),"https://www.facebook.com/rapplerdotcom/photos/a.317154781638645/5594954703858600/")</f>
        <v>https://www.facebook.com/rapplerdotcom/photos/a.317154781638645/5594954703858600/</v>
      </c>
      <c r="J2070" s="1" t="str">
        <f>IFERROR(__xludf.DUMMYFUNCTION("""COMPUTED_VALUE"""),"2022-07-04T15:48:35.883Z")</f>
        <v>2022-07-04T15:48:35.883Z</v>
      </c>
      <c r="K2070" s="1"/>
    </row>
    <row r="2071">
      <c r="A2071" s="2" t="str">
        <f>IFERROR(__xludf.DUMMYFUNCTION("""COMPUTED_VALUE"""),"https://www.facebook.com/aldo.lavingu")</f>
        <v>https://www.facebook.com/aldo.lavingu</v>
      </c>
      <c r="B2071" s="1" t="str">
        <f>IFERROR(__xludf.DUMMYFUNCTION("""COMPUTED_VALUE"""),"Bho Lan Tiaw")</f>
        <v>Bho Lan Tiaw</v>
      </c>
      <c r="C2071" s="1" t="str">
        <f>IFERROR(__xludf.DUMMYFUNCTION("""COMPUTED_VALUE"""),"Bho")</f>
        <v>Bho</v>
      </c>
      <c r="D2071" s="1" t="str">
        <f>IFERROR(__xludf.DUMMYFUNCTION("""COMPUTED_VALUE"""),"Lan Tiaw")</f>
        <v>Lan Tiaw</v>
      </c>
      <c r="E2071" s="1" t="str">
        <f>IFERROR(__xludf.DUMMYFUNCTION("""COMPUTED_VALUE"""),"Harry Rimorin Marzan dyai ti banger uki ni nam.")</f>
        <v>Harry Rimorin Marzan dyai ti banger uki ni nam.</v>
      </c>
      <c r="F2071" s="1"/>
      <c r="G2071" s="1" t="str">
        <f>IFERROR(__xludf.DUMMYFUNCTION("""COMPUTED_VALUE"""),"3 mos")</f>
        <v>3 mos</v>
      </c>
      <c r="H2071" s="1" t="str">
        <f>IFERROR(__xludf.DUMMYFUNCTION("""COMPUTED_VALUE"""),"reply")</f>
        <v>reply</v>
      </c>
      <c r="I2071" s="2" t="str">
        <f>IFERROR(__xludf.DUMMYFUNCTION("""COMPUTED_VALUE"""),"https://www.facebook.com/rapplerdotcom/photos/a.317154781638645/5594954703858600/")</f>
        <v>https://www.facebook.com/rapplerdotcom/photos/a.317154781638645/5594954703858600/</v>
      </c>
      <c r="J2071" s="1" t="str">
        <f>IFERROR(__xludf.DUMMYFUNCTION("""COMPUTED_VALUE"""),"2022-07-04T15:48:35.883Z")</f>
        <v>2022-07-04T15:48:35.883Z</v>
      </c>
      <c r="K2071" s="1"/>
    </row>
    <row r="2072">
      <c r="A2072" s="2" t="str">
        <f>IFERROR(__xludf.DUMMYFUNCTION("""COMPUTED_VALUE"""),"https://www.facebook.com/aldo.lavingu")</f>
        <v>https://www.facebook.com/aldo.lavingu</v>
      </c>
      <c r="B2072" s="1" t="str">
        <f>IFERROR(__xludf.DUMMYFUNCTION("""COMPUTED_VALUE"""),"Bho Lan Tiaw")</f>
        <v>Bho Lan Tiaw</v>
      </c>
      <c r="C2072" s="1" t="str">
        <f>IFERROR(__xludf.DUMMYFUNCTION("""COMPUTED_VALUE"""),"Bho")</f>
        <v>Bho</v>
      </c>
      <c r="D2072" s="1" t="str">
        <f>IFERROR(__xludf.DUMMYFUNCTION("""COMPUTED_VALUE"""),"Lan Tiaw")</f>
        <v>Lan Tiaw</v>
      </c>
      <c r="E2072" s="1" t="str">
        <f>IFERROR(__xludf.DUMMYFUNCTION("""COMPUTED_VALUE"""),"Genesis Gardiano TABOGO o Troll.")</f>
        <v>Genesis Gardiano TABOGO o Troll.</v>
      </c>
      <c r="F2072" s="1"/>
      <c r="G2072" s="1" t="str">
        <f>IFERROR(__xludf.DUMMYFUNCTION("""COMPUTED_VALUE"""),"3 mos")</f>
        <v>3 mos</v>
      </c>
      <c r="H2072" s="1" t="str">
        <f>IFERROR(__xludf.DUMMYFUNCTION("""COMPUTED_VALUE"""),"reply")</f>
        <v>reply</v>
      </c>
      <c r="I2072" s="2" t="str">
        <f>IFERROR(__xludf.DUMMYFUNCTION("""COMPUTED_VALUE"""),"https://www.facebook.com/rapplerdotcom/photos/a.317154781638645/5594954703858600/")</f>
        <v>https://www.facebook.com/rapplerdotcom/photos/a.317154781638645/5594954703858600/</v>
      </c>
      <c r="J2072" s="1" t="str">
        <f>IFERROR(__xludf.DUMMYFUNCTION("""COMPUTED_VALUE"""),"2022-07-04T15:48:35.883Z")</f>
        <v>2022-07-04T15:48:35.883Z</v>
      </c>
      <c r="K2072" s="1"/>
    </row>
    <row r="2073">
      <c r="A2073" s="2" t="str">
        <f>IFERROR(__xludf.DUMMYFUNCTION("""COMPUTED_VALUE"""),"https://www.facebook.com/pureza.q.dy")</f>
        <v>https://www.facebook.com/pureza.q.dy</v>
      </c>
      <c r="B2073" s="1" t="str">
        <f>IFERROR(__xludf.DUMMYFUNCTION("""COMPUTED_VALUE"""),"Pureza Querol Dy")</f>
        <v>Pureza Querol Dy</v>
      </c>
      <c r="C2073" s="1" t="str">
        <f>IFERROR(__xludf.DUMMYFUNCTION("""COMPUTED_VALUE"""),"Pureza")</f>
        <v>Pureza</v>
      </c>
      <c r="D2073" s="1" t="str">
        <f>IFERROR(__xludf.DUMMYFUNCTION("""COMPUTED_VALUE"""),"Querol Dy")</f>
        <v>Querol Dy</v>
      </c>
      <c r="E2073" s="1" t="str">
        <f>IFERROR(__xludf.DUMMYFUNCTION("""COMPUTED_VALUE"""),"Kristoff O. Emit di na kailangan ang resibo")</f>
        <v>Kristoff O. Emit di na kailangan ang resibo</v>
      </c>
      <c r="F2073" s="1"/>
      <c r="G2073" s="1" t="str">
        <f>IFERROR(__xludf.DUMMYFUNCTION("""COMPUTED_VALUE"""),"3 mos")</f>
        <v>3 mos</v>
      </c>
      <c r="H2073" s="1" t="str">
        <f>IFERROR(__xludf.DUMMYFUNCTION("""COMPUTED_VALUE"""),"reply")</f>
        <v>reply</v>
      </c>
      <c r="I2073" s="2" t="str">
        <f>IFERROR(__xludf.DUMMYFUNCTION("""COMPUTED_VALUE"""),"https://www.facebook.com/rapplerdotcom/photos/a.317154781638645/5594954703858600/")</f>
        <v>https://www.facebook.com/rapplerdotcom/photos/a.317154781638645/5594954703858600/</v>
      </c>
      <c r="J2073" s="1" t="str">
        <f>IFERROR(__xludf.DUMMYFUNCTION("""COMPUTED_VALUE"""),"2022-07-04T15:48:35.883Z")</f>
        <v>2022-07-04T15:48:35.883Z</v>
      </c>
      <c r="K2073" s="1"/>
    </row>
    <row r="2074">
      <c r="A2074" s="2" t="str">
        <f>IFERROR(__xludf.DUMMYFUNCTION("""COMPUTED_VALUE"""),"https://www.facebook.com/frank.chavez.161")</f>
        <v>https://www.facebook.com/frank.chavez.161</v>
      </c>
      <c r="B2074" s="1" t="str">
        <f>IFERROR(__xludf.DUMMYFUNCTION("""COMPUTED_VALUE"""),"Frank Chavez")</f>
        <v>Frank Chavez</v>
      </c>
      <c r="C2074" s="1" t="str">
        <f>IFERROR(__xludf.DUMMYFUNCTION("""COMPUTED_VALUE"""),"Frank")</f>
        <v>Frank</v>
      </c>
      <c r="D2074" s="1" t="str">
        <f>IFERROR(__xludf.DUMMYFUNCTION("""COMPUTED_VALUE"""),"Chavez")</f>
        <v>Chavez</v>
      </c>
      <c r="E2074" s="1" t="str">
        <f>IFERROR(__xludf.DUMMYFUNCTION("""COMPUTED_VALUE"""),"Maria Ana Fontamillas roxas is green balimbing")</f>
        <v>Maria Ana Fontamillas roxas is green balimbing</v>
      </c>
      <c r="F2074" s="1"/>
      <c r="G2074" s="1" t="str">
        <f>IFERROR(__xludf.DUMMYFUNCTION("""COMPUTED_VALUE"""),"3 mos")</f>
        <v>3 mos</v>
      </c>
      <c r="H2074" s="1" t="str">
        <f>IFERROR(__xludf.DUMMYFUNCTION("""COMPUTED_VALUE"""),"reply")</f>
        <v>reply</v>
      </c>
      <c r="I2074" s="2" t="str">
        <f>IFERROR(__xludf.DUMMYFUNCTION("""COMPUTED_VALUE"""),"https://www.facebook.com/rapplerdotcom/photos/a.317154781638645/5594954703858600/")</f>
        <v>https://www.facebook.com/rapplerdotcom/photos/a.317154781638645/5594954703858600/</v>
      </c>
      <c r="J2074" s="1" t="str">
        <f>IFERROR(__xludf.DUMMYFUNCTION("""COMPUTED_VALUE"""),"2022-07-04T15:48:35.883Z")</f>
        <v>2022-07-04T15:48:35.883Z</v>
      </c>
      <c r="K2074" s="1"/>
    </row>
    <row r="2075">
      <c r="A2075" s="2" t="str">
        <f>IFERROR(__xludf.DUMMYFUNCTION("""COMPUTED_VALUE"""),"https://www.facebook.com/sethestoy.montero")</f>
        <v>https://www.facebook.com/sethestoy.montero</v>
      </c>
      <c r="B2075" s="1" t="str">
        <f>IFERROR(__xludf.DUMMYFUNCTION("""COMPUTED_VALUE"""),"Seth Montero")</f>
        <v>Seth Montero</v>
      </c>
      <c r="C2075" s="1" t="str">
        <f>IFERROR(__xludf.DUMMYFUNCTION("""COMPUTED_VALUE"""),"Seth")</f>
        <v>Seth</v>
      </c>
      <c r="D2075" s="1" t="str">
        <f>IFERROR(__xludf.DUMMYFUNCTION("""COMPUTED_VALUE"""),"Montero")</f>
        <v>Montero</v>
      </c>
      <c r="E2075" s="1" t="str">
        <f>IFERROR(__xludf.DUMMYFUNCTION("""COMPUTED_VALUE"""),"Maria Ana Fontamillas malas yan si mar. di nga nanalo yan noong 2016🤣🤣🤣🤣")</f>
        <v>Maria Ana Fontamillas malas yan si mar. di nga nanalo yan noong 2016🤣🤣🤣🤣</v>
      </c>
      <c r="F2075" s="1"/>
      <c r="G2075" s="1" t="str">
        <f>IFERROR(__xludf.DUMMYFUNCTION("""COMPUTED_VALUE"""),"3 mos")</f>
        <v>3 mos</v>
      </c>
      <c r="H2075" s="1" t="str">
        <f>IFERROR(__xludf.DUMMYFUNCTION("""COMPUTED_VALUE"""),"reply")</f>
        <v>reply</v>
      </c>
      <c r="I2075" s="2" t="str">
        <f>IFERROR(__xludf.DUMMYFUNCTION("""COMPUTED_VALUE"""),"https://www.facebook.com/rapplerdotcom/photos/a.317154781638645/5594954703858600/")</f>
        <v>https://www.facebook.com/rapplerdotcom/photos/a.317154781638645/5594954703858600/</v>
      </c>
      <c r="J2075" s="1" t="str">
        <f>IFERROR(__xludf.DUMMYFUNCTION("""COMPUTED_VALUE"""),"2022-07-04T15:48:35.883Z")</f>
        <v>2022-07-04T15:48:35.883Z</v>
      </c>
      <c r="K2075" s="1"/>
    </row>
    <row r="2076">
      <c r="A2076" s="2" t="str">
        <f>IFERROR(__xludf.DUMMYFUNCTION("""COMPUTED_VALUE"""),"https://www.facebook.com/lon.makinano.94")</f>
        <v>https://www.facebook.com/lon.makinano.94</v>
      </c>
      <c r="B2076" s="1" t="str">
        <f>IFERROR(__xludf.DUMMYFUNCTION("""COMPUTED_VALUE"""),"Lon Makinano")</f>
        <v>Lon Makinano</v>
      </c>
      <c r="C2076" s="1" t="str">
        <f>IFERROR(__xludf.DUMMYFUNCTION("""COMPUTED_VALUE"""),"Lon")</f>
        <v>Lon</v>
      </c>
      <c r="D2076" s="1" t="str">
        <f>IFERROR(__xludf.DUMMYFUNCTION("""COMPUTED_VALUE"""),"Makinano")</f>
        <v>Makinano</v>
      </c>
      <c r="E2076" s="1" t="str">
        <f>IFERROR(__xludf.DUMMYFUNCTION("""COMPUTED_VALUE"""),"Wag na kayong mag hanap nang asenso dahil mismo kayo ayaw umasenso ang Pinas.Sana sama na lang tayong kumapit sa patalim at patuloy na iboto ang gusto nyong politician para mas lalo silang yumaman habang tayo patay gutom.")</f>
        <v>Wag na kayong mag hanap nang asenso dahil mismo kayo ayaw umasenso ang Pinas.Sana sama na lang tayong kumapit sa patalim at patuloy na iboto ang gusto nyong politician para mas lalo silang yumaman habang tayo patay gutom.</v>
      </c>
      <c r="F2076" s="1"/>
      <c r="G2076" s="1" t="str">
        <f>IFERROR(__xludf.DUMMYFUNCTION("""COMPUTED_VALUE"""),"3 mos")</f>
        <v>3 mos</v>
      </c>
      <c r="H2076" s="1" t="str">
        <f>IFERROR(__xludf.DUMMYFUNCTION("""COMPUTED_VALUE"""),"comment")</f>
        <v>comment</v>
      </c>
      <c r="I2076" s="2" t="str">
        <f>IFERROR(__xludf.DUMMYFUNCTION("""COMPUTED_VALUE"""),"https://www.facebook.com/rapplerdotcom/photos/a.317154781638645/5594954703858600/")</f>
        <v>https://www.facebook.com/rapplerdotcom/photos/a.317154781638645/5594954703858600/</v>
      </c>
      <c r="J2076" s="1" t="str">
        <f>IFERROR(__xludf.DUMMYFUNCTION("""COMPUTED_VALUE"""),"2022-07-04T15:48:35.883Z")</f>
        <v>2022-07-04T15:48:35.883Z</v>
      </c>
      <c r="K2076" s="1"/>
    </row>
    <row r="2077">
      <c r="A2077" s="2" t="str">
        <f>IFERROR(__xludf.DUMMYFUNCTION("""COMPUTED_VALUE"""),"https://www.facebook.com/augustus.diaz.77")</f>
        <v>https://www.facebook.com/augustus.diaz.77</v>
      </c>
      <c r="B2077" s="1" t="str">
        <f>IFERROR(__xludf.DUMMYFUNCTION("""COMPUTED_VALUE"""),"Augustus Diaz")</f>
        <v>Augustus Diaz</v>
      </c>
      <c r="C2077" s="1" t="str">
        <f>IFERROR(__xludf.DUMMYFUNCTION("""COMPUTED_VALUE"""),"Augustus")</f>
        <v>Augustus</v>
      </c>
      <c r="D2077" s="1" t="str">
        <f>IFERROR(__xludf.DUMMYFUNCTION("""COMPUTED_VALUE"""),"Diaz")</f>
        <v>Diaz</v>
      </c>
      <c r="E2077" s="1" t="str">
        <f>IFERROR(__xludf.DUMMYFUNCTION("""COMPUTED_VALUE"""),"Uyy si marimar.. Nagsisilabasan na lahat pati walang kwentang tao para lang makahabol sa surveys.😂😂😂")</f>
        <v>Uyy si marimar.. Nagsisilabasan na lahat pati walang kwentang tao para lang makahabol sa surveys.😂😂😂</v>
      </c>
      <c r="F2077" s="1">
        <f>IFERROR(__xludf.DUMMYFUNCTION("""COMPUTED_VALUE"""),2.0)</f>
        <v>2</v>
      </c>
      <c r="G2077" s="1" t="str">
        <f>IFERROR(__xludf.DUMMYFUNCTION("""COMPUTED_VALUE"""),"3 mos")</f>
        <v>3 mos</v>
      </c>
      <c r="H2077" s="1" t="str">
        <f>IFERROR(__xludf.DUMMYFUNCTION("""COMPUTED_VALUE"""),"comment")</f>
        <v>comment</v>
      </c>
      <c r="I2077" s="2" t="str">
        <f>IFERROR(__xludf.DUMMYFUNCTION("""COMPUTED_VALUE"""),"https://www.facebook.com/rapplerdotcom/photos/a.317154781638645/5594954703858600/")</f>
        <v>https://www.facebook.com/rapplerdotcom/photos/a.317154781638645/5594954703858600/</v>
      </c>
      <c r="J2077" s="1" t="str">
        <f>IFERROR(__xludf.DUMMYFUNCTION("""COMPUTED_VALUE"""),"2022-07-04T15:48:35.883Z")</f>
        <v>2022-07-04T15:48:35.883Z</v>
      </c>
      <c r="K2077" s="1"/>
    </row>
    <row r="2078">
      <c r="A2078" s="2" t="str">
        <f>IFERROR(__xludf.DUMMYFUNCTION("""COMPUTED_VALUE"""),"https://www.facebook.com/augustus.diaz.77")</f>
        <v>https://www.facebook.com/augustus.diaz.77</v>
      </c>
      <c r="B2078" s="1" t="str">
        <f>IFERROR(__xludf.DUMMYFUNCTION("""COMPUTED_VALUE"""),"Augustus Diaz")</f>
        <v>Augustus Diaz</v>
      </c>
      <c r="C2078" s="1" t="str">
        <f>IFERROR(__xludf.DUMMYFUNCTION("""COMPUTED_VALUE"""),"Augustus")</f>
        <v>Augustus</v>
      </c>
      <c r="D2078" s="1" t="str">
        <f>IFERROR(__xludf.DUMMYFUNCTION("""COMPUTED_VALUE"""),"Diaz")</f>
        <v>Diaz</v>
      </c>
      <c r="E2078" s="1" t="str">
        <f>IFERROR(__xludf.DUMMYFUNCTION("""COMPUTED_VALUE"""),"Angel Po masakit ba ang katotohanan???")</f>
        <v>Angel Po masakit ba ang katotohanan???</v>
      </c>
      <c r="F2078" s="1"/>
      <c r="G2078" s="1" t="str">
        <f>IFERROR(__xludf.DUMMYFUNCTION("""COMPUTED_VALUE"""),"3 mos")</f>
        <v>3 mos</v>
      </c>
      <c r="H2078" s="1" t="str">
        <f>IFERROR(__xludf.DUMMYFUNCTION("""COMPUTED_VALUE"""),"reply")</f>
        <v>reply</v>
      </c>
      <c r="I2078" s="2" t="str">
        <f>IFERROR(__xludf.DUMMYFUNCTION("""COMPUTED_VALUE"""),"https://www.facebook.com/rapplerdotcom/photos/a.317154781638645/5594954703858600/")</f>
        <v>https://www.facebook.com/rapplerdotcom/photos/a.317154781638645/5594954703858600/</v>
      </c>
      <c r="J2078" s="1" t="str">
        <f>IFERROR(__xludf.DUMMYFUNCTION("""COMPUTED_VALUE"""),"2022-07-04T15:48:35.883Z")</f>
        <v>2022-07-04T15:48:35.883Z</v>
      </c>
      <c r="K2078" s="1"/>
    </row>
    <row r="2079">
      <c r="A2079" s="2" t="str">
        <f>IFERROR(__xludf.DUMMYFUNCTION("""COMPUTED_VALUE"""),"https://www.facebook.com/awin.calderon")</f>
        <v>https://www.facebook.com/awin.calderon</v>
      </c>
      <c r="B2079" s="1" t="str">
        <f>IFERROR(__xludf.DUMMYFUNCTION("""COMPUTED_VALUE"""),"Awin Calderon")</f>
        <v>Awin Calderon</v>
      </c>
      <c r="C2079" s="1" t="str">
        <f>IFERROR(__xludf.DUMMYFUNCTION("""COMPUTED_VALUE"""),"Awin")</f>
        <v>Awin</v>
      </c>
      <c r="D2079" s="1" t="str">
        <f>IFERROR(__xludf.DUMMYFUNCTION("""COMPUTED_VALUE"""),"Calderon")</f>
        <v>Calderon</v>
      </c>
      <c r="E2079" s="1" t="str">
        <f>IFERROR(__xludf.DUMMYFUNCTION("""COMPUTED_VALUE"""),"Angel Po  2,400 correspondents vs 64Million voters 😂  paki sabe kay  kuya  2,400 lang ang tinanong  wag  siya shushunga  Shunga ni di  nga natin alam  kung sino yung mga tinanong")</f>
        <v>Angel Po  2,400 correspondents vs 64Million voters 😂  paki sabe kay  kuya  2,400 lang ang tinanong  wag  siya shushunga  Shunga ni di  nga natin alam  kung sino yung mga tinanong</v>
      </c>
      <c r="F2079" s="1"/>
      <c r="G2079" s="1" t="str">
        <f>IFERROR(__xludf.DUMMYFUNCTION("""COMPUTED_VALUE"""),"3 mos")</f>
        <v>3 mos</v>
      </c>
      <c r="H2079" s="1" t="str">
        <f>IFERROR(__xludf.DUMMYFUNCTION("""COMPUTED_VALUE"""),"reply")</f>
        <v>reply</v>
      </c>
      <c r="I2079" s="2" t="str">
        <f>IFERROR(__xludf.DUMMYFUNCTION("""COMPUTED_VALUE"""),"https://www.facebook.com/rapplerdotcom/photos/a.317154781638645/5594954703858600/")</f>
        <v>https://www.facebook.com/rapplerdotcom/photos/a.317154781638645/5594954703858600/</v>
      </c>
      <c r="J2079" s="1" t="str">
        <f>IFERROR(__xludf.DUMMYFUNCTION("""COMPUTED_VALUE"""),"2022-07-04T15:48:35.883Z")</f>
        <v>2022-07-04T15:48:35.883Z</v>
      </c>
      <c r="K2079" s="1"/>
    </row>
    <row r="2080">
      <c r="A2080" s="2" t="str">
        <f>IFERROR(__xludf.DUMMYFUNCTION("""COMPUTED_VALUE"""),"https://www.facebook.com/merlaflores.bendicion")</f>
        <v>https://www.facebook.com/merlaflores.bendicion</v>
      </c>
      <c r="B2080" s="1" t="str">
        <f>IFERROR(__xludf.DUMMYFUNCTION("""COMPUTED_VALUE"""),"Merla Flores Bendicion")</f>
        <v>Merla Flores Bendicion</v>
      </c>
      <c r="C2080" s="1" t="str">
        <f>IFERROR(__xludf.DUMMYFUNCTION("""COMPUTED_VALUE"""),"Merla")</f>
        <v>Merla</v>
      </c>
      <c r="D2080" s="1" t="str">
        <f>IFERROR(__xludf.DUMMYFUNCTION("""COMPUTED_VALUE"""),"Flores Bendicion")</f>
        <v>Flores Bendicion</v>
      </c>
      <c r="E2080" s="1" t="str">
        <f>IFERROR(__xludf.DUMMYFUNCTION("""COMPUTED_VALUE"""),"Thank you Mar Roxas  i vote for you as my President last 2016.")</f>
        <v>Thank you Mar Roxas  i vote for you as my President last 2016.</v>
      </c>
      <c r="F2080" s="1">
        <f>IFERROR(__xludf.DUMMYFUNCTION("""COMPUTED_VALUE"""),1.0)</f>
        <v>1</v>
      </c>
      <c r="G2080" s="1" t="str">
        <f>IFERROR(__xludf.DUMMYFUNCTION("""COMPUTED_VALUE"""),"3 mos")</f>
        <v>3 mos</v>
      </c>
      <c r="H2080" s="1" t="str">
        <f>IFERROR(__xludf.DUMMYFUNCTION("""COMPUTED_VALUE"""),"comment")</f>
        <v>comment</v>
      </c>
      <c r="I2080" s="2" t="str">
        <f>IFERROR(__xludf.DUMMYFUNCTION("""COMPUTED_VALUE"""),"https://www.facebook.com/rapplerdotcom/photos/a.317154781638645/5594954703858600/")</f>
        <v>https://www.facebook.com/rapplerdotcom/photos/a.317154781638645/5594954703858600/</v>
      </c>
      <c r="J2080" s="1" t="str">
        <f>IFERROR(__xludf.DUMMYFUNCTION("""COMPUTED_VALUE"""),"2022-07-04T15:48:35.883Z")</f>
        <v>2022-07-04T15:48:35.883Z</v>
      </c>
      <c r="K2080" s="1"/>
    </row>
    <row r="2081">
      <c r="A2081" s="2" t="str">
        <f>IFERROR(__xludf.DUMMYFUNCTION("""COMPUTED_VALUE"""),"https://www.facebook.com/ronald.andallo.52")</f>
        <v>https://www.facebook.com/ronald.andallo.52</v>
      </c>
      <c r="B2081" s="1" t="str">
        <f>IFERROR(__xludf.DUMMYFUNCTION("""COMPUTED_VALUE"""),"Ronald Andallo")</f>
        <v>Ronald Andallo</v>
      </c>
      <c r="C2081" s="1" t="str">
        <f>IFERROR(__xludf.DUMMYFUNCTION("""COMPUTED_VALUE"""),"Ronald")</f>
        <v>Ronald</v>
      </c>
      <c r="D2081" s="1" t="str">
        <f>IFERROR(__xludf.DUMMYFUNCTION("""COMPUTED_VALUE"""),"Andallo")</f>
        <v>Andallo</v>
      </c>
      <c r="E2081" s="1" t="str">
        <f>IFERROR(__xludf.DUMMYFUNCTION("""COMPUTED_VALUE"""),"Aba nabuboryong na siguro sa kanyang kubol kaya lumabas na at reresbak sa laban ni inang😁😁😁")</f>
        <v>Aba nabuboryong na siguro sa kanyang kubol kaya lumabas na at reresbak sa laban ni inang😁😁😁</v>
      </c>
      <c r="F2081" s="1">
        <f>IFERROR(__xludf.DUMMYFUNCTION("""COMPUTED_VALUE"""),17.0)</f>
        <v>17</v>
      </c>
      <c r="G2081" s="1" t="str">
        <f>IFERROR(__xludf.DUMMYFUNCTION("""COMPUTED_VALUE"""),"3 mos")</f>
        <v>3 mos</v>
      </c>
      <c r="H2081" s="1" t="str">
        <f>IFERROR(__xludf.DUMMYFUNCTION("""COMPUTED_VALUE"""),"comment")</f>
        <v>comment</v>
      </c>
      <c r="I2081" s="2" t="str">
        <f>IFERROR(__xludf.DUMMYFUNCTION("""COMPUTED_VALUE"""),"https://www.facebook.com/rapplerdotcom/photos/a.317154781638645/5594954703858600/")</f>
        <v>https://www.facebook.com/rapplerdotcom/photos/a.317154781638645/5594954703858600/</v>
      </c>
      <c r="J2081" s="1" t="str">
        <f>IFERROR(__xludf.DUMMYFUNCTION("""COMPUTED_VALUE"""),"2022-07-04T15:48:35.883Z")</f>
        <v>2022-07-04T15:48:35.883Z</v>
      </c>
      <c r="K2081" s="1"/>
    </row>
    <row r="2082">
      <c r="A2082" s="2" t="str">
        <f>IFERROR(__xludf.DUMMYFUNCTION("""COMPUTED_VALUE"""),"https://www.facebook.com/pau.gaitan.33")</f>
        <v>https://www.facebook.com/pau.gaitan.33</v>
      </c>
      <c r="B2082" s="1" t="str">
        <f>IFERROR(__xludf.DUMMYFUNCTION("""COMPUTED_VALUE"""),"Pau Gaitan Varron")</f>
        <v>Pau Gaitan Varron</v>
      </c>
      <c r="C2082" s="1" t="str">
        <f>IFERROR(__xludf.DUMMYFUNCTION("""COMPUTED_VALUE"""),"Pau")</f>
        <v>Pau</v>
      </c>
      <c r="D2082" s="1" t="str">
        <f>IFERROR(__xludf.DUMMYFUNCTION("""COMPUTED_VALUE"""),"Gaitan Varron")</f>
        <v>Gaitan Varron</v>
      </c>
      <c r="E2082" s="1" t="str">
        <f>IFERROR(__xludf.DUMMYFUNCTION("""COMPUTED_VALUE"""),"Ronald Andallo Mansion po ang bahay nila, hindi kubol. 🤪")</f>
        <v>Ronald Andallo Mansion po ang bahay nila, hindi kubol. 🤪</v>
      </c>
      <c r="F2082" s="1">
        <f>IFERROR(__xludf.DUMMYFUNCTION("""COMPUTED_VALUE"""),10.0)</f>
        <v>10</v>
      </c>
      <c r="G2082" s="1" t="str">
        <f>IFERROR(__xludf.DUMMYFUNCTION("""COMPUTED_VALUE"""),"3 mos")</f>
        <v>3 mos</v>
      </c>
      <c r="H2082" s="1" t="str">
        <f>IFERROR(__xludf.DUMMYFUNCTION("""COMPUTED_VALUE"""),"reply")</f>
        <v>reply</v>
      </c>
      <c r="I2082" s="2" t="str">
        <f>IFERROR(__xludf.DUMMYFUNCTION("""COMPUTED_VALUE"""),"https://www.facebook.com/rapplerdotcom/photos/a.317154781638645/5594954703858600/")</f>
        <v>https://www.facebook.com/rapplerdotcom/photos/a.317154781638645/5594954703858600/</v>
      </c>
      <c r="J2082" s="1" t="str">
        <f>IFERROR(__xludf.DUMMYFUNCTION("""COMPUTED_VALUE"""),"2022-07-04T15:48:35.883Z")</f>
        <v>2022-07-04T15:48:35.883Z</v>
      </c>
      <c r="K2082" s="1"/>
    </row>
    <row r="2083">
      <c r="A2083" s="2" t="str">
        <f>IFERROR(__xludf.DUMMYFUNCTION("""COMPUTED_VALUE"""),"https://www.facebook.com/johnny.collantes.37")</f>
        <v>https://www.facebook.com/johnny.collantes.37</v>
      </c>
      <c r="B2083" s="1" t="str">
        <f>IFERROR(__xludf.DUMMYFUNCTION("""COMPUTED_VALUE"""),"Johnny Collantes")</f>
        <v>Johnny Collantes</v>
      </c>
      <c r="C2083" s="1" t="str">
        <f>IFERROR(__xludf.DUMMYFUNCTION("""COMPUTED_VALUE"""),"Johnny")</f>
        <v>Johnny</v>
      </c>
      <c r="D2083" s="1" t="str">
        <f>IFERROR(__xludf.DUMMYFUNCTION("""COMPUTED_VALUE"""),"Collantes")</f>
        <v>Collantes</v>
      </c>
      <c r="E2083" s="1" t="str">
        <f>IFERROR(__xludf.DUMMYFUNCTION("""COMPUTED_VALUE"""),"Hindi po sa kubol hindi sa Mansion sa kuweba po!")</f>
        <v>Hindi po sa kubol hindi sa Mansion sa kuweba po!</v>
      </c>
      <c r="F2083" s="1"/>
      <c r="G2083" s="1" t="str">
        <f>IFERROR(__xludf.DUMMYFUNCTION("""COMPUTED_VALUE"""),"3 mos")</f>
        <v>3 mos</v>
      </c>
      <c r="H2083" s="1" t="str">
        <f>IFERROR(__xludf.DUMMYFUNCTION("""COMPUTED_VALUE"""),"reply")</f>
        <v>reply</v>
      </c>
      <c r="I2083" s="2" t="str">
        <f>IFERROR(__xludf.DUMMYFUNCTION("""COMPUTED_VALUE"""),"https://www.facebook.com/rapplerdotcom/photos/a.317154781638645/5594954703858600/")</f>
        <v>https://www.facebook.com/rapplerdotcom/photos/a.317154781638645/5594954703858600/</v>
      </c>
      <c r="J2083" s="1" t="str">
        <f>IFERROR(__xludf.DUMMYFUNCTION("""COMPUTED_VALUE"""),"2022-07-04T15:48:35.883Z")</f>
        <v>2022-07-04T15:48:35.883Z</v>
      </c>
      <c r="K2083" s="1"/>
    </row>
    <row r="2084">
      <c r="A2084" s="2" t="str">
        <f>IFERROR(__xludf.DUMMYFUNCTION("""COMPUTED_VALUE"""),"https://www.facebook.com/jude.romero.14")</f>
        <v>https://www.facebook.com/jude.romero.14</v>
      </c>
      <c r="B2084" s="1" t="str">
        <f>IFERROR(__xludf.DUMMYFUNCTION("""COMPUTED_VALUE"""),"Jude Romero")</f>
        <v>Jude Romero</v>
      </c>
      <c r="C2084" s="1" t="str">
        <f>IFERROR(__xludf.DUMMYFUNCTION("""COMPUTED_VALUE"""),"Jude")</f>
        <v>Jude</v>
      </c>
      <c r="D2084" s="1" t="str">
        <f>IFERROR(__xludf.DUMMYFUNCTION("""COMPUTED_VALUE"""),"Romero")</f>
        <v>Romero</v>
      </c>
      <c r="E2084" s="1" t="str">
        <f>IFERROR(__xludf.DUMMYFUNCTION("""COMPUTED_VALUE"""),"Ronald Andallo to the rescue, dagdag pondo din.")</f>
        <v>Ronald Andallo to the rescue, dagdag pondo din.</v>
      </c>
      <c r="F2084" s="1"/>
      <c r="G2084" s="1" t="str">
        <f>IFERROR(__xludf.DUMMYFUNCTION("""COMPUTED_VALUE"""),"3 mos")</f>
        <v>3 mos</v>
      </c>
      <c r="H2084" s="1" t="str">
        <f>IFERROR(__xludf.DUMMYFUNCTION("""COMPUTED_VALUE"""),"reply")</f>
        <v>reply</v>
      </c>
      <c r="I2084" s="2" t="str">
        <f>IFERROR(__xludf.DUMMYFUNCTION("""COMPUTED_VALUE"""),"https://www.facebook.com/rapplerdotcom/photos/a.317154781638645/5594954703858600/")</f>
        <v>https://www.facebook.com/rapplerdotcom/photos/a.317154781638645/5594954703858600/</v>
      </c>
      <c r="J2084" s="1" t="str">
        <f>IFERROR(__xludf.DUMMYFUNCTION("""COMPUTED_VALUE"""),"2022-07-04T15:48:35.883Z")</f>
        <v>2022-07-04T15:48:35.883Z</v>
      </c>
      <c r="K2084" s="1"/>
    </row>
    <row r="2085">
      <c r="A2085" s="2" t="str">
        <f>IFERROR(__xludf.DUMMYFUNCTION("""COMPUTED_VALUE"""),"https://www.facebook.com/amaya.sabado")</f>
        <v>https://www.facebook.com/amaya.sabado</v>
      </c>
      <c r="B2085" s="1" t="str">
        <f>IFERROR(__xludf.DUMMYFUNCTION("""COMPUTED_VALUE"""),"Gie Villacillo Buencamino")</f>
        <v>Gie Villacillo Buencamino</v>
      </c>
      <c r="C2085" s="1" t="str">
        <f>IFERROR(__xludf.DUMMYFUNCTION("""COMPUTED_VALUE"""),"Gie")</f>
        <v>Gie</v>
      </c>
      <c r="D2085" s="1" t="str">
        <f>IFERROR(__xludf.DUMMYFUNCTION("""COMPUTED_VALUE"""),"Villacillo Buencamino")</f>
        <v>Villacillo Buencamino</v>
      </c>
      <c r="E2085" s="1" t="str">
        <f>IFERROR(__xludf.DUMMYFUNCTION("""COMPUTED_VALUE"""),"Ronald Andallo wala ka nang pakialam dn")</f>
        <v>Ronald Andallo wala ka nang pakialam dn</v>
      </c>
      <c r="F2085" s="1">
        <f>IFERROR(__xludf.DUMMYFUNCTION("""COMPUTED_VALUE"""),2.0)</f>
        <v>2</v>
      </c>
      <c r="G2085" s="1" t="str">
        <f>IFERROR(__xludf.DUMMYFUNCTION("""COMPUTED_VALUE"""),"3 mos")</f>
        <v>3 mos</v>
      </c>
      <c r="H2085" s="1" t="str">
        <f>IFERROR(__xludf.DUMMYFUNCTION("""COMPUTED_VALUE"""),"reply")</f>
        <v>reply</v>
      </c>
      <c r="I2085" s="2" t="str">
        <f>IFERROR(__xludf.DUMMYFUNCTION("""COMPUTED_VALUE"""),"https://www.facebook.com/rapplerdotcom/photos/a.317154781638645/5594954703858600/")</f>
        <v>https://www.facebook.com/rapplerdotcom/photos/a.317154781638645/5594954703858600/</v>
      </c>
      <c r="J2085" s="1" t="str">
        <f>IFERROR(__xludf.DUMMYFUNCTION("""COMPUTED_VALUE"""),"2022-07-04T15:48:35.883Z")</f>
        <v>2022-07-04T15:48:35.883Z</v>
      </c>
      <c r="K2085" s="1"/>
    </row>
    <row r="2086">
      <c r="A2086" s="2" t="str">
        <f>IFERROR(__xludf.DUMMYFUNCTION("""COMPUTED_VALUE"""),"https://www.facebook.com/aldo.lavingu")</f>
        <v>https://www.facebook.com/aldo.lavingu</v>
      </c>
      <c r="B2086" s="1" t="str">
        <f>IFERROR(__xludf.DUMMYFUNCTION("""COMPUTED_VALUE"""),"Bho Lan Tiaw")</f>
        <v>Bho Lan Tiaw</v>
      </c>
      <c r="C2086" s="1" t="str">
        <f>IFERROR(__xludf.DUMMYFUNCTION("""COMPUTED_VALUE"""),"Bho")</f>
        <v>Bho</v>
      </c>
      <c r="D2086" s="1" t="str">
        <f>IFERROR(__xludf.DUMMYFUNCTION("""COMPUTED_VALUE"""),"Lan Tiaw")</f>
        <v>Lan Tiaw</v>
      </c>
      <c r="E2086" s="1" t="str">
        <f>IFERROR(__xludf.DUMMYFUNCTION("""COMPUTED_VALUE"""),"Ronald Andallo tama ka, malaki TAMA mo, TABOGO")</f>
        <v>Ronald Andallo tama ka, malaki TAMA mo, TABOGO</v>
      </c>
      <c r="F2086" s="1">
        <f>IFERROR(__xludf.DUMMYFUNCTION("""COMPUTED_VALUE"""),5.0)</f>
        <v>5</v>
      </c>
      <c r="G2086" s="1" t="str">
        <f>IFERROR(__xludf.DUMMYFUNCTION("""COMPUTED_VALUE"""),"3 mos")</f>
        <v>3 mos</v>
      </c>
      <c r="H2086" s="1" t="str">
        <f>IFERROR(__xludf.DUMMYFUNCTION("""COMPUTED_VALUE"""),"reply")</f>
        <v>reply</v>
      </c>
      <c r="I2086" s="2" t="str">
        <f>IFERROR(__xludf.DUMMYFUNCTION("""COMPUTED_VALUE"""),"https://www.facebook.com/rapplerdotcom/photos/a.317154781638645/5594954703858600/")</f>
        <v>https://www.facebook.com/rapplerdotcom/photos/a.317154781638645/5594954703858600/</v>
      </c>
      <c r="J2086" s="1" t="str">
        <f>IFERROR(__xludf.DUMMYFUNCTION("""COMPUTED_VALUE"""),"2022-07-04T15:48:35.883Z")</f>
        <v>2022-07-04T15:48:35.883Z</v>
      </c>
      <c r="K2086" s="1"/>
    </row>
    <row r="2087">
      <c r="A2087" s="2" t="str">
        <f>IFERROR(__xludf.DUMMYFUNCTION("""COMPUTED_VALUE"""),"https://www.facebook.com/mcclain.lumiares")</f>
        <v>https://www.facebook.com/mcclain.lumiares</v>
      </c>
      <c r="B2087" s="1" t="str">
        <f>IFERROR(__xludf.DUMMYFUNCTION("""COMPUTED_VALUE"""),"Akosi Mac")</f>
        <v>Akosi Mac</v>
      </c>
      <c r="C2087" s="1" t="str">
        <f>IFERROR(__xludf.DUMMYFUNCTION("""COMPUTED_VALUE"""),"Akosi")</f>
        <v>Akosi</v>
      </c>
      <c r="D2087" s="1" t="str">
        <f>IFERROR(__xludf.DUMMYFUNCTION("""COMPUTED_VALUE"""),"Mac")</f>
        <v>Mac</v>
      </c>
      <c r="E2087" s="1" t="str">
        <f>IFERROR(__xludf.DUMMYFUNCTION("""COMPUTED_VALUE"""),"Ronald Andallo sir nag isip ng mabuti yan, kasi ung asawa ng blemblong ay kamag anak pa ni roxas, research mung bago kuda")</f>
        <v>Ronald Andallo sir nag isip ng mabuti yan, kasi ung asawa ng blemblong ay kamag anak pa ni roxas, research mung bago kuda</v>
      </c>
      <c r="F2087" s="1">
        <f>IFERROR(__xludf.DUMMYFUNCTION("""COMPUTED_VALUE"""),3.0)</f>
        <v>3</v>
      </c>
      <c r="G2087" s="1" t="str">
        <f>IFERROR(__xludf.DUMMYFUNCTION("""COMPUTED_VALUE"""),"3 mos")</f>
        <v>3 mos</v>
      </c>
      <c r="H2087" s="1" t="str">
        <f>IFERROR(__xludf.DUMMYFUNCTION("""COMPUTED_VALUE"""),"reply")</f>
        <v>reply</v>
      </c>
      <c r="I2087" s="2" t="str">
        <f>IFERROR(__xludf.DUMMYFUNCTION("""COMPUTED_VALUE"""),"https://www.facebook.com/rapplerdotcom/photos/a.317154781638645/5594954703858600/")</f>
        <v>https://www.facebook.com/rapplerdotcom/photos/a.317154781638645/5594954703858600/</v>
      </c>
      <c r="J2087" s="1" t="str">
        <f>IFERROR(__xludf.DUMMYFUNCTION("""COMPUTED_VALUE"""),"2022-07-04T15:48:35.883Z")</f>
        <v>2022-07-04T15:48:35.883Z</v>
      </c>
      <c r="K2087" s="1"/>
    </row>
    <row r="2088">
      <c r="A2088" s="2" t="str">
        <f>IFERROR(__xludf.DUMMYFUNCTION("""COMPUTED_VALUE"""),"https://www.facebook.com/ronald.andallo.52")</f>
        <v>https://www.facebook.com/ronald.andallo.52</v>
      </c>
      <c r="B2088" s="1" t="str">
        <f>IFERROR(__xludf.DUMMYFUNCTION("""COMPUTED_VALUE"""),"Ronald Andallo")</f>
        <v>Ronald Andallo</v>
      </c>
      <c r="C2088" s="1" t="str">
        <f>IFERROR(__xludf.DUMMYFUNCTION("""COMPUTED_VALUE"""),"Ronald")</f>
        <v>Ronald</v>
      </c>
      <c r="D2088" s="1" t="str">
        <f>IFERROR(__xludf.DUMMYFUNCTION("""COMPUTED_VALUE"""),"Andallo")</f>
        <v>Andallo</v>
      </c>
      <c r="E2088" s="1" t="str">
        <f>IFERROR(__xludf.DUMMYFUNCTION("""COMPUTED_VALUE"""),"Akosi Mac matagal ko ng alam na mag pinsan sila")</f>
        <v>Akosi Mac matagal ko ng alam na mag pinsan sila</v>
      </c>
      <c r="F2088" s="1">
        <f>IFERROR(__xludf.DUMMYFUNCTION("""COMPUTED_VALUE"""),2.0)</f>
        <v>2</v>
      </c>
      <c r="G2088" s="1" t="str">
        <f>IFERROR(__xludf.DUMMYFUNCTION("""COMPUTED_VALUE"""),"3 mos")</f>
        <v>3 mos</v>
      </c>
      <c r="H2088" s="1" t="str">
        <f>IFERROR(__xludf.DUMMYFUNCTION("""COMPUTED_VALUE"""),"reply")</f>
        <v>reply</v>
      </c>
      <c r="I2088" s="2" t="str">
        <f>IFERROR(__xludf.DUMMYFUNCTION("""COMPUTED_VALUE"""),"https://www.facebook.com/rapplerdotcom/photos/a.317154781638645/5594954703858600/")</f>
        <v>https://www.facebook.com/rapplerdotcom/photos/a.317154781638645/5594954703858600/</v>
      </c>
      <c r="J2088" s="1" t="str">
        <f>IFERROR(__xludf.DUMMYFUNCTION("""COMPUTED_VALUE"""),"2022-07-04T15:48:35.883Z")</f>
        <v>2022-07-04T15:48:35.883Z</v>
      </c>
      <c r="K2088" s="1"/>
    </row>
    <row r="2089">
      <c r="A2089" s="2" t="str">
        <f>IFERROR(__xludf.DUMMYFUNCTION("""COMPUTED_VALUE"""),"https://www.facebook.com/jane.quibilan")</f>
        <v>https://www.facebook.com/jane.quibilan</v>
      </c>
      <c r="B2089" s="1" t="str">
        <f>IFERROR(__xludf.DUMMYFUNCTION("""COMPUTED_VALUE"""),"Jane S. Quibilan")</f>
        <v>Jane S. Quibilan</v>
      </c>
      <c r="C2089" s="1" t="str">
        <f>IFERROR(__xludf.DUMMYFUNCTION("""COMPUTED_VALUE"""),"Jane")</f>
        <v>Jane</v>
      </c>
      <c r="D2089" s="1" t="str">
        <f>IFERROR(__xludf.DUMMYFUNCTION("""COMPUTED_VALUE"""),"S. Quibilan")</f>
        <v>S. Quibilan</v>
      </c>
      <c r="E2089" s="1" t="str">
        <f>IFERROR(__xludf.DUMMYFUNCTION("""COMPUTED_VALUE"""),"👏🏻👏🏻👏🏻💗💗💗 from the race of a good president  to endorsing a good Presidentiable. Salamat po Sir Mar Roxas!")</f>
        <v>👏🏻👏🏻👏🏻💗💗💗 from the race of a good president  to endorsing a good Presidentiable. Salamat po Sir Mar Roxas!</v>
      </c>
      <c r="F2089" s="1">
        <f>IFERROR(__xludf.DUMMYFUNCTION("""COMPUTED_VALUE"""),7.0)</f>
        <v>7</v>
      </c>
      <c r="G2089" s="1" t="str">
        <f>IFERROR(__xludf.DUMMYFUNCTION("""COMPUTED_VALUE"""),"3 mos")</f>
        <v>3 mos</v>
      </c>
      <c r="H2089" s="1" t="str">
        <f>IFERROR(__xludf.DUMMYFUNCTION("""COMPUTED_VALUE"""),"comment")</f>
        <v>comment</v>
      </c>
      <c r="I2089" s="2" t="str">
        <f>IFERROR(__xludf.DUMMYFUNCTION("""COMPUTED_VALUE"""),"https://www.facebook.com/rapplerdotcom/photos/a.317154781638645/5594954703858600/")</f>
        <v>https://www.facebook.com/rapplerdotcom/photos/a.317154781638645/5594954703858600/</v>
      </c>
      <c r="J2089" s="1" t="str">
        <f>IFERROR(__xludf.DUMMYFUNCTION("""COMPUTED_VALUE"""),"2022-07-04T15:48:35.883Z")</f>
        <v>2022-07-04T15:48:35.883Z</v>
      </c>
      <c r="K2089" s="1"/>
    </row>
    <row r="2090">
      <c r="A2090" s="2" t="str">
        <f>IFERROR(__xludf.DUMMYFUNCTION("""COMPUTED_VALUE"""),"https://www.facebook.com/mariacleofe.lim")</f>
        <v>https://www.facebook.com/mariacleofe.lim</v>
      </c>
      <c r="B2090" s="1" t="str">
        <f>IFERROR(__xludf.DUMMYFUNCTION("""COMPUTED_VALUE"""),"Maria Cleofe Lim")</f>
        <v>Maria Cleofe Lim</v>
      </c>
      <c r="C2090" s="1" t="str">
        <f>IFERROR(__xludf.DUMMYFUNCTION("""COMPUTED_VALUE"""),"Maria")</f>
        <v>Maria</v>
      </c>
      <c r="D2090" s="1" t="str">
        <f>IFERROR(__xludf.DUMMYFUNCTION("""COMPUTED_VALUE"""),"Cleofe Lim")</f>
        <v>Cleofe Lim</v>
      </c>
      <c r="E2090" s="1" t="str">
        <f>IFERROR(__xludf.DUMMYFUNCTION("""COMPUTED_VALUE"""),"Salamat po Sir Mar. As usual, you always side kung alin ang tama. Sayang nga hindi ikaw ang naging Presidente last 2016. Siguro we could have come out better with all the crises that this administration had met... #LeniKiko2022 tayo para #AngatBuhayLahat")</f>
        <v>Salamat po Sir Mar. As usual, you always side kung alin ang tama. Sayang nga hindi ikaw ang naging Presidente last 2016. Siguro we could have come out better with all the crises that this administration had met... #LeniKiko2022 tayo para #AngatBuhayLahat</v>
      </c>
      <c r="F2090" s="1"/>
      <c r="G2090" s="1" t="str">
        <f>IFERROR(__xludf.DUMMYFUNCTION("""COMPUTED_VALUE"""),"3 mos")</f>
        <v>3 mos</v>
      </c>
      <c r="H2090" s="1" t="str">
        <f>IFERROR(__xludf.DUMMYFUNCTION("""COMPUTED_VALUE"""),"comment")</f>
        <v>comment</v>
      </c>
      <c r="I2090" s="2" t="str">
        <f>IFERROR(__xludf.DUMMYFUNCTION("""COMPUTED_VALUE"""),"https://www.facebook.com/rapplerdotcom/photos/a.317154781638645/5594954703858600/")</f>
        <v>https://www.facebook.com/rapplerdotcom/photos/a.317154781638645/5594954703858600/</v>
      </c>
      <c r="J2090" s="1" t="str">
        <f>IFERROR(__xludf.DUMMYFUNCTION("""COMPUTED_VALUE"""),"2022-07-04T15:48:35.883Z")</f>
        <v>2022-07-04T15:48:35.883Z</v>
      </c>
      <c r="K2090" s="1"/>
    </row>
    <row r="2091">
      <c r="A2091" s="2" t="str">
        <f>IFERROR(__xludf.DUMMYFUNCTION("""COMPUTED_VALUE"""),"https://www.facebook.com/kuyah.tan")</f>
        <v>https://www.facebook.com/kuyah.tan</v>
      </c>
      <c r="B2091" s="1" t="str">
        <f>IFERROR(__xludf.DUMMYFUNCTION("""COMPUTED_VALUE"""),"Datu Puti")</f>
        <v>Datu Puti</v>
      </c>
      <c r="C2091" s="1" t="str">
        <f>IFERROR(__xludf.DUMMYFUNCTION("""COMPUTED_VALUE"""),"Datu")</f>
        <v>Datu</v>
      </c>
      <c r="D2091" s="1" t="str">
        <f>IFERROR(__xludf.DUMMYFUNCTION("""COMPUTED_VALUE"""),"Puti")</f>
        <v>Puti</v>
      </c>
      <c r="E2091" s="1" t="str">
        <f>IFERROR(__xludf.DUMMYFUNCTION("""COMPUTED_VALUE"""),"Pilit mang mag tago sa pink lalabas at lalabas paring ang tunay na kulay.  #NEVER AGAIN TO LP!!!!")</f>
        <v>Pilit mang mag tago sa pink lalabas at lalabas paring ang tunay na kulay.  #NEVER AGAIN TO LP!!!!</v>
      </c>
      <c r="F2091" s="1">
        <f>IFERROR(__xludf.DUMMYFUNCTION("""COMPUTED_VALUE"""),3.0)</f>
        <v>3</v>
      </c>
      <c r="G2091" s="1" t="str">
        <f>IFERROR(__xludf.DUMMYFUNCTION("""COMPUTED_VALUE"""),"3 mos")</f>
        <v>3 mos</v>
      </c>
      <c r="H2091" s="1" t="str">
        <f>IFERROR(__xludf.DUMMYFUNCTION("""COMPUTED_VALUE"""),"comment")</f>
        <v>comment</v>
      </c>
      <c r="I2091" s="2" t="str">
        <f>IFERROR(__xludf.DUMMYFUNCTION("""COMPUTED_VALUE"""),"https://www.facebook.com/rapplerdotcom/photos/a.317154781638645/5594954703858600/")</f>
        <v>https://www.facebook.com/rapplerdotcom/photos/a.317154781638645/5594954703858600/</v>
      </c>
      <c r="J2091" s="1" t="str">
        <f>IFERROR(__xludf.DUMMYFUNCTION("""COMPUTED_VALUE"""),"2022-07-04T15:48:35.884Z")</f>
        <v>2022-07-04T15:48:35.884Z</v>
      </c>
      <c r="K2091" s="1"/>
    </row>
    <row r="2092">
      <c r="A2092" s="2" t="str">
        <f>IFERROR(__xludf.DUMMYFUNCTION("""COMPUTED_VALUE"""),"https://www.facebook.com/joey.abella.507")</f>
        <v>https://www.facebook.com/joey.abella.507</v>
      </c>
      <c r="B2092" s="1" t="str">
        <f>IFERROR(__xludf.DUMMYFUNCTION("""COMPUTED_VALUE"""),"Lana")</f>
        <v>Lana</v>
      </c>
      <c r="C2092" s="1" t="str">
        <f>IFERROR(__xludf.DUMMYFUNCTION("""COMPUTED_VALUE"""),"Lana")</f>
        <v>Lana</v>
      </c>
      <c r="D2092" s="1"/>
      <c r="E2092" s="1" t="str">
        <f>IFERROR(__xludf.DUMMYFUNCTION("""COMPUTED_VALUE"""),"Datu Puti")</f>
        <v>Datu Puti</v>
      </c>
      <c r="F2092" s="1"/>
      <c r="G2092" s="1" t="str">
        <f>IFERROR(__xludf.DUMMYFUNCTION("""COMPUTED_VALUE"""),"3 mos")</f>
        <v>3 mos</v>
      </c>
      <c r="H2092" s="1" t="str">
        <f>IFERROR(__xludf.DUMMYFUNCTION("""COMPUTED_VALUE"""),"reply")</f>
        <v>reply</v>
      </c>
      <c r="I2092" s="2" t="str">
        <f>IFERROR(__xludf.DUMMYFUNCTION("""COMPUTED_VALUE"""),"https://www.facebook.com/rapplerdotcom/photos/a.317154781638645/5594954703858600/")</f>
        <v>https://www.facebook.com/rapplerdotcom/photos/a.317154781638645/5594954703858600/</v>
      </c>
      <c r="J2092" s="1" t="str">
        <f>IFERROR(__xludf.DUMMYFUNCTION("""COMPUTED_VALUE"""),"2022-07-04T15:48:35.884Z")</f>
        <v>2022-07-04T15:48:35.884Z</v>
      </c>
      <c r="K2092" s="1"/>
    </row>
    <row r="2093">
      <c r="A2093" s="2" t="str">
        <f>IFERROR(__xludf.DUMMYFUNCTION("""COMPUTED_VALUE"""),"https://www.facebook.com/mario.guevarra.56")</f>
        <v>https://www.facebook.com/mario.guevarra.56</v>
      </c>
      <c r="B2093" s="1" t="str">
        <f>IFERROR(__xludf.DUMMYFUNCTION("""COMPUTED_VALUE"""),"Mario Guevarra")</f>
        <v>Mario Guevarra</v>
      </c>
      <c r="C2093" s="1" t="str">
        <f>IFERROR(__xludf.DUMMYFUNCTION("""COMPUTED_VALUE"""),"Mario")</f>
        <v>Mario</v>
      </c>
      <c r="D2093" s="1" t="str">
        <f>IFERROR(__xludf.DUMMYFUNCTION("""COMPUTED_VALUE"""),"Guevarra")</f>
        <v>Guevarra</v>
      </c>
      <c r="E2093" s="1" t="str">
        <f>IFERROR(__xludf.DUMMYFUNCTION("""COMPUTED_VALUE"""),"Datu Puti sige doon tayo sa mga kawatan.😅")</f>
        <v>Datu Puti sige doon tayo sa mga kawatan.😅</v>
      </c>
      <c r="F2093" s="1"/>
      <c r="G2093" s="1" t="str">
        <f>IFERROR(__xludf.DUMMYFUNCTION("""COMPUTED_VALUE"""),"3 mos")</f>
        <v>3 mos</v>
      </c>
      <c r="H2093" s="1" t="str">
        <f>IFERROR(__xludf.DUMMYFUNCTION("""COMPUTED_VALUE"""),"reply")</f>
        <v>reply</v>
      </c>
      <c r="I2093" s="2" t="str">
        <f>IFERROR(__xludf.DUMMYFUNCTION("""COMPUTED_VALUE"""),"https://www.facebook.com/rapplerdotcom/photos/a.317154781638645/5594954703858600/")</f>
        <v>https://www.facebook.com/rapplerdotcom/photos/a.317154781638645/5594954703858600/</v>
      </c>
      <c r="J2093" s="1" t="str">
        <f>IFERROR(__xludf.DUMMYFUNCTION("""COMPUTED_VALUE"""),"2022-07-04T15:48:35.884Z")</f>
        <v>2022-07-04T15:48:35.884Z</v>
      </c>
      <c r="K2093" s="1"/>
    </row>
    <row r="2094">
      <c r="A2094" s="2" t="str">
        <f>IFERROR(__xludf.DUMMYFUNCTION("""COMPUTED_VALUE"""),"https://www.facebook.com/kuyah.tan")</f>
        <v>https://www.facebook.com/kuyah.tan</v>
      </c>
      <c r="B2094" s="1" t="str">
        <f>IFERROR(__xludf.DUMMYFUNCTION("""COMPUTED_VALUE"""),"Datu Puti")</f>
        <v>Datu Puti</v>
      </c>
      <c r="C2094" s="1" t="str">
        <f>IFERROR(__xludf.DUMMYFUNCTION("""COMPUTED_VALUE"""),"Datu")</f>
        <v>Datu</v>
      </c>
      <c r="D2094" s="1" t="str">
        <f>IFERROR(__xludf.DUMMYFUNCTION("""COMPUTED_VALUE"""),"Puti")</f>
        <v>Puti</v>
      </c>
      <c r="E2094" s="1" t="str">
        <f>IFERROR(__xludf.DUMMYFUNCTION("""COMPUTED_VALUE"""),"Mario Guevarra hahaha kawatan ba talaga anu ba ninakaw sa inyo???mukang may mga evidences naman pala kayo punta kayo supreme court mag sampa kayo ng kaso pcggnga walang mapakita ikaw pa kaya.mas maniwala pa ako kay maam Miriam defensor kesa sa inyo mga fe"&amp;"eling matatalino 🤣🤣🤣🤣🤣")</f>
        <v>Mario Guevarra hahaha kawatan ba talaga anu ba ninakaw sa inyo???mukang may mga evidences naman pala kayo punta kayo supreme court mag sampa kayo ng kaso pcggnga walang mapakita ikaw pa kaya.mas maniwala pa ako kay maam Miriam defensor kesa sa inyo mga feeling matatalino 🤣🤣🤣🤣🤣</v>
      </c>
      <c r="F2094" s="1"/>
      <c r="G2094" s="1" t="str">
        <f>IFERROR(__xludf.DUMMYFUNCTION("""COMPUTED_VALUE"""),"3 mos")</f>
        <v>3 mos</v>
      </c>
      <c r="H2094" s="1" t="str">
        <f>IFERROR(__xludf.DUMMYFUNCTION("""COMPUTED_VALUE"""),"reply")</f>
        <v>reply</v>
      </c>
      <c r="I2094" s="2" t="str">
        <f>IFERROR(__xludf.DUMMYFUNCTION("""COMPUTED_VALUE"""),"https://www.facebook.com/rapplerdotcom/photos/a.317154781638645/5594954703858600/")</f>
        <v>https://www.facebook.com/rapplerdotcom/photos/a.317154781638645/5594954703858600/</v>
      </c>
      <c r="J2094" s="1" t="str">
        <f>IFERROR(__xludf.DUMMYFUNCTION("""COMPUTED_VALUE"""),"2022-07-04T15:48:35.884Z")</f>
        <v>2022-07-04T15:48:35.884Z</v>
      </c>
      <c r="K2094" s="1"/>
    </row>
    <row r="2095">
      <c r="A2095" s="2" t="str">
        <f>IFERROR(__xludf.DUMMYFUNCTION("""COMPUTED_VALUE"""),"https://www.facebook.com/janet.estal")</f>
        <v>https://www.facebook.com/janet.estal</v>
      </c>
      <c r="B2095" s="1" t="str">
        <f>IFERROR(__xludf.DUMMYFUNCTION("""COMPUTED_VALUE"""),"Estal R Janet")</f>
        <v>Estal R Janet</v>
      </c>
      <c r="C2095" s="1" t="str">
        <f>IFERROR(__xludf.DUMMYFUNCTION("""COMPUTED_VALUE"""),"Estal")</f>
        <v>Estal</v>
      </c>
      <c r="D2095" s="1" t="str">
        <f>IFERROR(__xludf.DUMMYFUNCTION("""COMPUTED_VALUE"""),"R Janet")</f>
        <v>R Janet</v>
      </c>
      <c r="E2095" s="1" t="str">
        <f>IFERROR(__xludf.DUMMYFUNCTION("""COMPUTED_VALUE"""),"Ay nagpakita din si yolanda funds at saff44🤣🤣🤣🤣🤣umeksena kpa kc🤣🤣🤣")</f>
        <v>Ay nagpakita din si yolanda funds at saff44🤣🤣🤣🤣🤣umeksena kpa kc🤣🤣🤣</v>
      </c>
      <c r="F2095" s="1">
        <f>IFERROR(__xludf.DUMMYFUNCTION("""COMPUTED_VALUE"""),4.0)</f>
        <v>4</v>
      </c>
      <c r="G2095" s="1" t="str">
        <f>IFERROR(__xludf.DUMMYFUNCTION("""COMPUTED_VALUE"""),"3 mos")</f>
        <v>3 mos</v>
      </c>
      <c r="H2095" s="1" t="str">
        <f>IFERROR(__xludf.DUMMYFUNCTION("""COMPUTED_VALUE"""),"comment")</f>
        <v>comment</v>
      </c>
      <c r="I2095" s="2" t="str">
        <f>IFERROR(__xludf.DUMMYFUNCTION("""COMPUTED_VALUE"""),"https://www.facebook.com/rapplerdotcom/photos/a.317154781638645/5594954703858600/")</f>
        <v>https://www.facebook.com/rapplerdotcom/photos/a.317154781638645/5594954703858600/</v>
      </c>
      <c r="J2095" s="1" t="str">
        <f>IFERROR(__xludf.DUMMYFUNCTION("""COMPUTED_VALUE"""),"2022-07-04T15:48:35.884Z")</f>
        <v>2022-07-04T15:48:35.884Z</v>
      </c>
      <c r="K2095" s="1"/>
    </row>
    <row r="2096">
      <c r="A2096" s="2" t="str">
        <f>IFERROR(__xludf.DUMMYFUNCTION("""COMPUTED_VALUE"""),"https://www.facebook.com/loreta.ardaban.3")</f>
        <v>https://www.facebook.com/loreta.ardaban.3</v>
      </c>
      <c r="B2096" s="1" t="str">
        <f>IFERROR(__xludf.DUMMYFUNCTION("""COMPUTED_VALUE"""),"Loreta Ardaban")</f>
        <v>Loreta Ardaban</v>
      </c>
      <c r="C2096" s="1" t="str">
        <f>IFERROR(__xludf.DUMMYFUNCTION("""COMPUTED_VALUE"""),"Loreta")</f>
        <v>Loreta</v>
      </c>
      <c r="D2096" s="1" t="str">
        <f>IFERROR(__xludf.DUMMYFUNCTION("""COMPUTED_VALUE"""),"Ardaban")</f>
        <v>Ardaban</v>
      </c>
      <c r="E2096" s="1" t="str">
        <f>IFERROR(__xludf.DUMMYFUNCTION("""COMPUTED_VALUE"""),"Mar Roxas supports LeniRobredo .Thank you.")</f>
        <v>Mar Roxas supports LeniRobredo .Thank you.</v>
      </c>
      <c r="F2096" s="1"/>
      <c r="G2096" s="1" t="str">
        <f>IFERROR(__xludf.DUMMYFUNCTION("""COMPUTED_VALUE"""),"3 mos")</f>
        <v>3 mos</v>
      </c>
      <c r="H2096" s="1" t="str">
        <f>IFERROR(__xludf.DUMMYFUNCTION("""COMPUTED_VALUE"""),"reply")</f>
        <v>reply</v>
      </c>
      <c r="I2096" s="2" t="str">
        <f>IFERROR(__xludf.DUMMYFUNCTION("""COMPUTED_VALUE"""),"https://www.facebook.com/rapplerdotcom/photos/a.317154781638645/5594954703858600/")</f>
        <v>https://www.facebook.com/rapplerdotcom/photos/a.317154781638645/5594954703858600/</v>
      </c>
      <c r="J2096" s="1" t="str">
        <f>IFERROR(__xludf.DUMMYFUNCTION("""COMPUTED_VALUE"""),"2022-07-04T15:48:35.884Z")</f>
        <v>2022-07-04T15:48:35.884Z</v>
      </c>
      <c r="K2096" s="1"/>
    </row>
    <row r="2097">
      <c r="A2097" s="2" t="str">
        <f>IFERROR(__xludf.DUMMYFUNCTION("""COMPUTED_VALUE"""),"https://www.facebook.com/imma.bee.161")</f>
        <v>https://www.facebook.com/imma.bee.161</v>
      </c>
      <c r="B2097" s="1" t="str">
        <f>IFERROR(__xludf.DUMMYFUNCTION("""COMPUTED_VALUE"""),"MA RK")</f>
        <v>MA RK</v>
      </c>
      <c r="C2097" s="1" t="str">
        <f>IFERROR(__xludf.DUMMYFUNCTION("""COMPUTED_VALUE"""),"MA")</f>
        <v>MA</v>
      </c>
      <c r="D2097" s="1" t="str">
        <f>IFERROR(__xludf.DUMMYFUNCTION("""COMPUTED_VALUE"""),"RK")</f>
        <v>RK</v>
      </c>
      <c r="E2097" s="1" t="str">
        <f>IFERROR(__xludf.DUMMYFUNCTION("""COMPUTED_VALUE"""),"Yong yolanda fund hoy 😂")</f>
        <v>Yong yolanda fund hoy 😂</v>
      </c>
      <c r="F2097" s="1">
        <f>IFERROR(__xludf.DUMMYFUNCTION("""COMPUTED_VALUE"""),7.0)</f>
        <v>7</v>
      </c>
      <c r="G2097" s="1" t="str">
        <f>IFERROR(__xludf.DUMMYFUNCTION("""COMPUTED_VALUE"""),"3 mos")</f>
        <v>3 mos</v>
      </c>
      <c r="H2097" s="1" t="str">
        <f>IFERROR(__xludf.DUMMYFUNCTION("""COMPUTED_VALUE"""),"comment")</f>
        <v>comment</v>
      </c>
      <c r="I2097" s="2" t="str">
        <f>IFERROR(__xludf.DUMMYFUNCTION("""COMPUTED_VALUE"""),"https://www.facebook.com/rapplerdotcom/photos/a.317154781638645/5594954703858600/")</f>
        <v>https://www.facebook.com/rapplerdotcom/photos/a.317154781638645/5594954703858600/</v>
      </c>
      <c r="J2097" s="1" t="str">
        <f>IFERROR(__xludf.DUMMYFUNCTION("""COMPUTED_VALUE"""),"2022-07-04T15:48:35.884Z")</f>
        <v>2022-07-04T15:48:35.884Z</v>
      </c>
      <c r="K2097" s="1"/>
    </row>
    <row r="2098">
      <c r="A2098" s="2" t="str">
        <f>IFERROR(__xludf.DUMMYFUNCTION("""COMPUTED_VALUE"""),"https://www.facebook.com/janice.arroyo.98837")</f>
        <v>https://www.facebook.com/janice.arroyo.98837</v>
      </c>
      <c r="B2098" s="1" t="str">
        <f>IFERROR(__xludf.DUMMYFUNCTION("""COMPUTED_VALUE"""),"Janice Ruth Arroyo")</f>
        <v>Janice Ruth Arroyo</v>
      </c>
      <c r="C2098" s="1" t="str">
        <f>IFERROR(__xludf.DUMMYFUNCTION("""COMPUTED_VALUE"""),"Janice")</f>
        <v>Janice</v>
      </c>
      <c r="D2098" s="1" t="str">
        <f>IFERROR(__xludf.DUMMYFUNCTION("""COMPUTED_VALUE"""),"Ruth Arroyo")</f>
        <v>Ruth Arroyo</v>
      </c>
      <c r="E2098" s="1" t="str">
        <f>IFERROR(__xludf.DUMMYFUNCTION("""COMPUTED_VALUE"""),"MA RK https://dilg.gov.ph/news/DILG-P3455-B-or-85-percent-Yolanda-funds-liquidated/NC-2019-1169")</f>
        <v>MA RK https://dilg.gov.ph/news/DILG-P3455-B-or-85-percent-Yolanda-funds-liquidated/NC-2019-1169</v>
      </c>
      <c r="F2098" s="1">
        <f>IFERROR(__xludf.DUMMYFUNCTION("""COMPUTED_VALUE"""),4.0)</f>
        <v>4</v>
      </c>
      <c r="G2098" s="1" t="str">
        <f>IFERROR(__xludf.DUMMYFUNCTION("""COMPUTED_VALUE"""),"3 mos")</f>
        <v>3 mos</v>
      </c>
      <c r="H2098" s="1" t="str">
        <f>IFERROR(__xludf.DUMMYFUNCTION("""COMPUTED_VALUE"""),"reply")</f>
        <v>reply</v>
      </c>
      <c r="I2098" s="2" t="str">
        <f>IFERROR(__xludf.DUMMYFUNCTION("""COMPUTED_VALUE"""),"https://www.facebook.com/rapplerdotcom/photos/a.317154781638645/5594954703858600/")</f>
        <v>https://www.facebook.com/rapplerdotcom/photos/a.317154781638645/5594954703858600/</v>
      </c>
      <c r="J2098" s="1" t="str">
        <f>IFERROR(__xludf.DUMMYFUNCTION("""COMPUTED_VALUE"""),"2022-07-04T15:48:35.884Z")</f>
        <v>2022-07-04T15:48:35.884Z</v>
      </c>
      <c r="K2098" s="1"/>
    </row>
    <row r="2099">
      <c r="A2099" s="2" t="str">
        <f>IFERROR(__xludf.DUMMYFUNCTION("""COMPUTED_VALUE"""),"https://www.facebook.com/joey.abella.507")</f>
        <v>https://www.facebook.com/joey.abella.507</v>
      </c>
      <c r="B2099" s="1" t="str">
        <f>IFERROR(__xludf.DUMMYFUNCTION("""COMPUTED_VALUE"""),"Lana")</f>
        <v>Lana</v>
      </c>
      <c r="C2099" s="1" t="str">
        <f>IFERROR(__xludf.DUMMYFUNCTION("""COMPUTED_VALUE"""),"Lana")</f>
        <v>Lana</v>
      </c>
      <c r="D2099" s="1"/>
      <c r="E2099" s="1" t="str">
        <f>IFERROR(__xludf.DUMMYFUNCTION("""COMPUTED_VALUE"""),"MA RK")</f>
        <v>MA RK</v>
      </c>
      <c r="F2099" s="1"/>
      <c r="G2099" s="1" t="str">
        <f>IFERROR(__xludf.DUMMYFUNCTION("""COMPUTED_VALUE"""),"3 mos")</f>
        <v>3 mos</v>
      </c>
      <c r="H2099" s="1" t="str">
        <f>IFERROR(__xludf.DUMMYFUNCTION("""COMPUTED_VALUE"""),"reply")</f>
        <v>reply</v>
      </c>
      <c r="I2099" s="2" t="str">
        <f>IFERROR(__xludf.DUMMYFUNCTION("""COMPUTED_VALUE"""),"https://www.facebook.com/rapplerdotcom/photos/a.317154781638645/5594954703858600/")</f>
        <v>https://www.facebook.com/rapplerdotcom/photos/a.317154781638645/5594954703858600/</v>
      </c>
      <c r="J2099" s="1" t="str">
        <f>IFERROR(__xludf.DUMMYFUNCTION("""COMPUTED_VALUE"""),"2022-07-04T15:48:35.884Z")</f>
        <v>2022-07-04T15:48:35.884Z</v>
      </c>
      <c r="K2099" s="1"/>
    </row>
    <row r="2100">
      <c r="A2100" s="2" t="str">
        <f>IFERROR(__xludf.DUMMYFUNCTION("""COMPUTED_VALUE"""),"https://www.facebook.com/amaya.sabado")</f>
        <v>https://www.facebook.com/amaya.sabado</v>
      </c>
      <c r="B2100" s="1" t="str">
        <f>IFERROR(__xludf.DUMMYFUNCTION("""COMPUTED_VALUE"""),"Gie Villacillo Buencamino")</f>
        <v>Gie Villacillo Buencamino</v>
      </c>
      <c r="C2100" s="1" t="str">
        <f>IFERROR(__xludf.DUMMYFUNCTION("""COMPUTED_VALUE"""),"Gie")</f>
        <v>Gie</v>
      </c>
      <c r="D2100" s="1" t="str">
        <f>IFERROR(__xludf.DUMMYFUNCTION("""COMPUTED_VALUE"""),"Villacillo Buencamino")</f>
        <v>Villacillo Buencamino</v>
      </c>
      <c r="E2100" s="1" t="str">
        <f>IFERROR(__xludf.DUMMYFUNCTION("""COMPUTED_VALUE"""),"MA RK hoy ka rin.tanung mo sa mga romualdes kaya baka alam nila kung nsaan")</f>
        <v>MA RK hoy ka rin.tanung mo sa mga romualdes kaya baka alam nila kung nsaan</v>
      </c>
      <c r="F2100" s="1"/>
      <c r="G2100" s="1" t="str">
        <f>IFERROR(__xludf.DUMMYFUNCTION("""COMPUTED_VALUE"""),"3 mos")</f>
        <v>3 mos</v>
      </c>
      <c r="H2100" s="1" t="str">
        <f>IFERROR(__xludf.DUMMYFUNCTION("""COMPUTED_VALUE"""),"reply")</f>
        <v>reply</v>
      </c>
      <c r="I2100" s="2" t="str">
        <f>IFERROR(__xludf.DUMMYFUNCTION("""COMPUTED_VALUE"""),"https://www.facebook.com/rapplerdotcom/photos/a.317154781638645/5594954703858600/")</f>
        <v>https://www.facebook.com/rapplerdotcom/photos/a.317154781638645/5594954703858600/</v>
      </c>
      <c r="J2100" s="1" t="str">
        <f>IFERROR(__xludf.DUMMYFUNCTION("""COMPUTED_VALUE"""),"2022-07-04T15:48:35.884Z")</f>
        <v>2022-07-04T15:48:35.884Z</v>
      </c>
      <c r="K2100" s="1"/>
    </row>
    <row r="2101">
      <c r="A2101" s="2" t="str">
        <f>IFERROR(__xludf.DUMMYFUNCTION("""COMPUTED_VALUE"""),"https://www.facebook.com/kimberly.elardo.737")</f>
        <v>https://www.facebook.com/kimberly.elardo.737</v>
      </c>
      <c r="B2101" s="1" t="str">
        <f>IFERROR(__xludf.DUMMYFUNCTION("""COMPUTED_VALUE"""),"Kim Rosie")</f>
        <v>Kim Rosie</v>
      </c>
      <c r="C2101" s="1" t="str">
        <f>IFERROR(__xludf.DUMMYFUNCTION("""COMPUTED_VALUE"""),"Kim")</f>
        <v>Kim</v>
      </c>
      <c r="D2101" s="1" t="str">
        <f>IFERROR(__xludf.DUMMYFUNCTION("""COMPUTED_VALUE"""),"Rosie")</f>
        <v>Rosie</v>
      </c>
      <c r="E2101" s="1" t="str">
        <f>IFERROR(__xludf.DUMMYFUNCTION("""COMPUTED_VALUE"""),"MA RK mapapalock ka nalang talaga ng account kapag walang kwenta pinagsasabi mo e")</f>
        <v>MA RK mapapalock ka nalang talaga ng account kapag walang kwenta pinagsasabi mo e</v>
      </c>
      <c r="F2101" s="1">
        <f>IFERROR(__xludf.DUMMYFUNCTION("""COMPUTED_VALUE"""),3.0)</f>
        <v>3</v>
      </c>
      <c r="G2101" s="1" t="str">
        <f>IFERROR(__xludf.DUMMYFUNCTION("""COMPUTED_VALUE"""),"3 mos")</f>
        <v>3 mos</v>
      </c>
      <c r="H2101" s="1" t="str">
        <f>IFERROR(__xludf.DUMMYFUNCTION("""COMPUTED_VALUE"""),"reply")</f>
        <v>reply</v>
      </c>
      <c r="I2101" s="2" t="str">
        <f>IFERROR(__xludf.DUMMYFUNCTION("""COMPUTED_VALUE"""),"https://www.facebook.com/rapplerdotcom/photos/a.317154781638645/5594954703858600/")</f>
        <v>https://www.facebook.com/rapplerdotcom/photos/a.317154781638645/5594954703858600/</v>
      </c>
      <c r="J2101" s="1" t="str">
        <f>IFERROR(__xludf.DUMMYFUNCTION("""COMPUTED_VALUE"""),"2022-07-04T15:48:35.884Z")</f>
        <v>2022-07-04T15:48:35.884Z</v>
      </c>
      <c r="K2101" s="1"/>
    </row>
    <row r="2102">
      <c r="A2102" s="2" t="str">
        <f>IFERROR(__xludf.DUMMYFUNCTION("""COMPUTED_VALUE"""),"https://www.facebook.com/profile.php?id=100013497646924")</f>
        <v>https://www.facebook.com/profile.php?id=100013497646924</v>
      </c>
      <c r="B2102" s="1" t="str">
        <f>IFERROR(__xludf.DUMMYFUNCTION("""COMPUTED_VALUE"""),"John Canalan")</f>
        <v>John Canalan</v>
      </c>
      <c r="C2102" s="1" t="str">
        <f>IFERROR(__xludf.DUMMYFUNCTION("""COMPUTED_VALUE"""),"John")</f>
        <v>John</v>
      </c>
      <c r="D2102" s="1" t="str">
        <f>IFERROR(__xludf.DUMMYFUNCTION("""COMPUTED_VALUE"""),"Canalan")</f>
        <v>Canalan</v>
      </c>
      <c r="E2102" s="1" t="str">
        <f>IFERROR(__xludf.DUMMYFUNCTION("""COMPUTED_VALUE"""),"Kim Rosie mapapalock ka rin daw ng account 😅")</f>
        <v>Kim Rosie mapapalock ka rin daw ng account 😅</v>
      </c>
      <c r="F2102" s="1">
        <f>IFERROR(__xludf.DUMMYFUNCTION("""COMPUTED_VALUE"""),1.0)</f>
        <v>1</v>
      </c>
      <c r="G2102" s="1" t="str">
        <f>IFERROR(__xludf.DUMMYFUNCTION("""COMPUTED_VALUE"""),"3 mos")</f>
        <v>3 mos</v>
      </c>
      <c r="H2102" s="1" t="str">
        <f>IFERROR(__xludf.DUMMYFUNCTION("""COMPUTED_VALUE"""),"reply")</f>
        <v>reply</v>
      </c>
      <c r="I2102" s="2" t="str">
        <f>IFERROR(__xludf.DUMMYFUNCTION("""COMPUTED_VALUE"""),"https://www.facebook.com/rapplerdotcom/photos/a.317154781638645/5594954703858600/")</f>
        <v>https://www.facebook.com/rapplerdotcom/photos/a.317154781638645/5594954703858600/</v>
      </c>
      <c r="J2102" s="1" t="str">
        <f>IFERROR(__xludf.DUMMYFUNCTION("""COMPUTED_VALUE"""),"2022-07-04T15:48:35.884Z")</f>
        <v>2022-07-04T15:48:35.884Z</v>
      </c>
      <c r="K2102" s="1"/>
    </row>
    <row r="2103">
      <c r="A2103" s="2" t="str">
        <f>IFERROR(__xludf.DUMMYFUNCTION("""COMPUTED_VALUE"""),"https://www.facebook.com/profile.php?id=100009202957672")</f>
        <v>https://www.facebook.com/profile.php?id=100009202957672</v>
      </c>
      <c r="B2103" s="1" t="str">
        <f>IFERROR(__xludf.DUMMYFUNCTION("""COMPUTED_VALUE"""),"Larry Natividad")</f>
        <v>Larry Natividad</v>
      </c>
      <c r="C2103" s="1" t="str">
        <f>IFERROR(__xludf.DUMMYFUNCTION("""COMPUTED_VALUE"""),"Larry")</f>
        <v>Larry</v>
      </c>
      <c r="D2103" s="1" t="str">
        <f>IFERROR(__xludf.DUMMYFUNCTION("""COMPUTED_VALUE"""),"Natividad")</f>
        <v>Natividad</v>
      </c>
      <c r="E2103" s="1" t="str">
        <f>IFERROR(__xludf.DUMMYFUNCTION("""COMPUTED_VALUE"""),"Very principled man.thank you sir🎀")</f>
        <v>Very principled man.thank you sir🎀</v>
      </c>
      <c r="F2103" s="1">
        <f>IFERROR(__xludf.DUMMYFUNCTION("""COMPUTED_VALUE"""),6.0)</f>
        <v>6</v>
      </c>
      <c r="G2103" s="1" t="str">
        <f>IFERROR(__xludf.DUMMYFUNCTION("""COMPUTED_VALUE"""),"3 mos")</f>
        <v>3 mos</v>
      </c>
      <c r="H2103" s="1" t="str">
        <f>IFERROR(__xludf.DUMMYFUNCTION("""COMPUTED_VALUE"""),"comment")</f>
        <v>comment</v>
      </c>
      <c r="I2103" s="2" t="str">
        <f>IFERROR(__xludf.DUMMYFUNCTION("""COMPUTED_VALUE"""),"https://www.facebook.com/rapplerdotcom/photos/a.317154781638645/5594954703858600/")</f>
        <v>https://www.facebook.com/rapplerdotcom/photos/a.317154781638645/5594954703858600/</v>
      </c>
      <c r="J2103" s="1" t="str">
        <f>IFERROR(__xludf.DUMMYFUNCTION("""COMPUTED_VALUE"""),"2022-07-04T15:48:35.884Z")</f>
        <v>2022-07-04T15:48:35.884Z</v>
      </c>
      <c r="K2103" s="1"/>
    </row>
    <row r="2104">
      <c r="A2104" s="2" t="str">
        <f>IFERROR(__xludf.DUMMYFUNCTION("""COMPUTED_VALUE"""),"https://www.facebook.com/epal.aco.56")</f>
        <v>https://www.facebook.com/epal.aco.56</v>
      </c>
      <c r="B2104" s="1" t="str">
        <f>IFERROR(__xludf.DUMMYFUNCTION("""COMPUTED_VALUE"""),"Epal Aco")</f>
        <v>Epal Aco</v>
      </c>
      <c r="C2104" s="1" t="str">
        <f>IFERROR(__xludf.DUMMYFUNCTION("""COMPUTED_VALUE"""),"Epal")</f>
        <v>Epal</v>
      </c>
      <c r="D2104" s="1" t="str">
        <f>IFERROR(__xludf.DUMMYFUNCTION("""COMPUTED_VALUE"""),"Aco")</f>
        <v>Aco</v>
      </c>
      <c r="E2104" s="1" t="str">
        <f>IFERROR(__xludf.DUMMYFUNCTION("""COMPUTED_VALUE"""),"Larry Natividad hahahhahaa principle? Principal kamo ng yolanda funds away.. hhahaa")</f>
        <v>Larry Natividad hahahhahaa principle? Principal kamo ng yolanda funds away.. hhahaa</v>
      </c>
      <c r="F2104" s="1"/>
      <c r="G2104" s="1" t="str">
        <f>IFERROR(__xludf.DUMMYFUNCTION("""COMPUTED_VALUE"""),"3 mos")</f>
        <v>3 mos</v>
      </c>
      <c r="H2104" s="1" t="str">
        <f>IFERROR(__xludf.DUMMYFUNCTION("""COMPUTED_VALUE"""),"reply")</f>
        <v>reply</v>
      </c>
      <c r="I2104" s="2" t="str">
        <f>IFERROR(__xludf.DUMMYFUNCTION("""COMPUTED_VALUE"""),"https://www.facebook.com/rapplerdotcom/photos/a.317154781638645/5594954703858600/")</f>
        <v>https://www.facebook.com/rapplerdotcom/photos/a.317154781638645/5594954703858600/</v>
      </c>
      <c r="J2104" s="1" t="str">
        <f>IFERROR(__xludf.DUMMYFUNCTION("""COMPUTED_VALUE"""),"2022-07-04T15:48:35.884Z")</f>
        <v>2022-07-04T15:48:35.884Z</v>
      </c>
      <c r="K2104" s="1"/>
    </row>
    <row r="2105">
      <c r="A2105" s="2" t="str">
        <f>IFERROR(__xludf.DUMMYFUNCTION("""COMPUTED_VALUE"""),"https://www.facebook.com/antonio.monteverdeiii")</f>
        <v>https://www.facebook.com/antonio.monteverdeiii</v>
      </c>
      <c r="B2105" s="1" t="str">
        <f>IFERROR(__xludf.DUMMYFUNCTION("""COMPUTED_VALUE"""),"Driht Edrevetnom III")</f>
        <v>Driht Edrevetnom III</v>
      </c>
      <c r="C2105" s="1" t="str">
        <f>IFERROR(__xludf.DUMMYFUNCTION("""COMPUTED_VALUE"""),"Driht")</f>
        <v>Driht</v>
      </c>
      <c r="D2105" s="1" t="str">
        <f>IFERROR(__xludf.DUMMYFUNCTION("""COMPUTED_VALUE"""),"Edrevetnom III")</f>
        <v>Edrevetnom III</v>
      </c>
      <c r="E2105" s="1" t="str">
        <f>IFERROR(__xludf.DUMMYFUNCTION("""COMPUTED_VALUE"""),"NagsamaSama na sila😁🤣😂mga kawatan Ng Yolanda fund😁")</f>
        <v>NagsamaSama na sila😁🤣😂mga kawatan Ng Yolanda fund😁</v>
      </c>
      <c r="F2105" s="1">
        <f>IFERROR(__xludf.DUMMYFUNCTION("""COMPUTED_VALUE"""),22.0)</f>
        <v>22</v>
      </c>
      <c r="G2105" s="1" t="str">
        <f>IFERROR(__xludf.DUMMYFUNCTION("""COMPUTED_VALUE"""),"3 mos")</f>
        <v>3 mos</v>
      </c>
      <c r="H2105" s="1" t="str">
        <f>IFERROR(__xludf.DUMMYFUNCTION("""COMPUTED_VALUE"""),"comment")</f>
        <v>comment</v>
      </c>
      <c r="I2105" s="2" t="str">
        <f>IFERROR(__xludf.DUMMYFUNCTION("""COMPUTED_VALUE"""),"https://www.facebook.com/rapplerdotcom/photos/a.317154781638645/5594954703858600/")</f>
        <v>https://www.facebook.com/rapplerdotcom/photos/a.317154781638645/5594954703858600/</v>
      </c>
      <c r="J2105" s="1" t="str">
        <f>IFERROR(__xludf.DUMMYFUNCTION("""COMPUTED_VALUE"""),"2022-07-04T15:48:35.884Z")</f>
        <v>2022-07-04T15:48:35.884Z</v>
      </c>
      <c r="K2105" s="1"/>
    </row>
    <row r="2106">
      <c r="A2106" s="2" t="str">
        <f>IFERROR(__xludf.DUMMYFUNCTION("""COMPUTED_VALUE"""),"https://www.facebook.com/NGCD18")</f>
        <v>https://www.facebook.com/NGCD18</v>
      </c>
      <c r="B2106" s="1" t="str">
        <f>IFERROR(__xludf.DUMMYFUNCTION("""COMPUTED_VALUE"""),"Carl Angelo Lubon Daño")</f>
        <v>Carl Angelo Lubon Daño</v>
      </c>
      <c r="C2106" s="1" t="str">
        <f>IFERROR(__xludf.DUMMYFUNCTION("""COMPUTED_VALUE"""),"Carl")</f>
        <v>Carl</v>
      </c>
      <c r="D2106" s="1" t="str">
        <f>IFERROR(__xludf.DUMMYFUNCTION("""COMPUTED_VALUE"""),"Angelo Lubon Daño")</f>
        <v>Angelo Lubon Daño</v>
      </c>
      <c r="E2106" s="1" t="str">
        <f>IFERROR(__xludf.DUMMYFUNCTION("""COMPUTED_VALUE"""),"Re Chee Jhon Carlos https://philnews.ph/2017/11/21/dotr-files-plunder-charges-vs-mar-roxas-jun-abaya/")</f>
        <v>Re Chee Jhon Carlos https://philnews.ph/2017/11/21/dotr-files-plunder-charges-vs-mar-roxas-jun-abaya/</v>
      </c>
      <c r="F2106" s="1"/>
      <c r="G2106" s="1" t="str">
        <f>IFERROR(__xludf.DUMMYFUNCTION("""COMPUTED_VALUE"""),"3 mos")</f>
        <v>3 mos</v>
      </c>
      <c r="H2106" s="1" t="str">
        <f>IFERROR(__xludf.DUMMYFUNCTION("""COMPUTED_VALUE"""),"reply")</f>
        <v>reply</v>
      </c>
      <c r="I2106" s="2" t="str">
        <f>IFERROR(__xludf.DUMMYFUNCTION("""COMPUTED_VALUE"""),"https://www.facebook.com/rapplerdotcom/photos/a.317154781638645/5594954703858600/")</f>
        <v>https://www.facebook.com/rapplerdotcom/photos/a.317154781638645/5594954703858600/</v>
      </c>
      <c r="J2106" s="1" t="str">
        <f>IFERROR(__xludf.DUMMYFUNCTION("""COMPUTED_VALUE"""),"2022-07-04T15:48:35.884Z")</f>
        <v>2022-07-04T15:48:35.884Z</v>
      </c>
      <c r="K2106" s="1"/>
    </row>
    <row r="2107">
      <c r="A2107" s="2" t="str">
        <f>IFERROR(__xludf.DUMMYFUNCTION("""COMPUTED_VALUE"""),"https://www.facebook.com/nayrb.zemog.5")</f>
        <v>https://www.facebook.com/nayrb.zemog.5</v>
      </c>
      <c r="B2107" s="1" t="str">
        <f>IFERROR(__xludf.DUMMYFUNCTION("""COMPUTED_VALUE"""),"Nayrb Zemog")</f>
        <v>Nayrb Zemog</v>
      </c>
      <c r="C2107" s="1" t="str">
        <f>IFERROR(__xludf.DUMMYFUNCTION("""COMPUTED_VALUE"""),"Nayrb")</f>
        <v>Nayrb</v>
      </c>
      <c r="D2107" s="1" t="str">
        <f>IFERROR(__xludf.DUMMYFUNCTION("""COMPUTED_VALUE"""),"Zemog")</f>
        <v>Zemog</v>
      </c>
      <c r="E2107" s="1" t="str">
        <f>IFERROR(__xludf.DUMMYFUNCTION("""COMPUTED_VALUE"""),"Carl Angelo Lubon Daño bopols na ky romualdez at un iba ginastos rehab ng marawi.")</f>
        <v>Carl Angelo Lubon Daño bopols na ky romualdez at un iba ginastos rehab ng marawi.</v>
      </c>
      <c r="F2107" s="1"/>
      <c r="G2107" s="1" t="str">
        <f>IFERROR(__xludf.DUMMYFUNCTION("""COMPUTED_VALUE"""),"3 mos")</f>
        <v>3 mos</v>
      </c>
      <c r="H2107" s="1" t="str">
        <f>IFERROR(__xludf.DUMMYFUNCTION("""COMPUTED_VALUE"""),"reply")</f>
        <v>reply</v>
      </c>
      <c r="I2107" s="2" t="str">
        <f>IFERROR(__xludf.DUMMYFUNCTION("""COMPUTED_VALUE"""),"https://www.facebook.com/rapplerdotcom/photos/a.317154781638645/5594954703858600/")</f>
        <v>https://www.facebook.com/rapplerdotcom/photos/a.317154781638645/5594954703858600/</v>
      </c>
      <c r="J2107" s="1" t="str">
        <f>IFERROR(__xludf.DUMMYFUNCTION("""COMPUTED_VALUE"""),"2022-07-04T15:48:35.884Z")</f>
        <v>2022-07-04T15:48:35.884Z</v>
      </c>
      <c r="K2107" s="1"/>
    </row>
    <row r="2108">
      <c r="A2108" s="2" t="str">
        <f>IFERROR(__xludf.DUMMYFUNCTION("""COMPUTED_VALUE"""),"https://www.facebook.com/recheejhon.carlos.58")</f>
        <v>https://www.facebook.com/recheejhon.carlos.58</v>
      </c>
      <c r="B2108" s="1" t="str">
        <f>IFERROR(__xludf.DUMMYFUNCTION("""COMPUTED_VALUE"""),"Re Chee Jhon Carlos")</f>
        <v>Re Chee Jhon Carlos</v>
      </c>
      <c r="C2108" s="1" t="str">
        <f>IFERROR(__xludf.DUMMYFUNCTION("""COMPUTED_VALUE"""),"Re")</f>
        <v>Re</v>
      </c>
      <c r="D2108" s="1" t="str">
        <f>IFERROR(__xludf.DUMMYFUNCTION("""COMPUTED_VALUE"""),"Chee Jhon Carlos")</f>
        <v>Chee Jhon Carlos</v>
      </c>
      <c r="E2108" s="1" t="str">
        <f>IFERROR(__xludf.DUMMYFUNCTION("""COMPUTED_VALUE"""),"Carl Angelo Lubon Daño hahahaha ano yan chismis na namn...")</f>
        <v>Carl Angelo Lubon Daño hahahaha ano yan chismis na namn...</v>
      </c>
      <c r="F2108" s="1"/>
      <c r="G2108" s="1" t="str">
        <f>IFERROR(__xludf.DUMMYFUNCTION("""COMPUTED_VALUE"""),"3 mos")</f>
        <v>3 mos</v>
      </c>
      <c r="H2108" s="1" t="str">
        <f>IFERROR(__xludf.DUMMYFUNCTION("""COMPUTED_VALUE"""),"reply")</f>
        <v>reply</v>
      </c>
      <c r="I2108" s="2" t="str">
        <f>IFERROR(__xludf.DUMMYFUNCTION("""COMPUTED_VALUE"""),"https://www.facebook.com/rapplerdotcom/photos/a.317154781638645/5594954703858600/")</f>
        <v>https://www.facebook.com/rapplerdotcom/photos/a.317154781638645/5594954703858600/</v>
      </c>
      <c r="J2108" s="1" t="str">
        <f>IFERROR(__xludf.DUMMYFUNCTION("""COMPUTED_VALUE"""),"2022-07-04T15:48:35.884Z")</f>
        <v>2022-07-04T15:48:35.884Z</v>
      </c>
      <c r="K2108" s="1"/>
    </row>
    <row r="2109">
      <c r="A2109" s="2" t="str">
        <f>IFERROR(__xludf.DUMMYFUNCTION("""COMPUTED_VALUE"""),"https://www.facebook.com/NGCD18")</f>
        <v>https://www.facebook.com/NGCD18</v>
      </c>
      <c r="B2109" s="1" t="str">
        <f>IFERROR(__xludf.DUMMYFUNCTION("""COMPUTED_VALUE"""),"Carl Angelo Lubon Daño")</f>
        <v>Carl Angelo Lubon Daño</v>
      </c>
      <c r="C2109" s="1" t="str">
        <f>IFERROR(__xludf.DUMMYFUNCTION("""COMPUTED_VALUE"""),"Carl")</f>
        <v>Carl</v>
      </c>
      <c r="D2109" s="1" t="str">
        <f>IFERROR(__xludf.DUMMYFUNCTION("""COMPUTED_VALUE"""),"Angelo Lubon Daño")</f>
        <v>Angelo Lubon Daño</v>
      </c>
      <c r="E2109" s="1" t="str">
        <f>IFERROR(__xludf.DUMMYFUNCTION("""COMPUTED_VALUE"""),"Re Chee Jhon Carlos  libre po mag basa hahhahah")</f>
        <v>Re Chee Jhon Carlos  libre po mag basa hahhahah</v>
      </c>
      <c r="F2109" s="1"/>
      <c r="G2109" s="1" t="str">
        <f>IFERROR(__xludf.DUMMYFUNCTION("""COMPUTED_VALUE"""),"3 mos")</f>
        <v>3 mos</v>
      </c>
      <c r="H2109" s="1" t="str">
        <f>IFERROR(__xludf.DUMMYFUNCTION("""COMPUTED_VALUE"""),"reply")</f>
        <v>reply</v>
      </c>
      <c r="I2109" s="2" t="str">
        <f>IFERROR(__xludf.DUMMYFUNCTION("""COMPUTED_VALUE"""),"https://www.facebook.com/rapplerdotcom/photos/a.317154781638645/5594954703858600/")</f>
        <v>https://www.facebook.com/rapplerdotcom/photos/a.317154781638645/5594954703858600/</v>
      </c>
      <c r="J2109" s="1" t="str">
        <f>IFERROR(__xludf.DUMMYFUNCTION("""COMPUTED_VALUE"""),"2022-07-04T15:48:35.884Z")</f>
        <v>2022-07-04T15:48:35.884Z</v>
      </c>
      <c r="K2109" s="1"/>
    </row>
    <row r="2110">
      <c r="A2110" s="2" t="str">
        <f>IFERROR(__xludf.DUMMYFUNCTION("""COMPUTED_VALUE"""),"https://www.facebook.com/recheejhon.carlos.58")</f>
        <v>https://www.facebook.com/recheejhon.carlos.58</v>
      </c>
      <c r="B2110" s="1" t="str">
        <f>IFERROR(__xludf.DUMMYFUNCTION("""COMPUTED_VALUE"""),"Re Chee Jhon Carlos")</f>
        <v>Re Chee Jhon Carlos</v>
      </c>
      <c r="C2110" s="1" t="str">
        <f>IFERROR(__xludf.DUMMYFUNCTION("""COMPUTED_VALUE"""),"Re")</f>
        <v>Re</v>
      </c>
      <c r="D2110" s="1" t="str">
        <f>IFERROR(__xludf.DUMMYFUNCTION("""COMPUTED_VALUE"""),"Chee Jhon Carlos")</f>
        <v>Chee Jhon Carlos</v>
      </c>
      <c r="E2110" s="1" t="str">
        <f>IFERROR(__xludf.DUMMYFUNCTION("""COMPUTED_VALUE"""),"Carl Angelo Lubon Daño ayt.... Bakit ndi nabuksan ang kaso? Bat ndi pa nakulong yan? 😬")</f>
        <v>Carl Angelo Lubon Daño ayt.... Bakit ndi nabuksan ang kaso? Bat ndi pa nakulong yan? 😬</v>
      </c>
      <c r="F2110" s="1">
        <f>IFERROR(__xludf.DUMMYFUNCTION("""COMPUTED_VALUE"""),1.0)</f>
        <v>1</v>
      </c>
      <c r="G2110" s="1" t="str">
        <f>IFERROR(__xludf.DUMMYFUNCTION("""COMPUTED_VALUE"""),"3 mos")</f>
        <v>3 mos</v>
      </c>
      <c r="H2110" s="1" t="str">
        <f>IFERROR(__xludf.DUMMYFUNCTION("""COMPUTED_VALUE"""),"reply")</f>
        <v>reply</v>
      </c>
      <c r="I2110" s="2" t="str">
        <f>IFERROR(__xludf.DUMMYFUNCTION("""COMPUTED_VALUE"""),"https://www.facebook.com/rapplerdotcom/photos/a.317154781638645/5594954703858600/")</f>
        <v>https://www.facebook.com/rapplerdotcom/photos/a.317154781638645/5594954703858600/</v>
      </c>
      <c r="J2110" s="1" t="str">
        <f>IFERROR(__xludf.DUMMYFUNCTION("""COMPUTED_VALUE"""),"2022-07-04T15:48:35.884Z")</f>
        <v>2022-07-04T15:48:35.884Z</v>
      </c>
      <c r="K2110" s="1"/>
    </row>
    <row r="2111">
      <c r="A2111" s="2" t="str">
        <f>IFERROR(__xludf.DUMMYFUNCTION("""COMPUTED_VALUE"""),"https://www.facebook.com/NGCD18")</f>
        <v>https://www.facebook.com/NGCD18</v>
      </c>
      <c r="B2111" s="1" t="str">
        <f>IFERROR(__xludf.DUMMYFUNCTION("""COMPUTED_VALUE"""),"Carl Angelo Lubon Daño")</f>
        <v>Carl Angelo Lubon Daño</v>
      </c>
      <c r="C2111" s="1" t="str">
        <f>IFERROR(__xludf.DUMMYFUNCTION("""COMPUTED_VALUE"""),"Carl")</f>
        <v>Carl</v>
      </c>
      <c r="D2111" s="1" t="str">
        <f>IFERROR(__xludf.DUMMYFUNCTION("""COMPUTED_VALUE"""),"Angelo Lubon Daño")</f>
        <v>Angelo Lubon Daño</v>
      </c>
      <c r="E2111" s="1" t="str">
        <f>IFERROR(__xludf.DUMMYFUNCTION("""COMPUTED_VALUE"""),"Re Chee Jhon Carlos antay ka lang po malapit na. Wag ka po atat hehhehe")</f>
        <v>Re Chee Jhon Carlos antay ka lang po malapit na. Wag ka po atat hehhehe</v>
      </c>
      <c r="F2111" s="1"/>
      <c r="G2111" s="1" t="str">
        <f>IFERROR(__xludf.DUMMYFUNCTION("""COMPUTED_VALUE"""),"3 mos")</f>
        <v>3 mos</v>
      </c>
      <c r="H2111" s="1" t="str">
        <f>IFERROR(__xludf.DUMMYFUNCTION("""COMPUTED_VALUE"""),"reply")</f>
        <v>reply</v>
      </c>
      <c r="I2111" s="2" t="str">
        <f>IFERROR(__xludf.DUMMYFUNCTION("""COMPUTED_VALUE"""),"https://www.facebook.com/rapplerdotcom/photos/a.317154781638645/5594954703858600/")</f>
        <v>https://www.facebook.com/rapplerdotcom/photos/a.317154781638645/5594954703858600/</v>
      </c>
      <c r="J2111" s="1" t="str">
        <f>IFERROR(__xludf.DUMMYFUNCTION("""COMPUTED_VALUE"""),"2022-07-04T15:48:35.884Z")</f>
        <v>2022-07-04T15:48:35.884Z</v>
      </c>
      <c r="K2111" s="1"/>
    </row>
    <row r="2112">
      <c r="A2112" s="2" t="str">
        <f>IFERROR(__xludf.DUMMYFUNCTION("""COMPUTED_VALUE"""),"https://www.facebook.com/recheejhon.carlos.58")</f>
        <v>https://www.facebook.com/recheejhon.carlos.58</v>
      </c>
      <c r="B2112" s="1" t="str">
        <f>IFERROR(__xludf.DUMMYFUNCTION("""COMPUTED_VALUE"""),"Re Chee Jhon Carlos")</f>
        <v>Re Chee Jhon Carlos</v>
      </c>
      <c r="C2112" s="1" t="str">
        <f>IFERROR(__xludf.DUMMYFUNCTION("""COMPUTED_VALUE"""),"Re")</f>
        <v>Re</v>
      </c>
      <c r="D2112" s="1" t="str">
        <f>IFERROR(__xludf.DUMMYFUNCTION("""COMPUTED_VALUE"""),"Chee Jhon Carlos")</f>
        <v>Chee Jhon Carlos</v>
      </c>
      <c r="E2112" s="1" t="str">
        <f>IFERROR(__xludf.DUMMYFUNCTION("""COMPUTED_VALUE"""),"Carl Angelo Lubon Daño hahaha umaasa balik ka nlng sa unithieves")</f>
        <v>Carl Angelo Lubon Daño hahaha umaasa balik ka nlng sa unithieves</v>
      </c>
      <c r="F2112" s="1">
        <f>IFERROR(__xludf.DUMMYFUNCTION("""COMPUTED_VALUE"""),2.0)</f>
        <v>2</v>
      </c>
      <c r="G2112" s="1" t="str">
        <f>IFERROR(__xludf.DUMMYFUNCTION("""COMPUTED_VALUE"""),"3 mos")</f>
        <v>3 mos</v>
      </c>
      <c r="H2112" s="1" t="str">
        <f>IFERROR(__xludf.DUMMYFUNCTION("""COMPUTED_VALUE"""),"reply")</f>
        <v>reply</v>
      </c>
      <c r="I2112" s="2" t="str">
        <f>IFERROR(__xludf.DUMMYFUNCTION("""COMPUTED_VALUE"""),"https://www.facebook.com/rapplerdotcom/photos/a.317154781638645/5594954703858600/")</f>
        <v>https://www.facebook.com/rapplerdotcom/photos/a.317154781638645/5594954703858600/</v>
      </c>
      <c r="J2112" s="1" t="str">
        <f>IFERROR(__xludf.DUMMYFUNCTION("""COMPUTED_VALUE"""),"2022-07-04T15:48:35.884Z")</f>
        <v>2022-07-04T15:48:35.884Z</v>
      </c>
      <c r="K2112" s="1"/>
    </row>
    <row r="2113">
      <c r="A2113" s="2" t="str">
        <f>IFERROR(__xludf.DUMMYFUNCTION("""COMPUTED_VALUE"""),"https://www.facebook.com/janice.arroyo.98837")</f>
        <v>https://www.facebook.com/janice.arroyo.98837</v>
      </c>
      <c r="B2113" s="1" t="str">
        <f>IFERROR(__xludf.DUMMYFUNCTION("""COMPUTED_VALUE"""),"Janice Ruth Arroyo")</f>
        <v>Janice Ruth Arroyo</v>
      </c>
      <c r="C2113" s="1" t="str">
        <f>IFERROR(__xludf.DUMMYFUNCTION("""COMPUTED_VALUE"""),"Janice")</f>
        <v>Janice</v>
      </c>
      <c r="D2113" s="1" t="str">
        <f>IFERROR(__xludf.DUMMYFUNCTION("""COMPUTED_VALUE"""),"Ruth Arroyo")</f>
        <v>Ruth Arroyo</v>
      </c>
      <c r="E2113" s="1" t="str">
        <f>IFERROR(__xludf.DUMMYFUNCTION("""COMPUTED_VALUE"""),"Driht Edrevetnom III https://dilg.gov.ph/news/DILG-P3455-B-or-85-percent-Yolanda-funds-liquidated/NC-2019-1169")</f>
        <v>Driht Edrevetnom III https://dilg.gov.ph/news/DILG-P3455-B-or-85-percent-Yolanda-funds-liquidated/NC-2019-1169</v>
      </c>
      <c r="F2113" s="1"/>
      <c r="G2113" s="1" t="str">
        <f>IFERROR(__xludf.DUMMYFUNCTION("""COMPUTED_VALUE"""),"3 mos")</f>
        <v>3 mos</v>
      </c>
      <c r="H2113" s="1" t="str">
        <f>IFERROR(__xludf.DUMMYFUNCTION("""COMPUTED_VALUE"""),"reply")</f>
        <v>reply</v>
      </c>
      <c r="I2113" s="2" t="str">
        <f>IFERROR(__xludf.DUMMYFUNCTION("""COMPUTED_VALUE"""),"https://www.facebook.com/rapplerdotcom/photos/a.317154781638645/5594954703858600/")</f>
        <v>https://www.facebook.com/rapplerdotcom/photos/a.317154781638645/5594954703858600/</v>
      </c>
      <c r="J2113" s="1" t="str">
        <f>IFERROR(__xludf.DUMMYFUNCTION("""COMPUTED_VALUE"""),"2022-07-04T15:48:35.884Z")</f>
        <v>2022-07-04T15:48:35.884Z</v>
      </c>
      <c r="K2113" s="1"/>
    </row>
    <row r="2114">
      <c r="A2114" s="2" t="str">
        <f>IFERROR(__xludf.DUMMYFUNCTION("""COMPUTED_VALUE"""),"https://www.facebook.com/joey.abella.507")</f>
        <v>https://www.facebook.com/joey.abella.507</v>
      </c>
      <c r="B2114" s="1" t="str">
        <f>IFERROR(__xludf.DUMMYFUNCTION("""COMPUTED_VALUE"""),"Lana")</f>
        <v>Lana</v>
      </c>
      <c r="C2114" s="1" t="str">
        <f>IFERROR(__xludf.DUMMYFUNCTION("""COMPUTED_VALUE"""),"Lana")</f>
        <v>Lana</v>
      </c>
      <c r="D2114" s="1"/>
      <c r="E2114" s="1" t="str">
        <f>IFERROR(__xludf.DUMMYFUNCTION("""COMPUTED_VALUE"""),"Driht Edrevetnom III")</f>
        <v>Driht Edrevetnom III</v>
      </c>
      <c r="F2114" s="1"/>
      <c r="G2114" s="1" t="str">
        <f>IFERROR(__xludf.DUMMYFUNCTION("""COMPUTED_VALUE"""),"3 mos")</f>
        <v>3 mos</v>
      </c>
      <c r="H2114" s="1" t="str">
        <f>IFERROR(__xludf.DUMMYFUNCTION("""COMPUTED_VALUE"""),"reply")</f>
        <v>reply</v>
      </c>
      <c r="I2114" s="2" t="str">
        <f>IFERROR(__xludf.DUMMYFUNCTION("""COMPUTED_VALUE"""),"https://www.facebook.com/rapplerdotcom/photos/a.317154781638645/5594954703858600/")</f>
        <v>https://www.facebook.com/rapplerdotcom/photos/a.317154781638645/5594954703858600/</v>
      </c>
      <c r="J2114" s="1" t="str">
        <f>IFERROR(__xludf.DUMMYFUNCTION("""COMPUTED_VALUE"""),"2022-07-04T15:48:35.884Z")</f>
        <v>2022-07-04T15:48:35.884Z</v>
      </c>
      <c r="K2114" s="1"/>
    </row>
    <row r="2115">
      <c r="A2115" s="2" t="str">
        <f>IFERROR(__xludf.DUMMYFUNCTION("""COMPUTED_VALUE"""),"https://www.facebook.com/leahllane.llena.9")</f>
        <v>https://www.facebook.com/leahllane.llena.9</v>
      </c>
      <c r="B2115" s="1" t="str">
        <f>IFERROR(__xludf.DUMMYFUNCTION("""COMPUTED_VALUE"""),"Leah Diosana Llena")</f>
        <v>Leah Diosana Llena</v>
      </c>
      <c r="C2115" s="1" t="str">
        <f>IFERROR(__xludf.DUMMYFUNCTION("""COMPUTED_VALUE"""),"Leah")</f>
        <v>Leah</v>
      </c>
      <c r="D2115" s="1" t="str">
        <f>IFERROR(__xludf.DUMMYFUNCTION("""COMPUTED_VALUE"""),"Diosana Llena")</f>
        <v>Diosana Llena</v>
      </c>
      <c r="E2115" s="1" t="str">
        <f>IFERROR(__xludf.DUMMYFUNCTION("""COMPUTED_VALUE"""),"Driht Edrevetnom III galing a, proof pls")</f>
        <v>Driht Edrevetnom III galing a, proof pls</v>
      </c>
      <c r="F2115" s="1"/>
      <c r="G2115" s="1" t="str">
        <f>IFERROR(__xludf.DUMMYFUNCTION("""COMPUTED_VALUE"""),"3 mos")</f>
        <v>3 mos</v>
      </c>
      <c r="H2115" s="1" t="str">
        <f>IFERROR(__xludf.DUMMYFUNCTION("""COMPUTED_VALUE"""),"reply")</f>
        <v>reply</v>
      </c>
      <c r="I2115" s="2" t="str">
        <f>IFERROR(__xludf.DUMMYFUNCTION("""COMPUTED_VALUE"""),"https://www.facebook.com/rapplerdotcom/photos/a.317154781638645/5594954703858600/")</f>
        <v>https://www.facebook.com/rapplerdotcom/photos/a.317154781638645/5594954703858600/</v>
      </c>
      <c r="J2115" s="1" t="str">
        <f>IFERROR(__xludf.DUMMYFUNCTION("""COMPUTED_VALUE"""),"2022-07-04T15:48:35.884Z")</f>
        <v>2022-07-04T15:48:35.884Z</v>
      </c>
      <c r="K2115" s="1"/>
    </row>
    <row r="2116">
      <c r="A2116" s="2" t="str">
        <f>IFERROR(__xludf.DUMMYFUNCTION("""COMPUTED_VALUE"""),"https://www.facebook.com/vidsdpeche")</f>
        <v>https://www.facebook.com/vidsdpeche</v>
      </c>
      <c r="B2116" s="1" t="str">
        <f>IFERROR(__xludf.DUMMYFUNCTION("""COMPUTED_VALUE"""),"Vids P Debulgado")</f>
        <v>Vids P Debulgado</v>
      </c>
      <c r="C2116" s="1" t="str">
        <f>IFERROR(__xludf.DUMMYFUNCTION("""COMPUTED_VALUE"""),"Vids")</f>
        <v>Vids</v>
      </c>
      <c r="D2116" s="1" t="str">
        <f>IFERROR(__xludf.DUMMYFUNCTION("""COMPUTED_VALUE"""),"P Debulgado")</f>
        <v>P Debulgado</v>
      </c>
      <c r="E2116" s="1" t="str">
        <f>IFERROR(__xludf.DUMMYFUNCTION("""COMPUTED_VALUE"""),"Carl Angelo Lubon Daño Ganoon? Ang alam ko ang nagwaldas si Romualdez na pinsan ni Bongbong  1B yon.")</f>
        <v>Carl Angelo Lubon Daño Ganoon? Ang alam ko ang nagwaldas si Romualdez na pinsan ni Bongbong  1B yon.</v>
      </c>
      <c r="F2116" s="1">
        <f>IFERROR(__xludf.DUMMYFUNCTION("""COMPUTED_VALUE"""),5.0)</f>
        <v>5</v>
      </c>
      <c r="G2116" s="1" t="str">
        <f>IFERROR(__xludf.DUMMYFUNCTION("""COMPUTED_VALUE"""),"3 mos")</f>
        <v>3 mos</v>
      </c>
      <c r="H2116" s="1" t="str">
        <f>IFERROR(__xludf.DUMMYFUNCTION("""COMPUTED_VALUE"""),"reply")</f>
        <v>reply</v>
      </c>
      <c r="I2116" s="2" t="str">
        <f>IFERROR(__xludf.DUMMYFUNCTION("""COMPUTED_VALUE"""),"https://www.facebook.com/rapplerdotcom/photos/a.317154781638645/5594954703858600/")</f>
        <v>https://www.facebook.com/rapplerdotcom/photos/a.317154781638645/5594954703858600/</v>
      </c>
      <c r="J2116" s="1" t="str">
        <f>IFERROR(__xludf.DUMMYFUNCTION("""COMPUTED_VALUE"""),"2022-07-04T15:48:35.884Z")</f>
        <v>2022-07-04T15:48:35.884Z</v>
      </c>
      <c r="K2116" s="1"/>
    </row>
    <row r="2117">
      <c r="A2117" s="2" t="str">
        <f>IFERROR(__xludf.DUMMYFUNCTION("""COMPUTED_VALUE"""),"https://www.facebook.com/amaya.sabado")</f>
        <v>https://www.facebook.com/amaya.sabado</v>
      </c>
      <c r="B2117" s="1" t="str">
        <f>IFERROR(__xludf.DUMMYFUNCTION("""COMPUTED_VALUE"""),"Gie Villacillo Buencamino")</f>
        <v>Gie Villacillo Buencamino</v>
      </c>
      <c r="C2117" s="1" t="str">
        <f>IFERROR(__xludf.DUMMYFUNCTION("""COMPUTED_VALUE"""),"Gie")</f>
        <v>Gie</v>
      </c>
      <c r="D2117" s="1" t="str">
        <f>IFERROR(__xludf.DUMMYFUNCTION("""COMPUTED_VALUE"""),"Villacillo Buencamino")</f>
        <v>Villacillo Buencamino</v>
      </c>
      <c r="E2117" s="1" t="str">
        <f>IFERROR(__xludf.DUMMYFUNCTION("""COMPUTED_VALUE"""),"Driht Edrevetnom III mga romualdes po tanungin tungkol sa yolanda fund,inintriga ni roxas sa kanila yong funds")</f>
        <v>Driht Edrevetnom III mga romualdes po tanungin tungkol sa yolanda fund,inintriga ni roxas sa kanila yong funds</v>
      </c>
      <c r="F2117" s="1">
        <f>IFERROR(__xludf.DUMMYFUNCTION("""COMPUTED_VALUE"""),2.0)</f>
        <v>2</v>
      </c>
      <c r="G2117" s="1" t="str">
        <f>IFERROR(__xludf.DUMMYFUNCTION("""COMPUTED_VALUE"""),"3 mos")</f>
        <v>3 mos</v>
      </c>
      <c r="H2117" s="1" t="str">
        <f>IFERROR(__xludf.DUMMYFUNCTION("""COMPUTED_VALUE"""),"reply")</f>
        <v>reply</v>
      </c>
      <c r="I2117" s="2" t="str">
        <f>IFERROR(__xludf.DUMMYFUNCTION("""COMPUTED_VALUE"""),"https://www.facebook.com/rapplerdotcom/photos/a.317154781638645/5594954703858600/")</f>
        <v>https://www.facebook.com/rapplerdotcom/photos/a.317154781638645/5594954703858600/</v>
      </c>
      <c r="J2117" s="1" t="str">
        <f>IFERROR(__xludf.DUMMYFUNCTION("""COMPUTED_VALUE"""),"2022-07-04T15:48:35.884Z")</f>
        <v>2022-07-04T15:48:35.884Z</v>
      </c>
      <c r="K2117" s="1"/>
    </row>
    <row r="2118">
      <c r="A2118" s="2" t="str">
        <f>IFERROR(__xludf.DUMMYFUNCTION("""COMPUTED_VALUE"""),"https://www.facebook.com/yenflorida")</f>
        <v>https://www.facebook.com/yenflorida</v>
      </c>
      <c r="B2118" s="1" t="str">
        <f>IFERROR(__xludf.DUMMYFUNCTION("""COMPUTED_VALUE"""),"Yen Morata")</f>
        <v>Yen Morata</v>
      </c>
      <c r="C2118" s="1" t="str">
        <f>IFERROR(__xludf.DUMMYFUNCTION("""COMPUTED_VALUE"""),"Yen")</f>
        <v>Yen</v>
      </c>
      <c r="D2118" s="1" t="str">
        <f>IFERROR(__xludf.DUMMYFUNCTION("""COMPUTED_VALUE"""),"Morata")</f>
        <v>Morata</v>
      </c>
      <c r="E2118" s="2" t="str">
        <f>IFERROR(__xludf.DUMMYFUNCTION("""COMPUTED_VALUE"""),"https://dilg.gov.ph/news/DILG-P3455-B-or-85-percent-Yolanda-funds-liquidated/NC-2019-1169")</f>
        <v>https://dilg.gov.ph/news/DILG-P3455-B-or-85-percent-Yolanda-funds-liquidated/NC-2019-1169</v>
      </c>
      <c r="F2118" s="1"/>
      <c r="G2118" s="1" t="str">
        <f>IFERROR(__xludf.DUMMYFUNCTION("""COMPUTED_VALUE"""),"3 mos")</f>
        <v>3 mos</v>
      </c>
      <c r="H2118" s="1" t="str">
        <f>IFERROR(__xludf.DUMMYFUNCTION("""COMPUTED_VALUE"""),"reply")</f>
        <v>reply</v>
      </c>
      <c r="I2118" s="2" t="str">
        <f>IFERROR(__xludf.DUMMYFUNCTION("""COMPUTED_VALUE"""),"https://www.facebook.com/rapplerdotcom/photos/a.317154781638645/5594954703858600/")</f>
        <v>https://www.facebook.com/rapplerdotcom/photos/a.317154781638645/5594954703858600/</v>
      </c>
      <c r="J2118" s="1" t="str">
        <f>IFERROR(__xludf.DUMMYFUNCTION("""COMPUTED_VALUE"""),"2022-07-04T15:48:35.884Z")</f>
        <v>2022-07-04T15:48:35.884Z</v>
      </c>
      <c r="K2118" s="1"/>
    </row>
    <row r="2119">
      <c r="A2119" s="2" t="str">
        <f>IFERROR(__xludf.DUMMYFUNCTION("""COMPUTED_VALUE"""),"https://www.facebook.com/marianne.bautista.543")</f>
        <v>https://www.facebook.com/marianne.bautista.543</v>
      </c>
      <c r="B2119" s="1" t="str">
        <f>IFERROR(__xludf.DUMMYFUNCTION("""COMPUTED_VALUE"""),"Marianne Bautista")</f>
        <v>Marianne Bautista</v>
      </c>
      <c r="C2119" s="1" t="str">
        <f>IFERROR(__xludf.DUMMYFUNCTION("""COMPUTED_VALUE"""),"Marianne")</f>
        <v>Marianne</v>
      </c>
      <c r="D2119" s="1" t="str">
        <f>IFERROR(__xludf.DUMMYFUNCTION("""COMPUTED_VALUE"""),"Bautista")</f>
        <v>Bautista</v>
      </c>
      <c r="E2119" s="1" t="str">
        <f>IFERROR(__xludf.DUMMYFUNCTION("""COMPUTED_VALUE"""),"Driht Edrevetnom III nabuhay nxia🤣🤣🤣🤣")</f>
        <v>Driht Edrevetnom III nabuhay nxia🤣🤣🤣🤣</v>
      </c>
      <c r="F2119" s="1">
        <f>IFERROR(__xludf.DUMMYFUNCTION("""COMPUTED_VALUE"""),1.0)</f>
        <v>1</v>
      </c>
      <c r="G2119" s="1" t="str">
        <f>IFERROR(__xludf.DUMMYFUNCTION("""COMPUTED_VALUE"""),"3 mos")</f>
        <v>3 mos</v>
      </c>
      <c r="H2119" s="1" t="str">
        <f>IFERROR(__xludf.DUMMYFUNCTION("""COMPUTED_VALUE"""),"reply")</f>
        <v>reply</v>
      </c>
      <c r="I2119" s="2" t="str">
        <f>IFERROR(__xludf.DUMMYFUNCTION("""COMPUTED_VALUE"""),"https://www.facebook.com/rapplerdotcom/photos/a.317154781638645/5594954703858600/")</f>
        <v>https://www.facebook.com/rapplerdotcom/photos/a.317154781638645/5594954703858600/</v>
      </c>
      <c r="J2119" s="1" t="str">
        <f>IFERROR(__xludf.DUMMYFUNCTION("""COMPUTED_VALUE"""),"2022-07-04T15:48:35.884Z")</f>
        <v>2022-07-04T15:48:35.884Z</v>
      </c>
      <c r="K2119" s="1"/>
    </row>
    <row r="2120">
      <c r="A2120" s="2" t="str">
        <f>IFERROR(__xludf.DUMMYFUNCTION("""COMPUTED_VALUE"""),"https://www.facebook.com/honivmonts")</f>
        <v>https://www.facebook.com/honivmonts</v>
      </c>
      <c r="B2120" s="1" t="str">
        <f>IFERROR(__xludf.DUMMYFUNCTION("""COMPUTED_VALUE"""),"Honiv Monts")</f>
        <v>Honiv Monts</v>
      </c>
      <c r="C2120" s="1" t="str">
        <f>IFERROR(__xludf.DUMMYFUNCTION("""COMPUTED_VALUE"""),"Honiv")</f>
        <v>Honiv</v>
      </c>
      <c r="D2120" s="1" t="str">
        <f>IFERROR(__xludf.DUMMYFUNCTION("""COMPUTED_VALUE"""),"Monts")</f>
        <v>Monts</v>
      </c>
      <c r="E2120" s="1" t="str">
        <f>IFERROR(__xludf.DUMMYFUNCTION("""COMPUTED_VALUE"""),"Driht Edrevetnom III xempre ginamit yan sa pang hakot")</f>
        <v>Driht Edrevetnom III xempre ginamit yan sa pang hakot</v>
      </c>
      <c r="F2120" s="1"/>
      <c r="G2120" s="1" t="str">
        <f>IFERROR(__xludf.DUMMYFUNCTION("""COMPUTED_VALUE"""),"3 mos")</f>
        <v>3 mos</v>
      </c>
      <c r="H2120" s="1" t="str">
        <f>IFERROR(__xludf.DUMMYFUNCTION("""COMPUTED_VALUE"""),"reply")</f>
        <v>reply</v>
      </c>
      <c r="I2120" s="2" t="str">
        <f>IFERROR(__xludf.DUMMYFUNCTION("""COMPUTED_VALUE"""),"https://www.facebook.com/rapplerdotcom/photos/a.317154781638645/5594954703858600/")</f>
        <v>https://www.facebook.com/rapplerdotcom/photos/a.317154781638645/5594954703858600/</v>
      </c>
      <c r="J2120" s="1" t="str">
        <f>IFERROR(__xludf.DUMMYFUNCTION("""COMPUTED_VALUE"""),"2022-07-04T15:48:35.884Z")</f>
        <v>2022-07-04T15:48:35.884Z</v>
      </c>
      <c r="K2120" s="1"/>
    </row>
    <row r="2121">
      <c r="A2121" s="2" t="str">
        <f>IFERROR(__xludf.DUMMYFUNCTION("""COMPUTED_VALUE"""),"https://www.facebook.com/CornerPrinter.ph")</f>
        <v>https://www.facebook.com/CornerPrinter.ph</v>
      </c>
      <c r="B2121" s="1" t="str">
        <f>IFERROR(__xludf.DUMMYFUNCTION("""COMPUTED_VALUE"""),"Corner Print Services")</f>
        <v>Corner Print Services</v>
      </c>
      <c r="C2121" s="1" t="str">
        <f>IFERROR(__xludf.DUMMYFUNCTION("""COMPUTED_VALUE"""),"Corner")</f>
        <v>Corner</v>
      </c>
      <c r="D2121" s="1" t="str">
        <f>IFERROR(__xludf.DUMMYFUNCTION("""COMPUTED_VALUE"""),"Print Services")</f>
        <v>Print Services</v>
      </c>
      <c r="E2121" s="1" t="str">
        <f>IFERROR(__xludf.DUMMYFUNCTION("""COMPUTED_VALUE"""),"Driht Edrevetnom III kawawa nmn buo family nito :D")</f>
        <v>Driht Edrevetnom III kawawa nmn buo family nito :D</v>
      </c>
      <c r="F2121" s="1"/>
      <c r="G2121" s="1" t="str">
        <f>IFERROR(__xludf.DUMMYFUNCTION("""COMPUTED_VALUE"""),"3 mos")</f>
        <v>3 mos</v>
      </c>
      <c r="H2121" s="1" t="str">
        <f>IFERROR(__xludf.DUMMYFUNCTION("""COMPUTED_VALUE"""),"reply")</f>
        <v>reply</v>
      </c>
      <c r="I2121" s="2" t="str">
        <f>IFERROR(__xludf.DUMMYFUNCTION("""COMPUTED_VALUE"""),"https://www.facebook.com/rapplerdotcom/photos/a.317154781638645/5594954703858600/")</f>
        <v>https://www.facebook.com/rapplerdotcom/photos/a.317154781638645/5594954703858600/</v>
      </c>
      <c r="J2121" s="1" t="str">
        <f>IFERROR(__xludf.DUMMYFUNCTION("""COMPUTED_VALUE"""),"2022-07-04T15:48:35.884Z")</f>
        <v>2022-07-04T15:48:35.884Z</v>
      </c>
      <c r="K2121" s="1"/>
    </row>
    <row r="2122">
      <c r="A2122" s="2" t="str">
        <f>IFERROR(__xludf.DUMMYFUNCTION("""COMPUTED_VALUE"""),"https://www.facebook.com/epal.aco.56")</f>
        <v>https://www.facebook.com/epal.aco.56</v>
      </c>
      <c r="B2122" s="1" t="str">
        <f>IFERROR(__xludf.DUMMYFUNCTION("""COMPUTED_VALUE"""),"Epal Aco")</f>
        <v>Epal Aco</v>
      </c>
      <c r="C2122" s="1" t="str">
        <f>IFERROR(__xludf.DUMMYFUNCTION("""COMPUTED_VALUE"""),"Epal")</f>
        <v>Epal</v>
      </c>
      <c r="D2122" s="1" t="str">
        <f>IFERROR(__xludf.DUMMYFUNCTION("""COMPUTED_VALUE"""),"Aco")</f>
        <v>Aco</v>
      </c>
      <c r="E2122" s="1" t="str">
        <f>IFERROR(__xludf.DUMMYFUNCTION("""COMPUTED_VALUE"""),"Manuel Perez hahahahahahaa kaloka kasama ka ba sa nagkeep sa treasury ng yolanda funds? Bakit hinahanap ni PRRD ung yolanda funds? Bakit nangutang pa si PRRD ng pang ayuda sau nung Covid19? Mio dai wag nio na ipagtanggol ung gaya nian kasi di lang ikaw an"&amp;"g tao sa pinas para di malaman ang totoo..kwawa talga pinas kapg si lenlen nanalo..")</f>
        <v>Manuel Perez hahahahahahaa kaloka kasama ka ba sa nagkeep sa treasury ng yolanda funds? Bakit hinahanap ni PRRD ung yolanda funds? Bakit nangutang pa si PRRD ng pang ayuda sau nung Covid19? Mio dai wag nio na ipagtanggol ung gaya nian kasi di lang ikaw ang tao sa pinas para di malaman ang totoo..kwawa talga pinas kapg si lenlen nanalo..</v>
      </c>
      <c r="F2122" s="1"/>
      <c r="G2122" s="1" t="str">
        <f>IFERROR(__xludf.DUMMYFUNCTION("""COMPUTED_VALUE"""),"3 mos")</f>
        <v>3 mos</v>
      </c>
      <c r="H2122" s="1" t="str">
        <f>IFERROR(__xludf.DUMMYFUNCTION("""COMPUTED_VALUE"""),"reply")</f>
        <v>reply</v>
      </c>
      <c r="I2122" s="2" t="str">
        <f>IFERROR(__xludf.DUMMYFUNCTION("""COMPUTED_VALUE"""),"https://www.facebook.com/rapplerdotcom/photos/a.317154781638645/5594954703858600/")</f>
        <v>https://www.facebook.com/rapplerdotcom/photos/a.317154781638645/5594954703858600/</v>
      </c>
      <c r="J2122" s="1" t="str">
        <f>IFERROR(__xludf.DUMMYFUNCTION("""COMPUTED_VALUE"""),"2022-07-04T15:48:35.884Z")</f>
        <v>2022-07-04T15:48:35.884Z</v>
      </c>
      <c r="K2122" s="1"/>
    </row>
    <row r="2123">
      <c r="A2123" s="2" t="str">
        <f>IFERROR(__xludf.DUMMYFUNCTION("""COMPUTED_VALUE"""),"https://www.facebook.com/epal.aco.56")</f>
        <v>https://www.facebook.com/epal.aco.56</v>
      </c>
      <c r="B2123" s="1" t="str">
        <f>IFERROR(__xludf.DUMMYFUNCTION("""COMPUTED_VALUE"""),"Epal Aco")</f>
        <v>Epal Aco</v>
      </c>
      <c r="C2123" s="1" t="str">
        <f>IFERROR(__xludf.DUMMYFUNCTION("""COMPUTED_VALUE"""),"Epal")</f>
        <v>Epal</v>
      </c>
      <c r="D2123" s="1" t="str">
        <f>IFERROR(__xludf.DUMMYFUNCTION("""COMPUTED_VALUE"""),"Aco")</f>
        <v>Aco</v>
      </c>
      <c r="E2123" s="1" t="str">
        <f>IFERROR(__xludf.DUMMYFUNCTION("""COMPUTED_VALUE"""),"Re Chee Jhon Carlos hahahahahahha overpricing ang projects na ginawa nila noh.")</f>
        <v>Re Chee Jhon Carlos hahahahahahha overpricing ang projects na ginawa nila noh.</v>
      </c>
      <c r="F2123" s="1"/>
      <c r="G2123" s="1" t="str">
        <f>IFERROR(__xludf.DUMMYFUNCTION("""COMPUTED_VALUE"""),"3 mos")</f>
        <v>3 mos</v>
      </c>
      <c r="H2123" s="1" t="str">
        <f>IFERROR(__xludf.DUMMYFUNCTION("""COMPUTED_VALUE"""),"reply")</f>
        <v>reply</v>
      </c>
      <c r="I2123" s="2" t="str">
        <f>IFERROR(__xludf.DUMMYFUNCTION("""COMPUTED_VALUE"""),"https://www.facebook.com/rapplerdotcom/photos/a.317154781638645/5594954703858600/")</f>
        <v>https://www.facebook.com/rapplerdotcom/photos/a.317154781638645/5594954703858600/</v>
      </c>
      <c r="J2123" s="1" t="str">
        <f>IFERROR(__xludf.DUMMYFUNCTION("""COMPUTED_VALUE"""),"2022-07-04T15:48:35.884Z")</f>
        <v>2022-07-04T15:48:35.884Z</v>
      </c>
      <c r="K2123" s="1"/>
    </row>
    <row r="2124">
      <c r="A2124" s="2" t="str">
        <f>IFERROR(__xludf.DUMMYFUNCTION("""COMPUTED_VALUE"""),"https://www.facebook.com/loreta.ardaban.3")</f>
        <v>https://www.facebook.com/loreta.ardaban.3</v>
      </c>
      <c r="B2124" s="1" t="str">
        <f>IFERROR(__xludf.DUMMYFUNCTION("""COMPUTED_VALUE"""),"Loreta Ardaban")</f>
        <v>Loreta Ardaban</v>
      </c>
      <c r="C2124" s="1" t="str">
        <f>IFERROR(__xludf.DUMMYFUNCTION("""COMPUTED_VALUE"""),"Loreta")</f>
        <v>Loreta</v>
      </c>
      <c r="D2124" s="1" t="str">
        <f>IFERROR(__xludf.DUMMYFUNCTION("""COMPUTED_VALUE"""),"Ardaban")</f>
        <v>Ardaban</v>
      </c>
      <c r="E2124" s="1" t="str">
        <f>IFERROR(__xludf.DUMMYFUNCTION("""COMPUTED_VALUE"""),"Driht Edrevetnom III Pagtatawanan lang kayo ng yolanda victims . Dahil sa Yolanda wala ng mahirap ngayon sa Leyte..")</f>
        <v>Driht Edrevetnom III Pagtatawanan lang kayo ng yolanda victims . Dahil sa Yolanda wala ng mahirap ngayon sa Leyte..</v>
      </c>
      <c r="F2124" s="1">
        <f>IFERROR(__xludf.DUMMYFUNCTION("""COMPUTED_VALUE"""),1.0)</f>
        <v>1</v>
      </c>
      <c r="G2124" s="1" t="str">
        <f>IFERROR(__xludf.DUMMYFUNCTION("""COMPUTED_VALUE"""),"3 mos")</f>
        <v>3 mos</v>
      </c>
      <c r="H2124" s="1" t="str">
        <f>IFERROR(__xludf.DUMMYFUNCTION("""COMPUTED_VALUE"""),"reply")</f>
        <v>reply</v>
      </c>
      <c r="I2124" s="2" t="str">
        <f>IFERROR(__xludf.DUMMYFUNCTION("""COMPUTED_VALUE"""),"https://www.facebook.com/rapplerdotcom/photos/a.317154781638645/5594954703858600/")</f>
        <v>https://www.facebook.com/rapplerdotcom/photos/a.317154781638645/5594954703858600/</v>
      </c>
      <c r="J2124" s="1" t="str">
        <f>IFERROR(__xludf.DUMMYFUNCTION("""COMPUTED_VALUE"""),"2022-07-04T15:48:35.884Z")</f>
        <v>2022-07-04T15:48:35.884Z</v>
      </c>
      <c r="K2124" s="1"/>
    </row>
    <row r="2125">
      <c r="A2125" s="2" t="str">
        <f>IFERROR(__xludf.DUMMYFUNCTION("""COMPUTED_VALUE"""),"https://www.facebook.com/loreta.ardaban.3")</f>
        <v>https://www.facebook.com/loreta.ardaban.3</v>
      </c>
      <c r="B2125" s="1" t="str">
        <f>IFERROR(__xludf.DUMMYFUNCTION("""COMPUTED_VALUE"""),"Loreta Ardaban")</f>
        <v>Loreta Ardaban</v>
      </c>
      <c r="C2125" s="1" t="str">
        <f>IFERROR(__xludf.DUMMYFUNCTION("""COMPUTED_VALUE"""),"Loreta")</f>
        <v>Loreta</v>
      </c>
      <c r="D2125" s="1" t="str">
        <f>IFERROR(__xludf.DUMMYFUNCTION("""COMPUTED_VALUE"""),"Ardaban")</f>
        <v>Ardaban</v>
      </c>
      <c r="E2125" s="1" t="str">
        <f>IFERROR(__xludf.DUMMYFUNCTION("""COMPUTED_VALUE"""),"Driht Edrevetnom III 🤣🤣🤣🤣Di wow.ang kawatang ay galit sa kapwa kawatan.Siya nga pala Bakit Di Siya nakulong? Ang dami ng nakulong na may matataas na tungkulin sa Bansa🤭🤭🤭🤭")</f>
        <v>Driht Edrevetnom III 🤣🤣🤣🤣Di wow.ang kawatang ay galit sa kapwa kawatan.Siya nga pala Bakit Di Siya nakulong? Ang dami ng nakulong na may matataas na tungkulin sa Bansa🤭🤭🤭🤭</v>
      </c>
      <c r="F2125" s="1"/>
      <c r="G2125" s="1" t="str">
        <f>IFERROR(__xludf.DUMMYFUNCTION("""COMPUTED_VALUE"""),"3 mos")</f>
        <v>3 mos</v>
      </c>
      <c r="H2125" s="1" t="str">
        <f>IFERROR(__xludf.DUMMYFUNCTION("""COMPUTED_VALUE"""),"reply")</f>
        <v>reply</v>
      </c>
      <c r="I2125" s="2" t="str">
        <f>IFERROR(__xludf.DUMMYFUNCTION("""COMPUTED_VALUE"""),"https://www.facebook.com/rapplerdotcom/photos/a.317154781638645/5594954703858600/")</f>
        <v>https://www.facebook.com/rapplerdotcom/photos/a.317154781638645/5594954703858600/</v>
      </c>
      <c r="J2125" s="1" t="str">
        <f>IFERROR(__xludf.DUMMYFUNCTION("""COMPUTED_VALUE"""),"2022-07-04T15:48:35.884Z")</f>
        <v>2022-07-04T15:48:35.884Z</v>
      </c>
      <c r="K2125" s="1"/>
    </row>
    <row r="2126">
      <c r="A2126" s="2" t="str">
        <f>IFERROR(__xludf.DUMMYFUNCTION("""COMPUTED_VALUE"""),"https://www.facebook.com/divina.chicano")</f>
        <v>https://www.facebook.com/divina.chicano</v>
      </c>
      <c r="B2126" s="1" t="str">
        <f>IFERROR(__xludf.DUMMYFUNCTION("""COMPUTED_VALUE"""),"Divine Seraspe Chicano")</f>
        <v>Divine Seraspe Chicano</v>
      </c>
      <c r="C2126" s="1" t="str">
        <f>IFERROR(__xludf.DUMMYFUNCTION("""COMPUTED_VALUE"""),"Divine")</f>
        <v>Divine</v>
      </c>
      <c r="D2126" s="1" t="str">
        <f>IFERROR(__xludf.DUMMYFUNCTION("""COMPUTED_VALUE"""),"Seraspe Chicano")</f>
        <v>Seraspe Chicano</v>
      </c>
      <c r="E2126" s="1" t="str">
        <f>IFERROR(__xludf.DUMMYFUNCTION("""COMPUTED_VALUE"""),"Bilib ako sayo Secretary Mar Roxas kasi kahit may kapamilya at kadugo sa kabila ay pinili mo ang di kadugo. Bayan muna bago ang lahat! Maraming salamat sa pagmamahal sa ating Inang bayan ang Pilipinas!")</f>
        <v>Bilib ako sayo Secretary Mar Roxas kasi kahit may kapamilya at kadugo sa kabila ay pinili mo ang di kadugo. Bayan muna bago ang lahat! Maraming salamat sa pagmamahal sa ating Inang bayan ang Pilipinas!</v>
      </c>
      <c r="F2126" s="1">
        <f>IFERROR(__xludf.DUMMYFUNCTION("""COMPUTED_VALUE"""),17.0)</f>
        <v>17</v>
      </c>
      <c r="G2126" s="1" t="str">
        <f>IFERROR(__xludf.DUMMYFUNCTION("""COMPUTED_VALUE"""),"3 mos")</f>
        <v>3 mos</v>
      </c>
      <c r="H2126" s="1" t="str">
        <f>IFERROR(__xludf.DUMMYFUNCTION("""COMPUTED_VALUE"""),"comment")</f>
        <v>comment</v>
      </c>
      <c r="I2126" s="2" t="str">
        <f>IFERROR(__xludf.DUMMYFUNCTION("""COMPUTED_VALUE"""),"https://www.facebook.com/rapplerdotcom/photos/a.317154781638645/5594954703858600/")</f>
        <v>https://www.facebook.com/rapplerdotcom/photos/a.317154781638645/5594954703858600/</v>
      </c>
      <c r="J2126" s="1" t="str">
        <f>IFERROR(__xludf.DUMMYFUNCTION("""COMPUTED_VALUE"""),"2022-07-04T15:48:35.884Z")</f>
        <v>2022-07-04T15:48:35.884Z</v>
      </c>
      <c r="K2126" s="1"/>
    </row>
    <row r="2127">
      <c r="A2127" s="2" t="str">
        <f>IFERROR(__xludf.DUMMYFUNCTION("""COMPUTED_VALUE"""),"https://www.facebook.com/danilo.lansani.5")</f>
        <v>https://www.facebook.com/danilo.lansani.5</v>
      </c>
      <c r="B2127" s="1" t="str">
        <f>IFERROR(__xludf.DUMMYFUNCTION("""COMPUTED_VALUE"""),"Danilo Lansani")</f>
        <v>Danilo Lansani</v>
      </c>
      <c r="C2127" s="1" t="str">
        <f>IFERROR(__xludf.DUMMYFUNCTION("""COMPUTED_VALUE"""),"Danilo")</f>
        <v>Danilo</v>
      </c>
      <c r="D2127" s="1" t="str">
        <f>IFERROR(__xludf.DUMMYFUNCTION("""COMPUTED_VALUE"""),"Lansani")</f>
        <v>Lansani</v>
      </c>
      <c r="E2127" s="1" t="str">
        <f>IFERROR(__xludf.DUMMYFUNCTION("""COMPUTED_VALUE"""),"Divine Seraspe Chicano lul lumutang pa ang walang silbi")</f>
        <v>Divine Seraspe Chicano lul lumutang pa ang walang silbi</v>
      </c>
      <c r="F2127" s="1">
        <f>IFERROR(__xludf.DUMMYFUNCTION("""COMPUTED_VALUE"""),1.0)</f>
        <v>1</v>
      </c>
      <c r="G2127" s="1" t="str">
        <f>IFERROR(__xludf.DUMMYFUNCTION("""COMPUTED_VALUE"""),"3 mos")</f>
        <v>3 mos</v>
      </c>
      <c r="H2127" s="1" t="str">
        <f>IFERROR(__xludf.DUMMYFUNCTION("""COMPUTED_VALUE"""),"reply")</f>
        <v>reply</v>
      </c>
      <c r="I2127" s="2" t="str">
        <f>IFERROR(__xludf.DUMMYFUNCTION("""COMPUTED_VALUE"""),"https://www.facebook.com/rapplerdotcom/photos/a.317154781638645/5594954703858600/")</f>
        <v>https://www.facebook.com/rapplerdotcom/photos/a.317154781638645/5594954703858600/</v>
      </c>
      <c r="J2127" s="1" t="str">
        <f>IFERROR(__xludf.DUMMYFUNCTION("""COMPUTED_VALUE"""),"2022-07-04T15:48:35.884Z")</f>
        <v>2022-07-04T15:48:35.884Z</v>
      </c>
      <c r="K2127" s="1"/>
    </row>
    <row r="2128">
      <c r="A2128" s="2" t="str">
        <f>IFERROR(__xludf.DUMMYFUNCTION("""COMPUTED_VALUE"""),"https://www.facebook.com/drixsaydie")</f>
        <v>https://www.facebook.com/drixsaydie</v>
      </c>
      <c r="B2128" s="1" t="str">
        <f>IFERROR(__xludf.DUMMYFUNCTION("""COMPUTED_VALUE"""),"Armo Agape")</f>
        <v>Armo Agape</v>
      </c>
      <c r="C2128" s="1" t="str">
        <f>IFERROR(__xludf.DUMMYFUNCTION("""COMPUTED_VALUE"""),"Armo")</f>
        <v>Armo</v>
      </c>
      <c r="D2128" s="1" t="str">
        <f>IFERROR(__xludf.DUMMYFUNCTION("""COMPUTED_VALUE"""),"Agape")</f>
        <v>Agape</v>
      </c>
      <c r="E2128" s="1" t="str">
        <f>IFERROR(__xludf.DUMMYFUNCTION("""COMPUTED_VALUE"""),"Danilo Lansani very obvious yung gnyang mentalidad!!😬🥴😂")</f>
        <v>Danilo Lansani very obvious yung gnyang mentalidad!!😬🥴😂</v>
      </c>
      <c r="F2128" s="1"/>
      <c r="G2128" s="1" t="str">
        <f>IFERROR(__xludf.DUMMYFUNCTION("""COMPUTED_VALUE"""),"3 mos")</f>
        <v>3 mos</v>
      </c>
      <c r="H2128" s="1" t="str">
        <f>IFERROR(__xludf.DUMMYFUNCTION("""COMPUTED_VALUE"""),"reply")</f>
        <v>reply</v>
      </c>
      <c r="I2128" s="2" t="str">
        <f>IFERROR(__xludf.DUMMYFUNCTION("""COMPUTED_VALUE"""),"https://www.facebook.com/rapplerdotcom/photos/a.317154781638645/5594954703858600/")</f>
        <v>https://www.facebook.com/rapplerdotcom/photos/a.317154781638645/5594954703858600/</v>
      </c>
      <c r="J2128" s="1" t="str">
        <f>IFERROR(__xludf.DUMMYFUNCTION("""COMPUTED_VALUE"""),"2022-07-04T15:48:35.884Z")</f>
        <v>2022-07-04T15:48:35.884Z</v>
      </c>
      <c r="K2128" s="1"/>
    </row>
    <row r="2129">
      <c r="A2129" s="2" t="str">
        <f>IFERROR(__xludf.DUMMYFUNCTION("""COMPUTED_VALUE"""),"https://www.facebook.com/danilo.lansani.5")</f>
        <v>https://www.facebook.com/danilo.lansani.5</v>
      </c>
      <c r="B2129" s="1" t="str">
        <f>IFERROR(__xludf.DUMMYFUNCTION("""COMPUTED_VALUE"""),"Danilo Lansani")</f>
        <v>Danilo Lansani</v>
      </c>
      <c r="C2129" s="1" t="str">
        <f>IFERROR(__xludf.DUMMYFUNCTION("""COMPUTED_VALUE"""),"Danilo")</f>
        <v>Danilo</v>
      </c>
      <c r="D2129" s="1" t="str">
        <f>IFERROR(__xludf.DUMMYFUNCTION("""COMPUTED_VALUE"""),"Lansani")</f>
        <v>Lansani</v>
      </c>
      <c r="E2129" s="1" t="str">
        <f>IFERROR(__xludf.DUMMYFUNCTION("""COMPUTED_VALUE"""),"Armo Agape billioner sa YULANDA🤣")</f>
        <v>Armo Agape billioner sa YULANDA🤣</v>
      </c>
      <c r="F2129" s="1"/>
      <c r="G2129" s="1" t="str">
        <f>IFERROR(__xludf.DUMMYFUNCTION("""COMPUTED_VALUE"""),"3 mos")</f>
        <v>3 mos</v>
      </c>
      <c r="H2129" s="1" t="str">
        <f>IFERROR(__xludf.DUMMYFUNCTION("""COMPUTED_VALUE"""),"reply")</f>
        <v>reply</v>
      </c>
      <c r="I2129" s="2" t="str">
        <f>IFERROR(__xludf.DUMMYFUNCTION("""COMPUTED_VALUE"""),"https://www.facebook.com/rapplerdotcom/photos/a.317154781638645/5594954703858600/")</f>
        <v>https://www.facebook.com/rapplerdotcom/photos/a.317154781638645/5594954703858600/</v>
      </c>
      <c r="J2129" s="1" t="str">
        <f>IFERROR(__xludf.DUMMYFUNCTION("""COMPUTED_VALUE"""),"2022-07-04T15:48:35.884Z")</f>
        <v>2022-07-04T15:48:35.884Z</v>
      </c>
      <c r="K2129" s="1"/>
    </row>
    <row r="2130">
      <c r="A2130" s="2" t="str">
        <f>IFERROR(__xludf.DUMMYFUNCTION("""COMPUTED_VALUE"""),"https://www.facebook.com/divina.chicano")</f>
        <v>https://www.facebook.com/divina.chicano</v>
      </c>
      <c r="B2130" s="1" t="str">
        <f>IFERROR(__xludf.DUMMYFUNCTION("""COMPUTED_VALUE"""),"Divine Seraspe Chicano")</f>
        <v>Divine Seraspe Chicano</v>
      </c>
      <c r="C2130" s="1" t="str">
        <f>IFERROR(__xludf.DUMMYFUNCTION("""COMPUTED_VALUE"""),"Divine")</f>
        <v>Divine</v>
      </c>
      <c r="D2130" s="1" t="str">
        <f>IFERROR(__xludf.DUMMYFUNCTION("""COMPUTED_VALUE"""),"Seraspe Chicano")</f>
        <v>Seraspe Chicano</v>
      </c>
      <c r="E2130" s="1" t="str">
        <f>IFERROR(__xludf.DUMMYFUNCTION("""COMPUTED_VALUE"""),"Danilo Lansani si romualdez kamo ang billionaire! 😅 hanapan mo sya ng liquidation ng 5bilyon binigay ni Mar Roxas sa kanya!")</f>
        <v>Danilo Lansani si romualdez kamo ang billionaire! 😅 hanapan mo sya ng liquidation ng 5bilyon binigay ni Mar Roxas sa kanya!</v>
      </c>
      <c r="F2130" s="1"/>
      <c r="G2130" s="1" t="str">
        <f>IFERROR(__xludf.DUMMYFUNCTION("""COMPUTED_VALUE"""),"3 mos")</f>
        <v>3 mos</v>
      </c>
      <c r="H2130" s="1" t="str">
        <f>IFERROR(__xludf.DUMMYFUNCTION("""COMPUTED_VALUE"""),"reply")</f>
        <v>reply</v>
      </c>
      <c r="I2130" s="2" t="str">
        <f>IFERROR(__xludf.DUMMYFUNCTION("""COMPUTED_VALUE"""),"https://www.facebook.com/rapplerdotcom/photos/a.317154781638645/5594954703858600/")</f>
        <v>https://www.facebook.com/rapplerdotcom/photos/a.317154781638645/5594954703858600/</v>
      </c>
      <c r="J2130" s="1" t="str">
        <f>IFERROR(__xludf.DUMMYFUNCTION("""COMPUTED_VALUE"""),"2022-07-04T15:48:35.884Z")</f>
        <v>2022-07-04T15:48:35.884Z</v>
      </c>
      <c r="K2130" s="1"/>
    </row>
    <row r="2131">
      <c r="A2131" s="2" t="str">
        <f>IFERROR(__xludf.DUMMYFUNCTION("""COMPUTED_VALUE"""),"https://www.facebook.com/drixsaydie")</f>
        <v>https://www.facebook.com/drixsaydie</v>
      </c>
      <c r="B2131" s="1" t="str">
        <f>IFERROR(__xludf.DUMMYFUNCTION("""COMPUTED_VALUE"""),"Armo Agape")</f>
        <v>Armo Agape</v>
      </c>
      <c r="C2131" s="1" t="str">
        <f>IFERROR(__xludf.DUMMYFUNCTION("""COMPUTED_VALUE"""),"Armo")</f>
        <v>Armo</v>
      </c>
      <c r="D2131" s="1" t="str">
        <f>IFERROR(__xludf.DUMMYFUNCTION("""COMPUTED_VALUE"""),"Agape")</f>
        <v>Agape</v>
      </c>
      <c r="E2131" s="1" t="str">
        <f>IFERROR(__xludf.DUMMYFUNCTION("""COMPUTED_VALUE"""),"Danilo LansaniDanilo  dinaig mo pa coa ombudsman doF dBm !😂🤣😁 Pati MGA tga eastern Visayas Mahihiya sayo ..panalo nga si Mar dun last election!!!🤣😂😂😂😂")</f>
        <v>Danilo LansaniDanilo  dinaig mo pa coa ombudsman doF dBm !😂🤣😁 Pati MGA tga eastern Visayas Mahihiya sayo ..panalo nga si Mar dun last election!!!🤣😂😂😂😂</v>
      </c>
      <c r="F2131" s="1">
        <f>IFERROR(__xludf.DUMMYFUNCTION("""COMPUTED_VALUE"""),1.0)</f>
        <v>1</v>
      </c>
      <c r="G2131" s="1" t="str">
        <f>IFERROR(__xludf.DUMMYFUNCTION("""COMPUTED_VALUE"""),"3 mos")</f>
        <v>3 mos</v>
      </c>
      <c r="H2131" s="1" t="str">
        <f>IFERROR(__xludf.DUMMYFUNCTION("""COMPUTED_VALUE"""),"reply")</f>
        <v>reply</v>
      </c>
      <c r="I2131" s="2" t="str">
        <f>IFERROR(__xludf.DUMMYFUNCTION("""COMPUTED_VALUE"""),"https://www.facebook.com/rapplerdotcom/photos/a.317154781638645/5594954703858600/")</f>
        <v>https://www.facebook.com/rapplerdotcom/photos/a.317154781638645/5594954703858600/</v>
      </c>
      <c r="J2131" s="1" t="str">
        <f>IFERROR(__xludf.DUMMYFUNCTION("""COMPUTED_VALUE"""),"2022-07-04T15:48:35.884Z")</f>
        <v>2022-07-04T15:48:35.884Z</v>
      </c>
      <c r="K2131" s="1"/>
    </row>
    <row r="2132">
      <c r="A2132" s="2" t="str">
        <f>IFERROR(__xludf.DUMMYFUNCTION("""COMPUTED_VALUE"""),"https://www.facebook.com/divina.chicano")</f>
        <v>https://www.facebook.com/divina.chicano</v>
      </c>
      <c r="B2132" s="1" t="str">
        <f>IFERROR(__xludf.DUMMYFUNCTION("""COMPUTED_VALUE"""),"Divine Seraspe Chicano")</f>
        <v>Divine Seraspe Chicano</v>
      </c>
      <c r="C2132" s="1" t="str">
        <f>IFERROR(__xludf.DUMMYFUNCTION("""COMPUTED_VALUE"""),"Divine")</f>
        <v>Divine</v>
      </c>
      <c r="D2132" s="1" t="str">
        <f>IFERROR(__xludf.DUMMYFUNCTION("""COMPUTED_VALUE"""),"Seraspe Chicano")</f>
        <v>Seraspe Chicano</v>
      </c>
      <c r="E2132" s="1" t="str">
        <f>IFERROR(__xludf.DUMMYFUNCTION("""COMPUTED_VALUE"""),"Armo Agape mahina signal sa kanila di ma open ang COA para makita ang liquidation ng YOlanda funds.. pati spelling niya mali.. hay!.. Danilo , hanapin mo ang 5 bilyon liquidation ng mga Romualdez kung nasaan na ang Yolanda funds?")</f>
        <v>Armo Agape mahina signal sa kanila di ma open ang COA para makita ang liquidation ng YOlanda funds.. pati spelling niya mali.. hay!.. Danilo , hanapin mo ang 5 bilyon liquidation ng mga Romualdez kung nasaan na ang Yolanda funds?</v>
      </c>
      <c r="F2132" s="1"/>
      <c r="G2132" s="1" t="str">
        <f>IFERROR(__xludf.DUMMYFUNCTION("""COMPUTED_VALUE"""),"3 mos")</f>
        <v>3 mos</v>
      </c>
      <c r="H2132" s="1" t="str">
        <f>IFERROR(__xludf.DUMMYFUNCTION("""COMPUTED_VALUE"""),"reply")</f>
        <v>reply</v>
      </c>
      <c r="I2132" s="2" t="str">
        <f>IFERROR(__xludf.DUMMYFUNCTION("""COMPUTED_VALUE"""),"https://www.facebook.com/rapplerdotcom/photos/a.317154781638645/5594954703858600/")</f>
        <v>https://www.facebook.com/rapplerdotcom/photos/a.317154781638645/5594954703858600/</v>
      </c>
      <c r="J2132" s="1" t="str">
        <f>IFERROR(__xludf.DUMMYFUNCTION("""COMPUTED_VALUE"""),"2022-07-04T15:48:35.884Z")</f>
        <v>2022-07-04T15:48:35.884Z</v>
      </c>
      <c r="K2132" s="1"/>
    </row>
    <row r="2133">
      <c r="A2133" s="2" t="str">
        <f>IFERROR(__xludf.DUMMYFUNCTION("""COMPUTED_VALUE"""),"https://www.facebook.com/ping.deluna.50")</f>
        <v>https://www.facebook.com/ping.deluna.50</v>
      </c>
      <c r="B2133" s="1" t="str">
        <f>IFERROR(__xludf.DUMMYFUNCTION("""COMPUTED_VALUE"""),"Ping Santos De Luna")</f>
        <v>Ping Santos De Luna</v>
      </c>
      <c r="C2133" s="1" t="str">
        <f>IFERROR(__xludf.DUMMYFUNCTION("""COMPUTED_VALUE"""),"Ping")</f>
        <v>Ping</v>
      </c>
      <c r="D2133" s="1" t="str">
        <f>IFERROR(__xludf.DUMMYFUNCTION("""COMPUTED_VALUE"""),"Santos De Luna")</f>
        <v>Santos De Luna</v>
      </c>
      <c r="E2133" s="1" t="str">
        <f>IFERROR(__xludf.DUMMYFUNCTION("""COMPUTED_VALUE"""),"Divine Seraspe Chicano bka may mkuha ulit s kaban kaya lumabas n...")</f>
        <v>Divine Seraspe Chicano bka may mkuha ulit s kaban kaya lumabas n...</v>
      </c>
      <c r="F2133" s="1">
        <f>IFERROR(__xludf.DUMMYFUNCTION("""COMPUTED_VALUE"""),1.0)</f>
        <v>1</v>
      </c>
      <c r="G2133" s="1" t="str">
        <f>IFERROR(__xludf.DUMMYFUNCTION("""COMPUTED_VALUE"""),"3 mos")</f>
        <v>3 mos</v>
      </c>
      <c r="H2133" s="1" t="str">
        <f>IFERROR(__xludf.DUMMYFUNCTION("""COMPUTED_VALUE"""),"reply")</f>
        <v>reply</v>
      </c>
      <c r="I2133" s="2" t="str">
        <f>IFERROR(__xludf.DUMMYFUNCTION("""COMPUTED_VALUE"""),"https://www.facebook.com/rapplerdotcom/photos/a.317154781638645/5594954703858600/")</f>
        <v>https://www.facebook.com/rapplerdotcom/photos/a.317154781638645/5594954703858600/</v>
      </c>
      <c r="J2133" s="1" t="str">
        <f>IFERROR(__xludf.DUMMYFUNCTION("""COMPUTED_VALUE"""),"2022-07-04T15:48:35.884Z")</f>
        <v>2022-07-04T15:48:35.884Z</v>
      </c>
      <c r="K2133" s="1"/>
    </row>
    <row r="2134">
      <c r="A2134" s="2" t="str">
        <f>IFERROR(__xludf.DUMMYFUNCTION("""COMPUTED_VALUE"""),"https://www.facebook.com/CornerPrinter.ph")</f>
        <v>https://www.facebook.com/CornerPrinter.ph</v>
      </c>
      <c r="B2134" s="1" t="str">
        <f>IFERROR(__xludf.DUMMYFUNCTION("""COMPUTED_VALUE"""),"Corner Print Services")</f>
        <v>Corner Print Services</v>
      </c>
      <c r="C2134" s="1" t="str">
        <f>IFERROR(__xludf.DUMMYFUNCTION("""COMPUTED_VALUE"""),"Corner")</f>
        <v>Corner</v>
      </c>
      <c r="D2134" s="1" t="str">
        <f>IFERROR(__xludf.DUMMYFUNCTION("""COMPUTED_VALUE"""),"Print Services")</f>
        <v>Print Services</v>
      </c>
      <c r="E2134" s="1" t="str">
        <f>IFERROR(__xludf.DUMMYFUNCTION("""COMPUTED_VALUE"""),"Danilo Lansani hnd ka updated ? research")</f>
        <v>Danilo Lansani hnd ka updated ? research</v>
      </c>
      <c r="F2134" s="1"/>
      <c r="G2134" s="1" t="str">
        <f>IFERROR(__xludf.DUMMYFUNCTION("""COMPUTED_VALUE"""),"3 mos")</f>
        <v>3 mos</v>
      </c>
      <c r="H2134" s="1" t="str">
        <f>IFERROR(__xludf.DUMMYFUNCTION("""COMPUTED_VALUE"""),"reply")</f>
        <v>reply</v>
      </c>
      <c r="I2134" s="2" t="str">
        <f>IFERROR(__xludf.DUMMYFUNCTION("""COMPUTED_VALUE"""),"https://www.facebook.com/rapplerdotcom/photos/a.317154781638645/5594954703858600/")</f>
        <v>https://www.facebook.com/rapplerdotcom/photos/a.317154781638645/5594954703858600/</v>
      </c>
      <c r="J2134" s="1" t="str">
        <f>IFERROR(__xludf.DUMMYFUNCTION("""COMPUTED_VALUE"""),"2022-07-04T15:48:35.884Z")</f>
        <v>2022-07-04T15:48:35.884Z</v>
      </c>
      <c r="K2134" s="1"/>
    </row>
    <row r="2135">
      <c r="A2135" s="2" t="str">
        <f>IFERROR(__xludf.DUMMYFUNCTION("""COMPUTED_VALUE"""),"https://www.facebook.com/cayetano.cabello.3")</f>
        <v>https://www.facebook.com/cayetano.cabello.3</v>
      </c>
      <c r="B2135" s="1" t="str">
        <f>IFERROR(__xludf.DUMMYFUNCTION("""COMPUTED_VALUE"""),"Cayetano Cabello")</f>
        <v>Cayetano Cabello</v>
      </c>
      <c r="C2135" s="1" t="str">
        <f>IFERROR(__xludf.DUMMYFUNCTION("""COMPUTED_VALUE"""),"Cayetano")</f>
        <v>Cayetano</v>
      </c>
      <c r="D2135" s="1" t="str">
        <f>IFERROR(__xludf.DUMMYFUNCTION("""COMPUTED_VALUE"""),"Cabello")</f>
        <v>Cabello</v>
      </c>
      <c r="E2135" s="1" t="str">
        <f>IFERROR(__xludf.DUMMYFUNCTION("""COMPUTED_VALUE"""),"Divine Seraspe Chicano asussss.. lumabas Yan kasi gusto makabalik sa pwesto..")</f>
        <v>Divine Seraspe Chicano asussss.. lumabas Yan kasi gusto makabalik sa pwesto..</v>
      </c>
      <c r="F2135" s="1"/>
      <c r="G2135" s="1" t="str">
        <f>IFERROR(__xludf.DUMMYFUNCTION("""COMPUTED_VALUE"""),"3 mos")</f>
        <v>3 mos</v>
      </c>
      <c r="H2135" s="1" t="str">
        <f>IFERROR(__xludf.DUMMYFUNCTION("""COMPUTED_VALUE"""),"reply")</f>
        <v>reply</v>
      </c>
      <c r="I2135" s="2" t="str">
        <f>IFERROR(__xludf.DUMMYFUNCTION("""COMPUTED_VALUE"""),"https://www.facebook.com/rapplerdotcom/photos/a.317154781638645/5594954703858600/")</f>
        <v>https://www.facebook.com/rapplerdotcom/photos/a.317154781638645/5594954703858600/</v>
      </c>
      <c r="J2135" s="1" t="str">
        <f>IFERROR(__xludf.DUMMYFUNCTION("""COMPUTED_VALUE"""),"2022-07-04T15:48:35.884Z")</f>
        <v>2022-07-04T15:48:35.884Z</v>
      </c>
      <c r="K2135" s="1"/>
    </row>
    <row r="2136">
      <c r="A2136" s="2" t="str">
        <f>IFERROR(__xludf.DUMMYFUNCTION("""COMPUTED_VALUE"""),"https://www.facebook.com/razelett.sape")</f>
        <v>https://www.facebook.com/razelett.sape</v>
      </c>
      <c r="B2136" s="1" t="str">
        <f>IFERROR(__xludf.DUMMYFUNCTION("""COMPUTED_VALUE"""),"Letty Sape Ciubal")</f>
        <v>Letty Sape Ciubal</v>
      </c>
      <c r="C2136" s="1" t="str">
        <f>IFERROR(__xludf.DUMMYFUNCTION("""COMPUTED_VALUE"""),"Letty")</f>
        <v>Letty</v>
      </c>
      <c r="D2136" s="1" t="str">
        <f>IFERROR(__xludf.DUMMYFUNCTION("""COMPUTED_VALUE"""),"Sape Ciubal")</f>
        <v>Sape Ciubal</v>
      </c>
      <c r="E2136" s="1" t="str">
        <f>IFERROR(__xludf.DUMMYFUNCTION("""COMPUTED_VALUE"""),"Thank you senator.Mar I vote for you last 2016 for president")</f>
        <v>Thank you senator.Mar I vote for you last 2016 for president</v>
      </c>
      <c r="F2136" s="1">
        <f>IFERROR(__xludf.DUMMYFUNCTION("""COMPUTED_VALUE"""),37.0)</f>
        <v>37</v>
      </c>
      <c r="G2136" s="1" t="str">
        <f>IFERROR(__xludf.DUMMYFUNCTION("""COMPUTED_VALUE"""),"3 mos")</f>
        <v>3 mos</v>
      </c>
      <c r="H2136" s="1" t="str">
        <f>IFERROR(__xludf.DUMMYFUNCTION("""COMPUTED_VALUE"""),"comment")</f>
        <v>comment</v>
      </c>
      <c r="I2136" s="2" t="str">
        <f>IFERROR(__xludf.DUMMYFUNCTION("""COMPUTED_VALUE"""),"https://www.facebook.com/rapplerdotcom/photos/a.317154781638645/5594954703858600/")</f>
        <v>https://www.facebook.com/rapplerdotcom/photos/a.317154781638645/5594954703858600/</v>
      </c>
      <c r="J2136" s="1" t="str">
        <f>IFERROR(__xludf.DUMMYFUNCTION("""COMPUTED_VALUE"""),"2022-07-04T15:48:35.884Z")</f>
        <v>2022-07-04T15:48:35.884Z</v>
      </c>
      <c r="K2136" s="1"/>
    </row>
    <row r="2137">
      <c r="A2137" s="2" t="str">
        <f>IFERROR(__xludf.DUMMYFUNCTION("""COMPUTED_VALUE"""),"https://www.facebook.com/epal.aco.56")</f>
        <v>https://www.facebook.com/epal.aco.56</v>
      </c>
      <c r="B2137" s="1" t="str">
        <f>IFERROR(__xludf.DUMMYFUNCTION("""COMPUTED_VALUE"""),"Epal Aco")</f>
        <v>Epal Aco</v>
      </c>
      <c r="C2137" s="1" t="str">
        <f>IFERROR(__xludf.DUMMYFUNCTION("""COMPUTED_VALUE"""),"Epal")</f>
        <v>Epal</v>
      </c>
      <c r="D2137" s="1" t="str">
        <f>IFERROR(__xludf.DUMMYFUNCTION("""COMPUTED_VALUE"""),"Aco")</f>
        <v>Aco</v>
      </c>
      <c r="E2137" s="1" t="str">
        <f>IFERROR(__xludf.DUMMYFUNCTION("""COMPUTED_VALUE"""),"Letty Sape Ciubal hahaha di na ko magtaka kung ang boto mo ay para kay lenlen. Kasi ung mga tiwaling tao ang sinusuporthan mo hahahaa..")</f>
        <v>Letty Sape Ciubal hahaha di na ko magtaka kung ang boto mo ay para kay lenlen. Kasi ung mga tiwaling tao ang sinusuporthan mo hahahaa..</v>
      </c>
      <c r="F2137" s="1"/>
      <c r="G2137" s="1" t="str">
        <f>IFERROR(__xludf.DUMMYFUNCTION("""COMPUTED_VALUE"""),"3 mos")</f>
        <v>3 mos</v>
      </c>
      <c r="H2137" s="1" t="str">
        <f>IFERROR(__xludf.DUMMYFUNCTION("""COMPUTED_VALUE"""),"reply")</f>
        <v>reply</v>
      </c>
      <c r="I2137" s="2" t="str">
        <f>IFERROR(__xludf.DUMMYFUNCTION("""COMPUTED_VALUE"""),"https://www.facebook.com/rapplerdotcom/photos/a.317154781638645/5594954703858600/")</f>
        <v>https://www.facebook.com/rapplerdotcom/photos/a.317154781638645/5594954703858600/</v>
      </c>
      <c r="J2137" s="1" t="str">
        <f>IFERROR(__xludf.DUMMYFUNCTION("""COMPUTED_VALUE"""),"2022-07-04T15:48:35.884Z")</f>
        <v>2022-07-04T15:48:35.884Z</v>
      </c>
      <c r="K2137" s="1"/>
    </row>
    <row r="2138">
      <c r="A2138" s="2" t="str">
        <f>IFERROR(__xludf.DUMMYFUNCTION("""COMPUTED_VALUE"""),"https://www.facebook.com/rome18erlano")</f>
        <v>https://www.facebook.com/rome18erlano</v>
      </c>
      <c r="B2138" s="1" t="str">
        <f>IFERROR(__xludf.DUMMYFUNCTION("""COMPUTED_VALUE"""),"Romeo Galarosa Erlano")</f>
        <v>Romeo Galarosa Erlano</v>
      </c>
      <c r="C2138" s="1" t="str">
        <f>IFERROR(__xludf.DUMMYFUNCTION("""COMPUTED_VALUE"""),"Romeo")</f>
        <v>Romeo</v>
      </c>
      <c r="D2138" s="1" t="str">
        <f>IFERROR(__xludf.DUMMYFUNCTION("""COMPUTED_VALUE"""),"Galarosa Erlano")</f>
        <v>Galarosa Erlano</v>
      </c>
      <c r="E2138" s="1" t="str">
        <f>IFERROR(__xludf.DUMMYFUNCTION("""COMPUTED_VALUE"""),"Salamat sa pagtulong sa bailiwick nyo Ex Sen.Mar Roxas sa Team RP-Robredo Pangilinan plus their senatorial slate po. God bless 🙏 Philippines and the World I 🌎.")</f>
        <v>Salamat sa pagtulong sa bailiwick nyo Ex Sen.Mar Roxas sa Team RP-Robredo Pangilinan plus their senatorial slate po. God bless 🙏 Philippines and the World I 🌎.</v>
      </c>
      <c r="F2138" s="1">
        <f>IFERROR(__xludf.DUMMYFUNCTION("""COMPUTED_VALUE"""),21.0)</f>
        <v>21</v>
      </c>
      <c r="G2138" s="1" t="str">
        <f>IFERROR(__xludf.DUMMYFUNCTION("""COMPUTED_VALUE"""),"3 mos")</f>
        <v>3 mos</v>
      </c>
      <c r="H2138" s="1" t="str">
        <f>IFERROR(__xludf.DUMMYFUNCTION("""COMPUTED_VALUE"""),"comment")</f>
        <v>comment</v>
      </c>
      <c r="I2138" s="2" t="str">
        <f>IFERROR(__xludf.DUMMYFUNCTION("""COMPUTED_VALUE"""),"https://www.facebook.com/rapplerdotcom/photos/a.317154781638645/5594954703858600/")</f>
        <v>https://www.facebook.com/rapplerdotcom/photos/a.317154781638645/5594954703858600/</v>
      </c>
      <c r="J2138" s="1" t="str">
        <f>IFERROR(__xludf.DUMMYFUNCTION("""COMPUTED_VALUE"""),"2022-07-04T15:48:35.884Z")</f>
        <v>2022-07-04T15:48:35.884Z</v>
      </c>
      <c r="K2138" s="1"/>
    </row>
    <row r="2139">
      <c r="A2139" s="2" t="str">
        <f>IFERROR(__xludf.DUMMYFUNCTION("""COMPUTED_VALUE"""),"https://www.facebook.com/frechy.ebas")</f>
        <v>https://www.facebook.com/frechy.ebas</v>
      </c>
      <c r="B2139" s="1" t="str">
        <f>IFERROR(__xludf.DUMMYFUNCTION("""COMPUTED_VALUE"""),"Frechy Gabriel Ebas")</f>
        <v>Frechy Gabriel Ebas</v>
      </c>
      <c r="C2139" s="1" t="str">
        <f>IFERROR(__xludf.DUMMYFUNCTION("""COMPUTED_VALUE"""),"Frechy")</f>
        <v>Frechy</v>
      </c>
      <c r="D2139" s="1" t="str">
        <f>IFERROR(__xludf.DUMMYFUNCTION("""COMPUTED_VALUE"""),"Gabriel Ebas")</f>
        <v>Gabriel Ebas</v>
      </c>
      <c r="E2139" s="1" t="str">
        <f>IFERROR(__xludf.DUMMYFUNCTION("""COMPUTED_VALUE"""),"Same color,same principle,same governance...and you want to win?")</f>
        <v>Same color,same principle,same governance...and you want to win?</v>
      </c>
      <c r="F2139" s="1">
        <f>IFERROR(__xludf.DUMMYFUNCTION("""COMPUTED_VALUE"""),5.0)</f>
        <v>5</v>
      </c>
      <c r="G2139" s="1" t="str">
        <f>IFERROR(__xludf.DUMMYFUNCTION("""COMPUTED_VALUE"""),"3 mos")</f>
        <v>3 mos</v>
      </c>
      <c r="H2139" s="1" t="str">
        <f>IFERROR(__xludf.DUMMYFUNCTION("""COMPUTED_VALUE"""),"comment")</f>
        <v>comment</v>
      </c>
      <c r="I2139" s="2" t="str">
        <f>IFERROR(__xludf.DUMMYFUNCTION("""COMPUTED_VALUE"""),"https://www.facebook.com/rapplerdotcom/photos/a.317154781638645/5594954703858600/")</f>
        <v>https://www.facebook.com/rapplerdotcom/photos/a.317154781638645/5594954703858600/</v>
      </c>
      <c r="J2139" s="1" t="str">
        <f>IFERROR(__xludf.DUMMYFUNCTION("""COMPUTED_VALUE"""),"2022-07-04T15:48:35.884Z")</f>
        <v>2022-07-04T15:48:35.884Z</v>
      </c>
      <c r="K2139" s="1"/>
    </row>
    <row r="2140">
      <c r="A2140" s="2" t="str">
        <f>IFERROR(__xludf.DUMMYFUNCTION("""COMPUTED_VALUE"""),"https://www.facebook.com/nongbi")</f>
        <v>https://www.facebook.com/nongbi</v>
      </c>
      <c r="B2140" s="1" t="str">
        <f>IFERROR(__xludf.DUMMYFUNCTION("""COMPUTED_VALUE"""),"Andrew Bryan N. Sapigao")</f>
        <v>Andrew Bryan N. Sapigao</v>
      </c>
      <c r="C2140" s="1" t="str">
        <f>IFERROR(__xludf.DUMMYFUNCTION("""COMPUTED_VALUE"""),"Andrew")</f>
        <v>Andrew</v>
      </c>
      <c r="D2140" s="1" t="str">
        <f>IFERROR(__xludf.DUMMYFUNCTION("""COMPUTED_VALUE"""),"Bryan N. Sapigao")</f>
        <v>Bryan N. Sapigao</v>
      </c>
      <c r="E2140" s="1" t="str">
        <f>IFERROR(__xludf.DUMMYFUNCTION("""COMPUTED_VALUE"""),"There is no Big or Small Support. We welcome any form of endorsement. Thank you former DILG Secretary and Trade and Industry Secretary")</f>
        <v>There is no Big or Small Support. We welcome any form of endorsement. Thank you former DILG Secretary and Trade and Industry Secretary</v>
      </c>
      <c r="F2140" s="1">
        <f>IFERROR(__xludf.DUMMYFUNCTION("""COMPUTED_VALUE"""),12.0)</f>
        <v>12</v>
      </c>
      <c r="G2140" s="1" t="str">
        <f>IFERROR(__xludf.DUMMYFUNCTION("""COMPUTED_VALUE"""),"3 mos")</f>
        <v>3 mos</v>
      </c>
      <c r="H2140" s="1" t="str">
        <f>IFERROR(__xludf.DUMMYFUNCTION("""COMPUTED_VALUE"""),"comment")</f>
        <v>comment</v>
      </c>
      <c r="I2140" s="2" t="str">
        <f>IFERROR(__xludf.DUMMYFUNCTION("""COMPUTED_VALUE"""),"https://www.facebook.com/rapplerdotcom/photos/a.317154781638645/5594954703858600/")</f>
        <v>https://www.facebook.com/rapplerdotcom/photos/a.317154781638645/5594954703858600/</v>
      </c>
      <c r="J2140" s="1" t="str">
        <f>IFERROR(__xludf.DUMMYFUNCTION("""COMPUTED_VALUE"""),"2022-07-04T15:48:35.884Z")</f>
        <v>2022-07-04T15:48:35.884Z</v>
      </c>
      <c r="K2140" s="1"/>
    </row>
    <row r="2141">
      <c r="A2141" s="2" t="str">
        <f>IFERROR(__xludf.DUMMYFUNCTION("""COMPUTED_VALUE"""),"https://www.facebook.com/cayetano.cabello.3")</f>
        <v>https://www.facebook.com/cayetano.cabello.3</v>
      </c>
      <c r="B2141" s="1" t="str">
        <f>IFERROR(__xludf.DUMMYFUNCTION("""COMPUTED_VALUE"""),"Cayetano Cabello")</f>
        <v>Cayetano Cabello</v>
      </c>
      <c r="C2141" s="1" t="str">
        <f>IFERROR(__xludf.DUMMYFUNCTION("""COMPUTED_VALUE"""),"Cayetano")</f>
        <v>Cayetano</v>
      </c>
      <c r="D2141" s="1" t="str">
        <f>IFERROR(__xludf.DUMMYFUNCTION("""COMPUTED_VALUE"""),"Cabello")</f>
        <v>Cabello</v>
      </c>
      <c r="E2141" s="1" t="str">
        <f>IFERROR(__xludf.DUMMYFUNCTION("""COMPUTED_VALUE"""),"Andrew Bryan N. Sapigao pweeee..")</f>
        <v>Andrew Bryan N. Sapigao pweeee..</v>
      </c>
      <c r="F2141" s="1"/>
      <c r="G2141" s="1" t="str">
        <f>IFERROR(__xludf.DUMMYFUNCTION("""COMPUTED_VALUE"""),"3 mos")</f>
        <v>3 mos</v>
      </c>
      <c r="H2141" s="1" t="str">
        <f>IFERROR(__xludf.DUMMYFUNCTION("""COMPUTED_VALUE"""),"reply")</f>
        <v>reply</v>
      </c>
      <c r="I2141" s="2" t="str">
        <f>IFERROR(__xludf.DUMMYFUNCTION("""COMPUTED_VALUE"""),"https://www.facebook.com/rapplerdotcom/photos/a.317154781638645/5594954703858600/")</f>
        <v>https://www.facebook.com/rapplerdotcom/photos/a.317154781638645/5594954703858600/</v>
      </c>
      <c r="J2141" s="1" t="str">
        <f>IFERROR(__xludf.DUMMYFUNCTION("""COMPUTED_VALUE"""),"2022-07-04T15:48:35.884Z")</f>
        <v>2022-07-04T15:48:35.884Z</v>
      </c>
      <c r="K2141" s="1"/>
    </row>
    <row r="2142">
      <c r="A2142" s="2" t="str">
        <f>IFERROR(__xludf.DUMMYFUNCTION("""COMPUTED_VALUE"""),"https://www.facebook.com/ronald.lojares")</f>
        <v>https://www.facebook.com/ronald.lojares</v>
      </c>
      <c r="B2142" s="1" t="str">
        <f>IFERROR(__xludf.DUMMYFUNCTION("""COMPUTED_VALUE"""),"Ron Lo")</f>
        <v>Ron Lo</v>
      </c>
      <c r="C2142" s="1" t="str">
        <f>IFERROR(__xludf.DUMMYFUNCTION("""COMPUTED_VALUE"""),"Ron")</f>
        <v>Ron</v>
      </c>
      <c r="D2142" s="1" t="str">
        <f>IFERROR(__xludf.DUMMYFUNCTION("""COMPUTED_VALUE"""),"Lo")</f>
        <v>Lo</v>
      </c>
      <c r="E2142" s="1" t="str">
        <f>IFERROR(__xludf.DUMMYFUNCTION("""COMPUTED_VALUE"""),"Nabuhay si mars")</f>
        <v>Nabuhay si mars</v>
      </c>
      <c r="F2142" s="1">
        <f>IFERROR(__xludf.DUMMYFUNCTION("""COMPUTED_VALUE"""),4.0)</f>
        <v>4</v>
      </c>
      <c r="G2142" s="1" t="str">
        <f>IFERROR(__xludf.DUMMYFUNCTION("""COMPUTED_VALUE"""),"3 mos")</f>
        <v>3 mos</v>
      </c>
      <c r="H2142" s="1" t="str">
        <f>IFERROR(__xludf.DUMMYFUNCTION("""COMPUTED_VALUE"""),"comment")</f>
        <v>comment</v>
      </c>
      <c r="I2142" s="2" t="str">
        <f>IFERROR(__xludf.DUMMYFUNCTION("""COMPUTED_VALUE"""),"https://www.facebook.com/rapplerdotcom/photos/a.317154781638645/5594954703858600/")</f>
        <v>https://www.facebook.com/rapplerdotcom/photos/a.317154781638645/5594954703858600/</v>
      </c>
      <c r="J2142" s="1" t="str">
        <f>IFERROR(__xludf.DUMMYFUNCTION("""COMPUTED_VALUE"""),"2022-07-04T15:48:35.884Z")</f>
        <v>2022-07-04T15:48:35.884Z</v>
      </c>
      <c r="K2142" s="1"/>
    </row>
    <row r="2143">
      <c r="A2143" s="2" t="str">
        <f>IFERROR(__xludf.DUMMYFUNCTION("""COMPUTED_VALUE"""),"https://www.facebook.com/ronald.lojares")</f>
        <v>https://www.facebook.com/ronald.lojares</v>
      </c>
      <c r="B2143" s="1" t="str">
        <f>IFERROR(__xludf.DUMMYFUNCTION("""COMPUTED_VALUE"""),"Ron Lo")</f>
        <v>Ron Lo</v>
      </c>
      <c r="C2143" s="1" t="str">
        <f>IFERROR(__xludf.DUMMYFUNCTION("""COMPUTED_VALUE"""),"Ron")</f>
        <v>Ron</v>
      </c>
      <c r="D2143" s="1" t="str">
        <f>IFERROR(__xludf.DUMMYFUNCTION("""COMPUTED_VALUE"""),"Lo")</f>
        <v>Lo</v>
      </c>
      <c r="E2143" s="1" t="str">
        <f>IFERROR(__xludf.DUMMYFUNCTION("""COMPUTED_VALUE"""),"👎👎")</f>
        <v>👎👎</v>
      </c>
      <c r="F2143" s="1">
        <f>IFERROR(__xludf.DUMMYFUNCTION("""COMPUTED_VALUE"""),1.0)</f>
        <v>1</v>
      </c>
      <c r="G2143" s="1" t="str">
        <f>IFERROR(__xludf.DUMMYFUNCTION("""COMPUTED_VALUE"""),"3 mos")</f>
        <v>3 mos</v>
      </c>
      <c r="H2143" s="1" t="str">
        <f>IFERROR(__xludf.DUMMYFUNCTION("""COMPUTED_VALUE"""),"reply")</f>
        <v>reply</v>
      </c>
      <c r="I2143" s="2" t="str">
        <f>IFERROR(__xludf.DUMMYFUNCTION("""COMPUTED_VALUE"""),"https://www.facebook.com/rapplerdotcom/photos/a.317154781638645/5594954703858600/")</f>
        <v>https://www.facebook.com/rapplerdotcom/photos/a.317154781638645/5594954703858600/</v>
      </c>
      <c r="J2143" s="1" t="str">
        <f>IFERROR(__xludf.DUMMYFUNCTION("""COMPUTED_VALUE"""),"2022-07-04T15:48:35.884Z")</f>
        <v>2022-07-04T15:48:35.884Z</v>
      </c>
      <c r="K2143" s="1"/>
    </row>
    <row r="2144">
      <c r="A2144" s="2" t="str">
        <f>IFERROR(__xludf.DUMMYFUNCTION("""COMPUTED_VALUE"""),"https://www.facebook.com/terry.galanza")</f>
        <v>https://www.facebook.com/terry.galanza</v>
      </c>
      <c r="B2144" s="1" t="str">
        <f>IFERROR(__xludf.DUMMYFUNCTION("""COMPUTED_VALUE"""),"Terry Galanza")</f>
        <v>Terry Galanza</v>
      </c>
      <c r="C2144" s="1" t="str">
        <f>IFERROR(__xludf.DUMMYFUNCTION("""COMPUTED_VALUE"""),"Terry")</f>
        <v>Terry</v>
      </c>
      <c r="D2144" s="1" t="str">
        <f>IFERROR(__xludf.DUMMYFUNCTION("""COMPUTED_VALUE"""),"Galanza")</f>
        <v>Galanza</v>
      </c>
      <c r="E2144" s="1" t="str">
        <f>IFERROR(__xludf.DUMMYFUNCTION("""COMPUTED_VALUE"""),"Ron Lo nabuhay c Yolanda wahahaha")</f>
        <v>Ron Lo nabuhay c Yolanda wahahaha</v>
      </c>
      <c r="F2144" s="1"/>
      <c r="G2144" s="1" t="str">
        <f>IFERROR(__xludf.DUMMYFUNCTION("""COMPUTED_VALUE"""),"3 mos")</f>
        <v>3 mos</v>
      </c>
      <c r="H2144" s="1" t="str">
        <f>IFERROR(__xludf.DUMMYFUNCTION("""COMPUTED_VALUE"""),"reply")</f>
        <v>reply</v>
      </c>
      <c r="I2144" s="2" t="str">
        <f>IFERROR(__xludf.DUMMYFUNCTION("""COMPUTED_VALUE"""),"https://www.facebook.com/rapplerdotcom/photos/a.317154781638645/5594954703858600/")</f>
        <v>https://www.facebook.com/rapplerdotcom/photos/a.317154781638645/5594954703858600/</v>
      </c>
      <c r="J2144" s="1" t="str">
        <f>IFERROR(__xludf.DUMMYFUNCTION("""COMPUTED_VALUE"""),"2022-07-04T15:48:35.884Z")</f>
        <v>2022-07-04T15:48:35.884Z</v>
      </c>
      <c r="K2144" s="1"/>
    </row>
    <row r="2145">
      <c r="A2145" s="2" t="str">
        <f>IFERROR(__xludf.DUMMYFUNCTION("""COMPUTED_VALUE"""),"https://www.facebook.com/drixsaydie")</f>
        <v>https://www.facebook.com/drixsaydie</v>
      </c>
      <c r="B2145" s="1" t="str">
        <f>IFERROR(__xludf.DUMMYFUNCTION("""COMPUTED_VALUE"""),"Armo Agape")</f>
        <v>Armo Agape</v>
      </c>
      <c r="C2145" s="1" t="str">
        <f>IFERROR(__xludf.DUMMYFUNCTION("""COMPUTED_VALUE"""),"Armo")</f>
        <v>Armo</v>
      </c>
      <c r="D2145" s="1" t="str">
        <f>IFERROR(__xludf.DUMMYFUNCTION("""COMPUTED_VALUE"""),"Agape")</f>
        <v>Agape</v>
      </c>
      <c r="E2145" s="1" t="str">
        <f>IFERROR(__xludf.DUMMYFUNCTION("""COMPUTED_VALUE"""),"Terry Galanza hiyang hiya nmn Sayo MGA taga eastern Visayas !!🥴😂😁panalo nga si Mar dun!!!😂😂😂😂")</f>
        <v>Terry Galanza hiyang hiya nmn Sayo MGA taga eastern Visayas !!🥴😂😁panalo nga si Mar dun!!!😂😂😂😂</v>
      </c>
      <c r="F2145" s="1"/>
      <c r="G2145" s="1" t="str">
        <f>IFERROR(__xludf.DUMMYFUNCTION("""COMPUTED_VALUE"""),"3 mos")</f>
        <v>3 mos</v>
      </c>
      <c r="H2145" s="1" t="str">
        <f>IFERROR(__xludf.DUMMYFUNCTION("""COMPUTED_VALUE"""),"reply")</f>
        <v>reply</v>
      </c>
      <c r="I2145" s="2" t="str">
        <f>IFERROR(__xludf.DUMMYFUNCTION("""COMPUTED_VALUE"""),"https://www.facebook.com/rapplerdotcom/photos/a.317154781638645/5594954703858600/")</f>
        <v>https://www.facebook.com/rapplerdotcom/photos/a.317154781638645/5594954703858600/</v>
      </c>
      <c r="J2145" s="1" t="str">
        <f>IFERROR(__xludf.DUMMYFUNCTION("""COMPUTED_VALUE"""),"2022-07-04T15:48:35.884Z")</f>
        <v>2022-07-04T15:48:35.884Z</v>
      </c>
      <c r="K2145" s="1"/>
    </row>
    <row r="2146">
      <c r="A2146" s="2" t="str">
        <f>IFERROR(__xludf.DUMMYFUNCTION("""COMPUTED_VALUE"""),"https://www.facebook.com/armin.manalastas")</f>
        <v>https://www.facebook.com/armin.manalastas</v>
      </c>
      <c r="B2146" s="1" t="str">
        <f>IFERROR(__xludf.DUMMYFUNCTION("""COMPUTED_VALUE"""),"Armin Remoquillo Manalastas")</f>
        <v>Armin Remoquillo Manalastas</v>
      </c>
      <c r="C2146" s="1" t="str">
        <f>IFERROR(__xludf.DUMMYFUNCTION("""COMPUTED_VALUE"""),"Armin")</f>
        <v>Armin</v>
      </c>
      <c r="D2146" s="1" t="str">
        <f>IFERROR(__xludf.DUMMYFUNCTION("""COMPUTED_VALUE"""),"Remoquillo Manalastas")</f>
        <v>Remoquillo Manalastas</v>
      </c>
      <c r="E2146" s="1" t="str">
        <f>IFERROR(__xludf.DUMMYFUNCTION("""COMPUTED_VALUE"""),"Lalong natalo si lug...")</f>
        <v>Lalong natalo si lug...</v>
      </c>
      <c r="F2146" s="1">
        <f>IFERROR(__xludf.DUMMYFUNCTION("""COMPUTED_VALUE"""),4.0)</f>
        <v>4</v>
      </c>
      <c r="G2146" s="1" t="str">
        <f>IFERROR(__xludf.DUMMYFUNCTION("""COMPUTED_VALUE"""),"3 mos")</f>
        <v>3 mos</v>
      </c>
      <c r="H2146" s="1" t="str">
        <f>IFERROR(__xludf.DUMMYFUNCTION("""COMPUTED_VALUE"""),"comment")</f>
        <v>comment</v>
      </c>
      <c r="I2146" s="2" t="str">
        <f>IFERROR(__xludf.DUMMYFUNCTION("""COMPUTED_VALUE"""),"https://www.facebook.com/rapplerdotcom/photos/a.317154781638645/5594954703858600/")</f>
        <v>https://www.facebook.com/rapplerdotcom/photos/a.317154781638645/5594954703858600/</v>
      </c>
      <c r="J2146" s="1" t="str">
        <f>IFERROR(__xludf.DUMMYFUNCTION("""COMPUTED_VALUE"""),"2022-07-04T15:48:35.884Z")</f>
        <v>2022-07-04T15:48:35.884Z</v>
      </c>
      <c r="K2146" s="1"/>
    </row>
    <row r="2147">
      <c r="A2147" s="2" t="str">
        <f>IFERROR(__xludf.DUMMYFUNCTION("""COMPUTED_VALUE"""),"https://www.facebook.com/joey.abella.507")</f>
        <v>https://www.facebook.com/joey.abella.507</v>
      </c>
      <c r="B2147" s="1" t="str">
        <f>IFERROR(__xludf.DUMMYFUNCTION("""COMPUTED_VALUE"""),"Lana")</f>
        <v>Lana</v>
      </c>
      <c r="C2147" s="1" t="str">
        <f>IFERROR(__xludf.DUMMYFUNCTION("""COMPUTED_VALUE"""),"Lana")</f>
        <v>Lana</v>
      </c>
      <c r="D2147" s="1"/>
      <c r="E2147" s="1" t="str">
        <f>IFERROR(__xludf.DUMMYFUNCTION("""COMPUTED_VALUE"""),"Armin Remoquillo Manalastas")</f>
        <v>Armin Remoquillo Manalastas</v>
      </c>
      <c r="F2147" s="1">
        <f>IFERROR(__xludf.DUMMYFUNCTION("""COMPUTED_VALUE"""),1.0)</f>
        <v>1</v>
      </c>
      <c r="G2147" s="1" t="str">
        <f>IFERROR(__xludf.DUMMYFUNCTION("""COMPUTED_VALUE"""),"3 mos")</f>
        <v>3 mos</v>
      </c>
      <c r="H2147" s="1" t="str">
        <f>IFERROR(__xludf.DUMMYFUNCTION("""COMPUTED_VALUE"""),"reply")</f>
        <v>reply</v>
      </c>
      <c r="I2147" s="2" t="str">
        <f>IFERROR(__xludf.DUMMYFUNCTION("""COMPUTED_VALUE"""),"https://www.facebook.com/rapplerdotcom/photos/a.317154781638645/5594954703858600/")</f>
        <v>https://www.facebook.com/rapplerdotcom/photos/a.317154781638645/5594954703858600/</v>
      </c>
      <c r="J2147" s="1" t="str">
        <f>IFERROR(__xludf.DUMMYFUNCTION("""COMPUTED_VALUE"""),"2022-07-04T15:48:35.884Z")</f>
        <v>2022-07-04T15:48:35.884Z</v>
      </c>
      <c r="K2147" s="1"/>
    </row>
    <row r="2148">
      <c r="A2148" s="2" t="str">
        <f>IFERROR(__xludf.DUMMYFUNCTION("""COMPUTED_VALUE"""),"https://www.facebook.com/drixsaydie")</f>
        <v>https://www.facebook.com/drixsaydie</v>
      </c>
      <c r="B2148" s="1" t="str">
        <f>IFERROR(__xludf.DUMMYFUNCTION("""COMPUTED_VALUE"""),"Armo Agape")</f>
        <v>Armo Agape</v>
      </c>
      <c r="C2148" s="1" t="str">
        <f>IFERROR(__xludf.DUMMYFUNCTION("""COMPUTED_VALUE"""),"Armo")</f>
        <v>Armo</v>
      </c>
      <c r="D2148" s="1" t="str">
        <f>IFERROR(__xludf.DUMMYFUNCTION("""COMPUTED_VALUE"""),"Agape")</f>
        <v>Agape</v>
      </c>
      <c r="E2148" s="1" t="str">
        <f>IFERROR(__xludf.DUMMYFUNCTION("""COMPUTED_VALUE"""),"Armin Remoquillo Manalastas  sino kaya Yung nakailang recount last election???😬🤔🤔🤔")</f>
        <v>Armin Remoquillo Manalastas  sino kaya Yung nakailang recount last election???😬🤔🤔🤔</v>
      </c>
      <c r="F2148" s="1">
        <f>IFERROR(__xludf.DUMMYFUNCTION("""COMPUTED_VALUE"""),3.0)</f>
        <v>3</v>
      </c>
      <c r="G2148" s="1" t="str">
        <f>IFERROR(__xludf.DUMMYFUNCTION("""COMPUTED_VALUE"""),"3 mos")</f>
        <v>3 mos</v>
      </c>
      <c r="H2148" s="1" t="str">
        <f>IFERROR(__xludf.DUMMYFUNCTION("""COMPUTED_VALUE"""),"reply")</f>
        <v>reply</v>
      </c>
      <c r="I2148" s="2" t="str">
        <f>IFERROR(__xludf.DUMMYFUNCTION("""COMPUTED_VALUE"""),"https://www.facebook.com/rapplerdotcom/photos/a.317154781638645/5594954703858600/")</f>
        <v>https://www.facebook.com/rapplerdotcom/photos/a.317154781638645/5594954703858600/</v>
      </c>
      <c r="J2148" s="1" t="str">
        <f>IFERROR(__xludf.DUMMYFUNCTION("""COMPUTED_VALUE"""),"2022-07-04T15:48:35.884Z")</f>
        <v>2022-07-04T15:48:35.884Z</v>
      </c>
      <c r="K2148" s="1"/>
    </row>
    <row r="2149">
      <c r="A2149" s="2" t="str">
        <f>IFERROR(__xludf.DUMMYFUNCTION("""COMPUTED_VALUE"""),"https://www.facebook.com/profile.php?id=100005805521954")</f>
        <v>https://www.facebook.com/profile.php?id=100005805521954</v>
      </c>
      <c r="B2149" s="1" t="str">
        <f>IFERROR(__xludf.DUMMYFUNCTION("""COMPUTED_VALUE"""),"Elvie Cabahug")</f>
        <v>Elvie Cabahug</v>
      </c>
      <c r="C2149" s="1" t="str">
        <f>IFERROR(__xludf.DUMMYFUNCTION("""COMPUTED_VALUE"""),"Elvie")</f>
        <v>Elvie</v>
      </c>
      <c r="D2149" s="1" t="str">
        <f>IFERROR(__xludf.DUMMYFUNCTION("""COMPUTED_VALUE"""),"Cabahug")</f>
        <v>Cabahug</v>
      </c>
      <c r="E2149" s="1" t="str">
        <f>IFERROR(__xludf.DUMMYFUNCTION("""COMPUTED_VALUE"""),"Salamat Mar Roxas #LeniForPresident2022  #LeniKiko2022")</f>
        <v>Salamat Mar Roxas #LeniForPresident2022  #LeniKiko2022</v>
      </c>
      <c r="F2149" s="1">
        <f>IFERROR(__xludf.DUMMYFUNCTION("""COMPUTED_VALUE"""),14.0)</f>
        <v>14</v>
      </c>
      <c r="G2149" s="1" t="str">
        <f>IFERROR(__xludf.DUMMYFUNCTION("""COMPUTED_VALUE"""),"3 mos")</f>
        <v>3 mos</v>
      </c>
      <c r="H2149" s="1" t="str">
        <f>IFERROR(__xludf.DUMMYFUNCTION("""COMPUTED_VALUE"""),"comment")</f>
        <v>comment</v>
      </c>
      <c r="I2149" s="2" t="str">
        <f>IFERROR(__xludf.DUMMYFUNCTION("""COMPUTED_VALUE"""),"https://www.facebook.com/rapplerdotcom/photos/a.317154781638645/5594954703858600/")</f>
        <v>https://www.facebook.com/rapplerdotcom/photos/a.317154781638645/5594954703858600/</v>
      </c>
      <c r="J2149" s="1" t="str">
        <f>IFERROR(__xludf.DUMMYFUNCTION("""COMPUTED_VALUE"""),"2022-07-04T15:48:35.884Z")</f>
        <v>2022-07-04T15:48:35.884Z</v>
      </c>
      <c r="K2149" s="1"/>
    </row>
    <row r="2150">
      <c r="A2150" s="2" t="str">
        <f>IFERROR(__xludf.DUMMYFUNCTION("""COMPUTED_VALUE"""),"https://www.facebook.com/bownie.abagatan")</f>
        <v>https://www.facebook.com/bownie.abagatan</v>
      </c>
      <c r="B2150" s="1" t="str">
        <f>IFERROR(__xludf.DUMMYFUNCTION("""COMPUTED_VALUE"""),"Brian Dave")</f>
        <v>Brian Dave</v>
      </c>
      <c r="C2150" s="1" t="str">
        <f>IFERROR(__xludf.DUMMYFUNCTION("""COMPUTED_VALUE"""),"Brian")</f>
        <v>Brian</v>
      </c>
      <c r="D2150" s="1" t="str">
        <f>IFERROR(__xludf.DUMMYFUNCTION("""COMPUTED_VALUE"""),"Dave")</f>
        <v>Dave</v>
      </c>
      <c r="E2150" s="1" t="str">
        <f>IFERROR(__xludf.DUMMYFUNCTION("""COMPUTED_VALUE"""),"Bahala kayo sa buhay niyo! -mar roxas")</f>
        <v>Bahala kayo sa buhay niyo! -mar roxas</v>
      </c>
      <c r="F2150" s="1">
        <f>IFERROR(__xludf.DUMMYFUNCTION("""COMPUTED_VALUE"""),2.0)</f>
        <v>2</v>
      </c>
      <c r="G2150" s="1" t="str">
        <f>IFERROR(__xludf.DUMMYFUNCTION("""COMPUTED_VALUE"""),"3 mos")</f>
        <v>3 mos</v>
      </c>
      <c r="H2150" s="1" t="str">
        <f>IFERROR(__xludf.DUMMYFUNCTION("""COMPUTED_VALUE"""),"comment")</f>
        <v>comment</v>
      </c>
      <c r="I2150" s="2" t="str">
        <f>IFERROR(__xludf.DUMMYFUNCTION("""COMPUTED_VALUE"""),"https://www.facebook.com/rapplerdotcom/photos/a.317154781638645/5594954703858600/")</f>
        <v>https://www.facebook.com/rapplerdotcom/photos/a.317154781638645/5594954703858600/</v>
      </c>
      <c r="J2150" s="1" t="str">
        <f>IFERROR(__xludf.DUMMYFUNCTION("""COMPUTED_VALUE"""),"2022-07-04T15:48:35.884Z")</f>
        <v>2022-07-04T15:48:35.884Z</v>
      </c>
      <c r="K2150" s="1"/>
    </row>
    <row r="2151">
      <c r="A2151" s="2" t="str">
        <f>IFERROR(__xludf.DUMMYFUNCTION("""COMPUTED_VALUE"""),"https://www.facebook.com/marvin.noche.1")</f>
        <v>https://www.facebook.com/marvin.noche.1</v>
      </c>
      <c r="B2151" s="1" t="str">
        <f>IFERROR(__xludf.DUMMYFUNCTION("""COMPUTED_VALUE"""),"Marvin Noche")</f>
        <v>Marvin Noche</v>
      </c>
      <c r="C2151" s="1" t="str">
        <f>IFERROR(__xludf.DUMMYFUNCTION("""COMPUTED_VALUE"""),"Marvin")</f>
        <v>Marvin</v>
      </c>
      <c r="D2151" s="1" t="str">
        <f>IFERROR(__xludf.DUMMYFUNCTION("""COMPUTED_VALUE"""),"Noche")</f>
        <v>Noche</v>
      </c>
      <c r="E2151" s="1" t="str">
        <f>IFERROR(__xludf.DUMMYFUNCTION("""COMPUTED_VALUE"""),"Nahihinog na ang pigsa at lumalabas na ang tunay na kulay")</f>
        <v>Nahihinog na ang pigsa at lumalabas na ang tunay na kulay</v>
      </c>
      <c r="F2151" s="1">
        <f>IFERROR(__xludf.DUMMYFUNCTION("""COMPUTED_VALUE"""),8.0)</f>
        <v>8</v>
      </c>
      <c r="G2151" s="1" t="str">
        <f>IFERROR(__xludf.DUMMYFUNCTION("""COMPUTED_VALUE"""),"3 mos")</f>
        <v>3 mos</v>
      </c>
      <c r="H2151" s="1" t="str">
        <f>IFERROR(__xludf.DUMMYFUNCTION("""COMPUTED_VALUE"""),"comment")</f>
        <v>comment</v>
      </c>
      <c r="I2151" s="2" t="str">
        <f>IFERROR(__xludf.DUMMYFUNCTION("""COMPUTED_VALUE"""),"https://www.facebook.com/rapplerdotcom/photos/a.317154781638645/5594954703858600/")</f>
        <v>https://www.facebook.com/rapplerdotcom/photos/a.317154781638645/5594954703858600/</v>
      </c>
      <c r="J2151" s="1" t="str">
        <f>IFERROR(__xludf.DUMMYFUNCTION("""COMPUTED_VALUE"""),"2022-07-04T15:48:35.884Z")</f>
        <v>2022-07-04T15:48:35.884Z</v>
      </c>
      <c r="K2151" s="1"/>
    </row>
    <row r="2152">
      <c r="A2152" s="2" t="str">
        <f>IFERROR(__xludf.DUMMYFUNCTION("""COMPUTED_VALUE"""),"https://www.facebook.com/rose.cadavicio")</f>
        <v>https://www.facebook.com/rose.cadavicio</v>
      </c>
      <c r="B2152" s="1" t="str">
        <f>IFERROR(__xludf.DUMMYFUNCTION("""COMPUTED_VALUE"""),"Rose Cadavicio")</f>
        <v>Rose Cadavicio</v>
      </c>
      <c r="C2152" s="1" t="str">
        <f>IFERROR(__xludf.DUMMYFUNCTION("""COMPUTED_VALUE"""),"Rose")</f>
        <v>Rose</v>
      </c>
      <c r="D2152" s="1" t="str">
        <f>IFERROR(__xludf.DUMMYFUNCTION("""COMPUTED_VALUE"""),"Cadavicio")</f>
        <v>Cadavicio</v>
      </c>
      <c r="E2152" s="1" t="str">
        <f>IFERROR(__xludf.DUMMYFUNCTION("""COMPUTED_VALUE"""),"Go! Sir Mar Roxas for Kakampink 🙏🌷🌷🌷🌷God bless")</f>
        <v>Go! Sir Mar Roxas for Kakampink 🙏🌷🌷🌷🌷God bless</v>
      </c>
      <c r="F2152" s="1">
        <f>IFERROR(__xludf.DUMMYFUNCTION("""COMPUTED_VALUE"""),3.0)</f>
        <v>3</v>
      </c>
      <c r="G2152" s="1" t="str">
        <f>IFERROR(__xludf.DUMMYFUNCTION("""COMPUTED_VALUE"""),"3 mos")</f>
        <v>3 mos</v>
      </c>
      <c r="H2152" s="1" t="str">
        <f>IFERROR(__xludf.DUMMYFUNCTION("""COMPUTED_VALUE"""),"comment")</f>
        <v>comment</v>
      </c>
      <c r="I2152" s="2" t="str">
        <f>IFERROR(__xludf.DUMMYFUNCTION("""COMPUTED_VALUE"""),"https://www.facebook.com/rapplerdotcom/photos/a.317154781638645/5594954703858600/")</f>
        <v>https://www.facebook.com/rapplerdotcom/photos/a.317154781638645/5594954703858600/</v>
      </c>
      <c r="J2152" s="1" t="str">
        <f>IFERROR(__xludf.DUMMYFUNCTION("""COMPUTED_VALUE"""),"2022-07-04T15:48:35.884Z")</f>
        <v>2022-07-04T15:48:35.884Z</v>
      </c>
      <c r="K2152" s="1"/>
    </row>
    <row r="2153">
      <c r="A2153" s="2" t="str">
        <f>IFERROR(__xludf.DUMMYFUNCTION("""COMPUTED_VALUE"""),"https://www.facebook.com/epal.aco.56")</f>
        <v>https://www.facebook.com/epal.aco.56</v>
      </c>
      <c r="B2153" s="1" t="str">
        <f>IFERROR(__xludf.DUMMYFUNCTION("""COMPUTED_VALUE"""),"Epal Aco")</f>
        <v>Epal Aco</v>
      </c>
      <c r="C2153" s="1" t="str">
        <f>IFERROR(__xludf.DUMMYFUNCTION("""COMPUTED_VALUE"""),"Epal")</f>
        <v>Epal</v>
      </c>
      <c r="D2153" s="1" t="str">
        <f>IFERROR(__xludf.DUMMYFUNCTION("""COMPUTED_VALUE"""),"Aco")</f>
        <v>Aco</v>
      </c>
      <c r="E2153" s="1" t="str">
        <f>IFERROR(__xludf.DUMMYFUNCTION("""COMPUTED_VALUE"""),"Rose Cadavicio proud sila na suporter nila si Yolanda funds robbery hahahaahaha.. mio dai di ako mgtaka talga lenlen suporters nga kau hahahahhaha")</f>
        <v>Rose Cadavicio proud sila na suporter nila si Yolanda funds robbery hahahaahaha.. mio dai di ako mgtaka talga lenlen suporters nga kau hahahahhaha</v>
      </c>
      <c r="F2153" s="1"/>
      <c r="G2153" s="1" t="str">
        <f>IFERROR(__xludf.DUMMYFUNCTION("""COMPUTED_VALUE"""),"3 mos")</f>
        <v>3 mos</v>
      </c>
      <c r="H2153" s="1" t="str">
        <f>IFERROR(__xludf.DUMMYFUNCTION("""COMPUTED_VALUE"""),"reply")</f>
        <v>reply</v>
      </c>
      <c r="I2153" s="2" t="str">
        <f>IFERROR(__xludf.DUMMYFUNCTION("""COMPUTED_VALUE"""),"https://www.facebook.com/rapplerdotcom/photos/a.317154781638645/5594954703858600/")</f>
        <v>https://www.facebook.com/rapplerdotcom/photos/a.317154781638645/5594954703858600/</v>
      </c>
      <c r="J2153" s="1" t="str">
        <f>IFERROR(__xludf.DUMMYFUNCTION("""COMPUTED_VALUE"""),"2022-07-04T15:48:35.884Z")</f>
        <v>2022-07-04T15:48:35.884Z</v>
      </c>
      <c r="K2153" s="1"/>
    </row>
    <row r="2154">
      <c r="A2154" s="2" t="str">
        <f>IFERROR(__xludf.DUMMYFUNCTION("""COMPUTED_VALUE"""),"https://www.facebook.com/gener.satsatin")</f>
        <v>https://www.facebook.com/gener.satsatin</v>
      </c>
      <c r="B2154" s="1" t="str">
        <f>IFERROR(__xludf.DUMMYFUNCTION("""COMPUTED_VALUE"""),"Gener Satsatin")</f>
        <v>Gener Satsatin</v>
      </c>
      <c r="C2154" s="1" t="str">
        <f>IFERROR(__xludf.DUMMYFUNCTION("""COMPUTED_VALUE"""),"Gener")</f>
        <v>Gener</v>
      </c>
      <c r="D2154" s="1" t="str">
        <f>IFERROR(__xludf.DUMMYFUNCTION("""COMPUTED_VALUE"""),"Satsatin")</f>
        <v>Satsatin</v>
      </c>
      <c r="E2154" s="1" t="str">
        <f>IFERROR(__xludf.DUMMYFUNCTION("""COMPUTED_VALUE"""),"Ang sakit gunitain ang bagyong yulanda sa panahon nila")</f>
        <v>Ang sakit gunitain ang bagyong yulanda sa panahon nila</v>
      </c>
      <c r="F2154" s="1"/>
      <c r="G2154" s="1" t="str">
        <f>IFERROR(__xludf.DUMMYFUNCTION("""COMPUTED_VALUE"""),"3 mos")</f>
        <v>3 mos</v>
      </c>
      <c r="H2154" s="1" t="str">
        <f>IFERROR(__xludf.DUMMYFUNCTION("""COMPUTED_VALUE"""),"comment")</f>
        <v>comment</v>
      </c>
      <c r="I2154" s="2" t="str">
        <f>IFERROR(__xludf.DUMMYFUNCTION("""COMPUTED_VALUE"""),"https://www.facebook.com/rapplerdotcom/photos/a.317154781638645/5594954703858600/")</f>
        <v>https://www.facebook.com/rapplerdotcom/photos/a.317154781638645/5594954703858600/</v>
      </c>
      <c r="J2154" s="1" t="str">
        <f>IFERROR(__xludf.DUMMYFUNCTION("""COMPUTED_VALUE"""),"2022-07-04T15:48:35.884Z")</f>
        <v>2022-07-04T15:48:35.884Z</v>
      </c>
      <c r="K2154" s="1"/>
    </row>
    <row r="2155">
      <c r="A2155" s="2" t="str">
        <f>IFERROR(__xludf.DUMMYFUNCTION("""COMPUTED_VALUE"""),"https://www.facebook.com/yolanda.villegas.92167")</f>
        <v>https://www.facebook.com/yolanda.villegas.92167</v>
      </c>
      <c r="B2155" s="1" t="str">
        <f>IFERROR(__xludf.DUMMYFUNCTION("""COMPUTED_VALUE"""),"Yoly Villegas")</f>
        <v>Yoly Villegas</v>
      </c>
      <c r="C2155" s="1" t="str">
        <f>IFERROR(__xludf.DUMMYFUNCTION("""COMPUTED_VALUE"""),"Yoly")</f>
        <v>Yoly</v>
      </c>
      <c r="D2155" s="1" t="str">
        <f>IFERROR(__xludf.DUMMYFUNCTION("""COMPUTED_VALUE"""),"Villegas")</f>
        <v>Villegas</v>
      </c>
      <c r="E2155" s="1" t="str">
        <f>IFERROR(__xludf.DUMMYFUNCTION("""COMPUTED_VALUE"""),"Thank you Mar Roxas💗 Kay LeniKiko tayo🎀💗")</f>
        <v>Thank you Mar Roxas💗 Kay LeniKiko tayo🎀💗</v>
      </c>
      <c r="F2155" s="1">
        <f>IFERROR(__xludf.DUMMYFUNCTION("""COMPUTED_VALUE"""),8.0)</f>
        <v>8</v>
      </c>
      <c r="G2155" s="1" t="str">
        <f>IFERROR(__xludf.DUMMYFUNCTION("""COMPUTED_VALUE"""),"3 mos")</f>
        <v>3 mos</v>
      </c>
      <c r="H2155" s="1" t="str">
        <f>IFERROR(__xludf.DUMMYFUNCTION("""COMPUTED_VALUE"""),"comment")</f>
        <v>comment</v>
      </c>
      <c r="I2155" s="2" t="str">
        <f>IFERROR(__xludf.DUMMYFUNCTION("""COMPUTED_VALUE"""),"https://www.facebook.com/rapplerdotcom/photos/a.317154781638645/5594954703858600/")</f>
        <v>https://www.facebook.com/rapplerdotcom/photos/a.317154781638645/5594954703858600/</v>
      </c>
      <c r="J2155" s="1" t="str">
        <f>IFERROR(__xludf.DUMMYFUNCTION("""COMPUTED_VALUE"""),"2022-07-04T15:48:35.884Z")</f>
        <v>2022-07-04T15:48:35.884Z</v>
      </c>
      <c r="K2155" s="1"/>
    </row>
    <row r="2156">
      <c r="A2156" s="2" t="str">
        <f>IFERROR(__xludf.DUMMYFUNCTION("""COMPUTED_VALUE"""),"https://www.facebook.com/alex.lanestosa.7")</f>
        <v>https://www.facebook.com/alex.lanestosa.7</v>
      </c>
      <c r="B2156" s="1" t="str">
        <f>IFERROR(__xludf.DUMMYFUNCTION("""COMPUTED_VALUE"""),"Ali La")</f>
        <v>Ali La</v>
      </c>
      <c r="C2156" s="1" t="str">
        <f>IFERROR(__xludf.DUMMYFUNCTION("""COMPUTED_VALUE"""),"Ali")</f>
        <v>Ali</v>
      </c>
      <c r="D2156" s="1" t="str">
        <f>IFERROR(__xludf.DUMMYFUNCTION("""COMPUTED_VALUE"""),"La")</f>
        <v>La</v>
      </c>
      <c r="E2156" s="1" t="str">
        <f>IFERROR(__xludf.DUMMYFUNCTION("""COMPUTED_VALUE"""),"Salamat mar,, itutuloy na ni lenlen ang daang patuwad.")</f>
        <v>Salamat mar,, itutuloy na ni lenlen ang daang patuwad.</v>
      </c>
      <c r="F2156" s="1">
        <f>IFERROR(__xludf.DUMMYFUNCTION("""COMPUTED_VALUE"""),1.0)</f>
        <v>1</v>
      </c>
      <c r="G2156" s="1" t="str">
        <f>IFERROR(__xludf.DUMMYFUNCTION("""COMPUTED_VALUE"""),"3 mos")</f>
        <v>3 mos</v>
      </c>
      <c r="H2156" s="1" t="str">
        <f>IFERROR(__xludf.DUMMYFUNCTION("""COMPUTED_VALUE"""),"comment")</f>
        <v>comment</v>
      </c>
      <c r="I2156" s="2" t="str">
        <f>IFERROR(__xludf.DUMMYFUNCTION("""COMPUTED_VALUE"""),"https://www.facebook.com/rapplerdotcom/photos/a.317154781638645/5594954703858600/")</f>
        <v>https://www.facebook.com/rapplerdotcom/photos/a.317154781638645/5594954703858600/</v>
      </c>
      <c r="J2156" s="1" t="str">
        <f>IFERROR(__xludf.DUMMYFUNCTION("""COMPUTED_VALUE"""),"2022-07-04T15:48:35.884Z")</f>
        <v>2022-07-04T15:48:35.884Z</v>
      </c>
      <c r="K2156" s="1"/>
    </row>
    <row r="2157">
      <c r="A2157" s="2" t="str">
        <f>IFERROR(__xludf.DUMMYFUNCTION("""COMPUTED_VALUE"""),"https://www.facebook.com/noscire.padilla")</f>
        <v>https://www.facebook.com/noscire.padilla</v>
      </c>
      <c r="B2157" s="1" t="str">
        <f>IFERROR(__xludf.DUMMYFUNCTION("""COMPUTED_VALUE"""),"Seann Shazelle")</f>
        <v>Seann Shazelle</v>
      </c>
      <c r="C2157" s="1" t="str">
        <f>IFERROR(__xludf.DUMMYFUNCTION("""COMPUTED_VALUE"""),"Seann")</f>
        <v>Seann</v>
      </c>
      <c r="D2157" s="1" t="str">
        <f>IFERROR(__xludf.DUMMYFUNCTION("""COMPUTED_VALUE"""),"Shazelle")</f>
        <v>Shazelle</v>
      </c>
      <c r="E2157" s="1" t="str">
        <f>IFERROR(__xludf.DUMMYFUNCTION("""COMPUTED_VALUE"""),"Walang kadaladala🤣")</f>
        <v>Walang kadaladala🤣</v>
      </c>
      <c r="F2157" s="1">
        <f>IFERROR(__xludf.DUMMYFUNCTION("""COMPUTED_VALUE"""),4.0)</f>
        <v>4</v>
      </c>
      <c r="G2157" s="1" t="str">
        <f>IFERROR(__xludf.DUMMYFUNCTION("""COMPUTED_VALUE"""),"3 mos")</f>
        <v>3 mos</v>
      </c>
      <c r="H2157" s="1" t="str">
        <f>IFERROR(__xludf.DUMMYFUNCTION("""COMPUTED_VALUE"""),"comment")</f>
        <v>comment</v>
      </c>
      <c r="I2157" s="2" t="str">
        <f>IFERROR(__xludf.DUMMYFUNCTION("""COMPUTED_VALUE"""),"https://www.facebook.com/rapplerdotcom/photos/a.317154781638645/5594954703858600/")</f>
        <v>https://www.facebook.com/rapplerdotcom/photos/a.317154781638645/5594954703858600/</v>
      </c>
      <c r="J2157" s="1" t="str">
        <f>IFERROR(__xludf.DUMMYFUNCTION("""COMPUTED_VALUE"""),"2022-07-04T15:48:35.884Z")</f>
        <v>2022-07-04T15:48:35.884Z</v>
      </c>
      <c r="K2157" s="1"/>
    </row>
    <row r="2158">
      <c r="A2158" s="2" t="str">
        <f>IFERROR(__xludf.DUMMYFUNCTION("""COMPUTED_VALUE"""),"https://www.facebook.com/nrgatdula")</f>
        <v>https://www.facebook.com/nrgatdula</v>
      </c>
      <c r="B2158" s="1" t="str">
        <f>IFERROR(__xludf.DUMMYFUNCTION("""COMPUTED_VALUE"""),"Nancy GR")</f>
        <v>Nancy GR</v>
      </c>
      <c r="C2158" s="1" t="str">
        <f>IFERROR(__xludf.DUMMYFUNCTION("""COMPUTED_VALUE"""),"Nancy")</f>
        <v>Nancy</v>
      </c>
      <c r="D2158" s="1" t="str">
        <f>IFERROR(__xludf.DUMMYFUNCTION("""COMPUTED_VALUE"""),"GR")</f>
        <v>GR</v>
      </c>
      <c r="E2158" s="1" t="str">
        <f>IFERROR(__xludf.DUMMYFUNCTION("""COMPUTED_VALUE"""),"For our country’s sake !")</f>
        <v>For our country’s sake !</v>
      </c>
      <c r="F2158" s="1"/>
      <c r="G2158" s="1" t="str">
        <f>IFERROR(__xludf.DUMMYFUNCTION("""COMPUTED_VALUE"""),"3 mos")</f>
        <v>3 mos</v>
      </c>
      <c r="H2158" s="1" t="str">
        <f>IFERROR(__xludf.DUMMYFUNCTION("""COMPUTED_VALUE"""),"comment")</f>
        <v>comment</v>
      </c>
      <c r="I2158" s="2" t="str">
        <f>IFERROR(__xludf.DUMMYFUNCTION("""COMPUTED_VALUE"""),"https://www.facebook.com/rapplerdotcom/photos/a.317154781638645/5594954703858600/")</f>
        <v>https://www.facebook.com/rapplerdotcom/photos/a.317154781638645/5594954703858600/</v>
      </c>
      <c r="J2158" s="1" t="str">
        <f>IFERROR(__xludf.DUMMYFUNCTION("""COMPUTED_VALUE"""),"2022-07-04T15:48:35.884Z")</f>
        <v>2022-07-04T15:48:35.884Z</v>
      </c>
      <c r="K2158" s="1"/>
    </row>
    <row r="2159">
      <c r="A2159" s="2" t="str">
        <f>IFERROR(__xludf.DUMMYFUNCTION("""COMPUTED_VALUE"""),"https://www.facebook.com/ulyssesleodegario.lim")</f>
        <v>https://www.facebook.com/ulyssesleodegario.lim</v>
      </c>
      <c r="B2159" s="1" t="str">
        <f>IFERROR(__xludf.DUMMYFUNCTION("""COMPUTED_VALUE"""),"Ulysses Leodegario Lim")</f>
        <v>Ulysses Leodegario Lim</v>
      </c>
      <c r="C2159" s="1" t="str">
        <f>IFERROR(__xludf.DUMMYFUNCTION("""COMPUTED_VALUE"""),"Ulysses")</f>
        <v>Ulysses</v>
      </c>
      <c r="D2159" s="1" t="str">
        <f>IFERROR(__xludf.DUMMYFUNCTION("""COMPUTED_VALUE"""),"Leodegario Lim")</f>
        <v>Leodegario Lim</v>
      </c>
      <c r="E2159" s="1" t="str">
        <f>IFERROR(__xludf.DUMMYFUNCTION("""COMPUTED_VALUE"""),"Gising gising gising")</f>
        <v>Gising gising gising</v>
      </c>
      <c r="F2159" s="1">
        <f>IFERROR(__xludf.DUMMYFUNCTION("""COMPUTED_VALUE"""),2.0)</f>
        <v>2</v>
      </c>
      <c r="G2159" s="1" t="str">
        <f>IFERROR(__xludf.DUMMYFUNCTION("""COMPUTED_VALUE"""),"3 mos")</f>
        <v>3 mos</v>
      </c>
      <c r="H2159" s="1" t="str">
        <f>IFERROR(__xludf.DUMMYFUNCTION("""COMPUTED_VALUE"""),"comment")</f>
        <v>comment</v>
      </c>
      <c r="I2159" s="2" t="str">
        <f>IFERROR(__xludf.DUMMYFUNCTION("""COMPUTED_VALUE"""),"https://www.facebook.com/rapplerdotcom/photos/a.317154781638645/5594954703858600/")</f>
        <v>https://www.facebook.com/rapplerdotcom/photos/a.317154781638645/5594954703858600/</v>
      </c>
      <c r="J2159" s="1" t="str">
        <f>IFERROR(__xludf.DUMMYFUNCTION("""COMPUTED_VALUE"""),"2022-07-04T15:48:35.884Z")</f>
        <v>2022-07-04T15:48:35.884Z</v>
      </c>
      <c r="K2159" s="1"/>
    </row>
    <row r="2160">
      <c r="A2160" s="2" t="str">
        <f>IFERROR(__xludf.DUMMYFUNCTION("""COMPUTED_VALUE"""),"https://www.facebook.com/karyata.gwapako")</f>
        <v>https://www.facebook.com/karyata.gwapako</v>
      </c>
      <c r="B2160" s="1" t="str">
        <f>IFERROR(__xludf.DUMMYFUNCTION("""COMPUTED_VALUE"""),"Maria del Carmen")</f>
        <v>Maria del Carmen</v>
      </c>
      <c r="C2160" s="1" t="str">
        <f>IFERROR(__xludf.DUMMYFUNCTION("""COMPUTED_VALUE"""),"Maria")</f>
        <v>Maria</v>
      </c>
      <c r="D2160" s="1" t="str">
        <f>IFERROR(__xludf.DUMMYFUNCTION("""COMPUTED_VALUE"""),"del Carmen")</f>
        <v>del Carmen</v>
      </c>
      <c r="E2160" s="1" t="str">
        <f>IFERROR(__xludf.DUMMYFUNCTION("""COMPUTED_VALUE"""),"Good")</f>
        <v>Good</v>
      </c>
      <c r="F2160" s="1">
        <f>IFERROR(__xludf.DUMMYFUNCTION("""COMPUTED_VALUE"""),2.0)</f>
        <v>2</v>
      </c>
      <c r="G2160" s="1" t="str">
        <f>IFERROR(__xludf.DUMMYFUNCTION("""COMPUTED_VALUE"""),"3 mos")</f>
        <v>3 mos</v>
      </c>
      <c r="H2160" s="1" t="str">
        <f>IFERROR(__xludf.DUMMYFUNCTION("""COMPUTED_VALUE"""),"comment")</f>
        <v>comment</v>
      </c>
      <c r="I2160" s="2" t="str">
        <f>IFERROR(__xludf.DUMMYFUNCTION("""COMPUTED_VALUE"""),"https://www.facebook.com/rapplerdotcom/photos/a.317154781638645/5594954703858600/")</f>
        <v>https://www.facebook.com/rapplerdotcom/photos/a.317154781638645/5594954703858600/</v>
      </c>
      <c r="J2160" s="1" t="str">
        <f>IFERROR(__xludf.DUMMYFUNCTION("""COMPUTED_VALUE"""),"2022-07-04T15:48:35.884Z")</f>
        <v>2022-07-04T15:48:35.884Z</v>
      </c>
      <c r="K2160" s="1"/>
    </row>
    <row r="2161">
      <c r="A2161" s="2" t="str">
        <f>IFERROR(__xludf.DUMMYFUNCTION("""COMPUTED_VALUE"""),"https://www.facebook.com/phoebe.fernandez.12576")</f>
        <v>https://www.facebook.com/phoebe.fernandez.12576</v>
      </c>
      <c r="B2161" s="1" t="str">
        <f>IFERROR(__xludf.DUMMYFUNCTION("""COMPUTED_VALUE"""),"Fatima Fernandez Gabriel")</f>
        <v>Fatima Fernandez Gabriel</v>
      </c>
      <c r="C2161" s="1" t="str">
        <f>IFERROR(__xludf.DUMMYFUNCTION("""COMPUTED_VALUE"""),"Fatima")</f>
        <v>Fatima</v>
      </c>
      <c r="D2161" s="1" t="str">
        <f>IFERROR(__xludf.DUMMYFUNCTION("""COMPUTED_VALUE"""),"Fernandez Gabriel")</f>
        <v>Fernandez Gabriel</v>
      </c>
      <c r="E2161" s="1" t="str">
        <f>IFERROR(__xludf.DUMMYFUNCTION("""COMPUTED_VALUE"""),"Salita lang yan tulad dati noynoy wala asinso pilipinas dumami lang adik sa pilipinas. Sabi noon matuwid na daan pero saan ang matuwid walang duterte umupo sabog na pilipinas.")</f>
        <v>Salita lang yan tulad dati noynoy wala asinso pilipinas dumami lang adik sa pilipinas. Sabi noon matuwid na daan pero saan ang matuwid walang duterte umupo sabog na pilipinas.</v>
      </c>
      <c r="F2161" s="1"/>
      <c r="G2161" s="1" t="str">
        <f>IFERROR(__xludf.DUMMYFUNCTION("""COMPUTED_VALUE"""),"3 mos")</f>
        <v>3 mos</v>
      </c>
      <c r="H2161" s="1" t="str">
        <f>IFERROR(__xludf.DUMMYFUNCTION("""COMPUTED_VALUE"""),"comment")</f>
        <v>comment</v>
      </c>
      <c r="I2161" s="2" t="str">
        <f>IFERROR(__xludf.DUMMYFUNCTION("""COMPUTED_VALUE"""),"https://www.facebook.com/rapplerdotcom/photos/a.317154781638645/5594954703858600/")</f>
        <v>https://www.facebook.com/rapplerdotcom/photos/a.317154781638645/5594954703858600/</v>
      </c>
      <c r="J2161" s="1" t="str">
        <f>IFERROR(__xludf.DUMMYFUNCTION("""COMPUTED_VALUE"""),"2022-07-04T15:48:35.884Z")</f>
        <v>2022-07-04T15:48:35.884Z</v>
      </c>
      <c r="K2161" s="1"/>
    </row>
    <row r="2162">
      <c r="A2162" s="2" t="str">
        <f>IFERROR(__xludf.DUMMYFUNCTION("""COMPUTED_VALUE"""),"https://www.facebook.com/CornerPrinter.ph")</f>
        <v>https://www.facebook.com/CornerPrinter.ph</v>
      </c>
      <c r="B2162" s="1" t="str">
        <f>IFERROR(__xludf.DUMMYFUNCTION("""COMPUTED_VALUE"""),"Corner Print Services")</f>
        <v>Corner Print Services</v>
      </c>
      <c r="C2162" s="1" t="str">
        <f>IFERROR(__xludf.DUMMYFUNCTION("""COMPUTED_VALUE"""),"Corner")</f>
        <v>Corner</v>
      </c>
      <c r="D2162" s="1" t="str">
        <f>IFERROR(__xludf.DUMMYFUNCTION("""COMPUTED_VALUE"""),"Print Services")</f>
        <v>Print Services</v>
      </c>
      <c r="E2162" s="1" t="str">
        <f>IFERROR(__xludf.DUMMYFUNCTION("""COMPUTED_VALUE"""),"eto taong to ang nagpasaya ng marami tao marami salamat sayo mar.")</f>
        <v>eto taong to ang nagpasaya ng marami tao marami salamat sayo mar.</v>
      </c>
      <c r="F2162" s="1">
        <f>IFERROR(__xludf.DUMMYFUNCTION("""COMPUTED_VALUE"""),1.0)</f>
        <v>1</v>
      </c>
      <c r="G2162" s="1" t="str">
        <f>IFERROR(__xludf.DUMMYFUNCTION("""COMPUTED_VALUE"""),"3 mos")</f>
        <v>3 mos</v>
      </c>
      <c r="H2162" s="1" t="str">
        <f>IFERROR(__xludf.DUMMYFUNCTION("""COMPUTED_VALUE"""),"comment")</f>
        <v>comment</v>
      </c>
      <c r="I2162" s="2" t="str">
        <f>IFERROR(__xludf.DUMMYFUNCTION("""COMPUTED_VALUE"""),"https://www.facebook.com/rapplerdotcom/photos/a.317154781638645/5594954703858600/")</f>
        <v>https://www.facebook.com/rapplerdotcom/photos/a.317154781638645/5594954703858600/</v>
      </c>
      <c r="J2162" s="1" t="str">
        <f>IFERROR(__xludf.DUMMYFUNCTION("""COMPUTED_VALUE"""),"2022-07-04T15:48:35.885Z")</f>
        <v>2022-07-04T15:48:35.885Z</v>
      </c>
      <c r="K2162" s="1"/>
    </row>
    <row r="2163">
      <c r="A2163" s="2" t="str">
        <f>IFERROR(__xludf.DUMMYFUNCTION("""COMPUTED_VALUE"""),"https://www.facebook.com/juliusryan.tuquero")</f>
        <v>https://www.facebook.com/juliusryan.tuquero</v>
      </c>
      <c r="B2163" s="1" t="str">
        <f>IFERROR(__xludf.DUMMYFUNCTION("""COMPUTED_VALUE"""),"Julius Ryan Tuquero")</f>
        <v>Julius Ryan Tuquero</v>
      </c>
      <c r="C2163" s="1" t="str">
        <f>IFERROR(__xludf.DUMMYFUNCTION("""COMPUTED_VALUE"""),"Julius")</f>
        <v>Julius</v>
      </c>
      <c r="D2163" s="1" t="str">
        <f>IFERROR(__xludf.DUMMYFUNCTION("""COMPUTED_VALUE"""),"Ryan Tuquero")</f>
        <v>Ryan Tuquero</v>
      </c>
      <c r="E2163" s="1" t="str">
        <f>IFERROR(__xludf.DUMMYFUNCTION("""COMPUTED_VALUE"""),"Anak itabi mo....🙃")</f>
        <v>Anak itabi mo....🙃</v>
      </c>
      <c r="F2163" s="1"/>
      <c r="G2163" s="1" t="str">
        <f>IFERROR(__xludf.DUMMYFUNCTION("""COMPUTED_VALUE"""),"3 mos")</f>
        <v>3 mos</v>
      </c>
      <c r="H2163" s="1" t="str">
        <f>IFERROR(__xludf.DUMMYFUNCTION("""COMPUTED_VALUE"""),"comment")</f>
        <v>comment</v>
      </c>
      <c r="I2163" s="2" t="str">
        <f>IFERROR(__xludf.DUMMYFUNCTION("""COMPUTED_VALUE"""),"https://www.facebook.com/rapplerdotcom/photos/a.317154781638645/5594954703858600/")</f>
        <v>https://www.facebook.com/rapplerdotcom/photos/a.317154781638645/5594954703858600/</v>
      </c>
      <c r="J2163" s="1" t="str">
        <f>IFERROR(__xludf.DUMMYFUNCTION("""COMPUTED_VALUE"""),"2022-07-04T15:48:35.885Z")</f>
        <v>2022-07-04T15:48:35.885Z</v>
      </c>
      <c r="K2163" s="1"/>
    </row>
    <row r="2164">
      <c r="A2164" s="2" t="str">
        <f>IFERROR(__xludf.DUMMYFUNCTION("""COMPUTED_VALUE"""),"https://www.facebook.com/galit.jerol")</f>
        <v>https://www.facebook.com/galit.jerol</v>
      </c>
      <c r="B2164" s="1" t="str">
        <f>IFERROR(__xludf.DUMMYFUNCTION("""COMPUTED_VALUE"""),"Galit Jerol")</f>
        <v>Galit Jerol</v>
      </c>
      <c r="C2164" s="1" t="str">
        <f>IFERROR(__xludf.DUMMYFUNCTION("""COMPUTED_VALUE"""),"Galit")</f>
        <v>Galit</v>
      </c>
      <c r="D2164" s="1" t="str">
        <f>IFERROR(__xludf.DUMMYFUNCTION("""COMPUTED_VALUE"""),"Jerol")</f>
        <v>Jerol</v>
      </c>
      <c r="E2164" s="1" t="str">
        <f>IFERROR(__xludf.DUMMYFUNCTION("""COMPUTED_VALUE"""),"Wag ka dyan robredo malas yan😀😀😀")</f>
        <v>Wag ka dyan robredo malas yan😀😀😀</v>
      </c>
      <c r="F2164" s="1"/>
      <c r="G2164" s="1" t="str">
        <f>IFERROR(__xludf.DUMMYFUNCTION("""COMPUTED_VALUE"""),"3 mos")</f>
        <v>3 mos</v>
      </c>
      <c r="H2164" s="1" t="str">
        <f>IFERROR(__xludf.DUMMYFUNCTION("""COMPUTED_VALUE"""),"comment")</f>
        <v>comment</v>
      </c>
      <c r="I2164" s="2" t="str">
        <f>IFERROR(__xludf.DUMMYFUNCTION("""COMPUTED_VALUE"""),"https://www.facebook.com/rapplerdotcom/photos/a.317154781638645/5594954703858600/")</f>
        <v>https://www.facebook.com/rapplerdotcom/photos/a.317154781638645/5594954703858600/</v>
      </c>
      <c r="J2164" s="1" t="str">
        <f>IFERROR(__xludf.DUMMYFUNCTION("""COMPUTED_VALUE"""),"2022-07-04T15:48:35.885Z")</f>
        <v>2022-07-04T15:48:35.885Z</v>
      </c>
      <c r="K2164" s="1"/>
    </row>
    <row r="2165">
      <c r="A2165" s="2" t="str">
        <f>IFERROR(__xludf.DUMMYFUNCTION("""COMPUTED_VALUE"""),"https://www.facebook.com/stan.galang.3")</f>
        <v>https://www.facebook.com/stan.galang.3</v>
      </c>
      <c r="B2165" s="1" t="str">
        <f>IFERROR(__xludf.DUMMYFUNCTION("""COMPUTED_VALUE"""),"Nats Galang")</f>
        <v>Nats Galang</v>
      </c>
      <c r="C2165" s="1" t="str">
        <f>IFERROR(__xludf.DUMMYFUNCTION("""COMPUTED_VALUE"""),"Nats")</f>
        <v>Nats</v>
      </c>
      <c r="D2165" s="1" t="str">
        <f>IFERROR(__xludf.DUMMYFUNCTION("""COMPUTED_VALUE"""),"Galang")</f>
        <v>Galang</v>
      </c>
      <c r="E2165" s="1" t="str">
        <f>IFERROR(__xludf.DUMMYFUNCTION("""COMPUTED_VALUE"""),"Ui may biglang umahon ah")</f>
        <v>Ui may biglang umahon ah</v>
      </c>
      <c r="F2165" s="1"/>
      <c r="G2165" s="1" t="str">
        <f>IFERROR(__xludf.DUMMYFUNCTION("""COMPUTED_VALUE"""),"3 mos")</f>
        <v>3 mos</v>
      </c>
      <c r="H2165" s="1" t="str">
        <f>IFERROR(__xludf.DUMMYFUNCTION("""COMPUTED_VALUE"""),"comment")</f>
        <v>comment</v>
      </c>
      <c r="I2165" s="2" t="str">
        <f>IFERROR(__xludf.DUMMYFUNCTION("""COMPUTED_VALUE"""),"https://www.facebook.com/rapplerdotcom/photos/a.317154781638645/5594954703858600/")</f>
        <v>https://www.facebook.com/rapplerdotcom/photos/a.317154781638645/5594954703858600/</v>
      </c>
      <c r="J2165" s="1" t="str">
        <f>IFERROR(__xludf.DUMMYFUNCTION("""COMPUTED_VALUE"""),"2022-07-04T15:48:35.885Z")</f>
        <v>2022-07-04T15:48:35.885Z</v>
      </c>
      <c r="K2165" s="1"/>
    </row>
    <row r="2166">
      <c r="A2166" s="2" t="str">
        <f>IFERROR(__xludf.DUMMYFUNCTION("""COMPUTED_VALUE"""),"https://www.facebook.com/profile.php?id=100011150311111")</f>
        <v>https://www.facebook.com/profile.php?id=100011150311111</v>
      </c>
      <c r="B2166" s="1" t="str">
        <f>IFERROR(__xludf.DUMMYFUNCTION("""COMPUTED_VALUE"""),"Kristoff O. Emit")</f>
        <v>Kristoff O. Emit</v>
      </c>
      <c r="C2166" s="1" t="str">
        <f>IFERROR(__xludf.DUMMYFUNCTION("""COMPUTED_VALUE"""),"Kristoff")</f>
        <v>Kristoff</v>
      </c>
      <c r="D2166" s="1" t="str">
        <f>IFERROR(__xludf.DUMMYFUNCTION("""COMPUTED_VALUE"""),"O. Emit")</f>
        <v>O. Emit</v>
      </c>
      <c r="E2166" s="1" t="str">
        <f>IFERROR(__xludf.DUMMYFUNCTION("""COMPUTED_VALUE"""),"thank you sir mar Roxas..sa supporta ky ma'am lenie and sir kiko💓💓💓")</f>
        <v>thank you sir mar Roxas..sa supporta ky ma'am lenie and sir kiko💓💓💓</v>
      </c>
      <c r="F2166" s="1"/>
      <c r="G2166" s="1" t="str">
        <f>IFERROR(__xludf.DUMMYFUNCTION("""COMPUTED_VALUE"""),"3 mos")</f>
        <v>3 mos</v>
      </c>
      <c r="H2166" s="1" t="str">
        <f>IFERROR(__xludf.DUMMYFUNCTION("""COMPUTED_VALUE"""),"comment")</f>
        <v>comment</v>
      </c>
      <c r="I2166" s="2" t="str">
        <f>IFERROR(__xludf.DUMMYFUNCTION("""COMPUTED_VALUE"""),"https://www.facebook.com/rapplerdotcom/photos/a.317154781638645/5594954703858600/")</f>
        <v>https://www.facebook.com/rapplerdotcom/photos/a.317154781638645/5594954703858600/</v>
      </c>
      <c r="J2166" s="1" t="str">
        <f>IFERROR(__xludf.DUMMYFUNCTION("""COMPUTED_VALUE"""),"2022-07-04T15:48:35.885Z")</f>
        <v>2022-07-04T15:48:35.885Z</v>
      </c>
      <c r="K2166" s="1"/>
    </row>
    <row r="2167">
      <c r="A2167" s="2" t="str">
        <f>IFERROR(__xludf.DUMMYFUNCTION("""COMPUTED_VALUE"""),"https://www.facebook.com/edgar.basibas.1")</f>
        <v>https://www.facebook.com/edgar.basibas.1</v>
      </c>
      <c r="B2167" s="1" t="str">
        <f>IFERROR(__xludf.DUMMYFUNCTION("""COMPUTED_VALUE"""),"Edgar Basibas")</f>
        <v>Edgar Basibas</v>
      </c>
      <c r="C2167" s="1" t="str">
        <f>IFERROR(__xludf.DUMMYFUNCTION("""COMPUTED_VALUE"""),"Edgar")</f>
        <v>Edgar</v>
      </c>
      <c r="D2167" s="1" t="str">
        <f>IFERROR(__xludf.DUMMYFUNCTION("""COMPUTED_VALUE"""),"Basibas")</f>
        <v>Basibas</v>
      </c>
      <c r="E2167" s="1" t="str">
        <f>IFERROR(__xludf.DUMMYFUNCTION("""COMPUTED_VALUE"""),"Kolialat nga ASA pa")</f>
        <v>Kolialat nga ASA pa</v>
      </c>
      <c r="F2167" s="1"/>
      <c r="G2167" s="1" t="str">
        <f>IFERROR(__xludf.DUMMYFUNCTION("""COMPUTED_VALUE"""),"3 mos")</f>
        <v>3 mos</v>
      </c>
      <c r="H2167" s="1" t="str">
        <f>IFERROR(__xludf.DUMMYFUNCTION("""COMPUTED_VALUE"""),"comment")</f>
        <v>comment</v>
      </c>
      <c r="I2167" s="2" t="str">
        <f>IFERROR(__xludf.DUMMYFUNCTION("""COMPUTED_VALUE"""),"https://www.facebook.com/rapplerdotcom/photos/a.317154781638645/5594954703858600/")</f>
        <v>https://www.facebook.com/rapplerdotcom/photos/a.317154781638645/5594954703858600/</v>
      </c>
      <c r="J2167" s="1" t="str">
        <f>IFERROR(__xludf.DUMMYFUNCTION("""COMPUTED_VALUE"""),"2022-07-04T15:48:35.885Z")</f>
        <v>2022-07-04T15:48:35.885Z</v>
      </c>
      <c r="K2167" s="1"/>
    </row>
    <row r="2168">
      <c r="A2168" s="2" t="str">
        <f>IFERROR(__xludf.DUMMYFUNCTION("""COMPUTED_VALUE"""),"https://www.facebook.com/sayunara.lisura")</f>
        <v>https://www.facebook.com/sayunara.lisura</v>
      </c>
      <c r="B2168" s="1" t="str">
        <f>IFERROR(__xludf.DUMMYFUNCTION("""COMPUTED_VALUE"""),"Len Josol")</f>
        <v>Len Josol</v>
      </c>
      <c r="C2168" s="1" t="str">
        <f>IFERROR(__xludf.DUMMYFUNCTION("""COMPUTED_VALUE"""),"Len")</f>
        <v>Len</v>
      </c>
      <c r="D2168" s="1" t="str">
        <f>IFERROR(__xludf.DUMMYFUNCTION("""COMPUTED_VALUE"""),"Josol")</f>
        <v>Josol</v>
      </c>
      <c r="E2168" s="1" t="str">
        <f>IFERROR(__xludf.DUMMYFUNCTION("""COMPUTED_VALUE"""),"nisamot 😆")</f>
        <v>nisamot 😆</v>
      </c>
      <c r="F2168" s="1">
        <f>IFERROR(__xludf.DUMMYFUNCTION("""COMPUTED_VALUE"""),1.0)</f>
        <v>1</v>
      </c>
      <c r="G2168" s="1" t="str">
        <f>IFERROR(__xludf.DUMMYFUNCTION("""COMPUTED_VALUE"""),"3 mos")</f>
        <v>3 mos</v>
      </c>
      <c r="H2168" s="1" t="str">
        <f>IFERROR(__xludf.DUMMYFUNCTION("""COMPUTED_VALUE"""),"comment")</f>
        <v>comment</v>
      </c>
      <c r="I2168" s="2" t="str">
        <f>IFERROR(__xludf.DUMMYFUNCTION("""COMPUTED_VALUE"""),"https://www.facebook.com/rapplerdotcom/photos/a.317154781638645/5594954703858600/")</f>
        <v>https://www.facebook.com/rapplerdotcom/photos/a.317154781638645/5594954703858600/</v>
      </c>
      <c r="J2168" s="1" t="str">
        <f>IFERROR(__xludf.DUMMYFUNCTION("""COMPUTED_VALUE"""),"2022-07-04T15:48:35.885Z")</f>
        <v>2022-07-04T15:48:35.885Z</v>
      </c>
      <c r="K2168" s="1"/>
    </row>
    <row r="2169">
      <c r="A2169" s="2" t="str">
        <f>IFERROR(__xludf.DUMMYFUNCTION("""COMPUTED_VALUE"""),"https://www.facebook.com/kenneth.cauntay")</f>
        <v>https://www.facebook.com/kenneth.cauntay</v>
      </c>
      <c r="B2169" s="1" t="str">
        <f>IFERROR(__xludf.DUMMYFUNCTION("""COMPUTED_VALUE"""),"Kenneth Cauntay")</f>
        <v>Kenneth Cauntay</v>
      </c>
      <c r="C2169" s="1" t="str">
        <f>IFERROR(__xludf.DUMMYFUNCTION("""COMPUTED_VALUE"""),"Kenneth")</f>
        <v>Kenneth</v>
      </c>
      <c r="D2169" s="1" t="str">
        <f>IFERROR(__xludf.DUMMYFUNCTION("""COMPUTED_VALUE"""),"Cauntay")</f>
        <v>Cauntay</v>
      </c>
      <c r="E2169" s="1" t="str">
        <f>IFERROR(__xludf.DUMMYFUNCTION("""COMPUTED_VALUE"""),"Baka mapalo ka ni  Corina!!!")</f>
        <v>Baka mapalo ka ni  Corina!!!</v>
      </c>
      <c r="F2169" s="1"/>
      <c r="G2169" s="1" t="str">
        <f>IFERROR(__xludf.DUMMYFUNCTION("""COMPUTED_VALUE"""),"3 mos")</f>
        <v>3 mos</v>
      </c>
      <c r="H2169" s="1" t="str">
        <f>IFERROR(__xludf.DUMMYFUNCTION("""COMPUTED_VALUE"""),"comment")</f>
        <v>comment</v>
      </c>
      <c r="I2169" s="2" t="str">
        <f>IFERROR(__xludf.DUMMYFUNCTION("""COMPUTED_VALUE"""),"https://www.facebook.com/rapplerdotcom/photos/a.317154781638645/5594954703858600/")</f>
        <v>https://www.facebook.com/rapplerdotcom/photos/a.317154781638645/5594954703858600/</v>
      </c>
      <c r="J2169" s="1" t="str">
        <f>IFERROR(__xludf.DUMMYFUNCTION("""COMPUTED_VALUE"""),"2022-07-04T15:48:35.885Z")</f>
        <v>2022-07-04T15:48:35.885Z</v>
      </c>
      <c r="K2169" s="1"/>
    </row>
    <row r="2170">
      <c r="A2170" s="2" t="str">
        <f>IFERROR(__xludf.DUMMYFUNCTION("""COMPUTED_VALUE"""),"https://www.facebook.com/rachillecagwin")</f>
        <v>https://www.facebook.com/rachillecagwin</v>
      </c>
      <c r="B2170" s="1" t="str">
        <f>IFERROR(__xludf.DUMMYFUNCTION("""COMPUTED_VALUE"""),"Rachille Lepiten Cagwin-Parken")</f>
        <v>Rachille Lepiten Cagwin-Parken</v>
      </c>
      <c r="C2170" s="1" t="str">
        <f>IFERROR(__xludf.DUMMYFUNCTION("""COMPUTED_VALUE"""),"Rachille")</f>
        <v>Rachille</v>
      </c>
      <c r="D2170" s="1" t="str">
        <f>IFERROR(__xludf.DUMMYFUNCTION("""COMPUTED_VALUE"""),"Lepiten Cagwin-Parken")</f>
        <v>Lepiten Cagwin-Parken</v>
      </c>
      <c r="E2170" s="1" t="str">
        <f>IFERROR(__xludf.DUMMYFUNCTION("""COMPUTED_VALUE"""),"Trapik bai trapik")</f>
        <v>Trapik bai trapik</v>
      </c>
      <c r="F2170" s="1"/>
      <c r="G2170" s="1" t="str">
        <f>IFERROR(__xludf.DUMMYFUNCTION("""COMPUTED_VALUE"""),"3 mos")</f>
        <v>3 mos</v>
      </c>
      <c r="H2170" s="1" t="str">
        <f>IFERROR(__xludf.DUMMYFUNCTION("""COMPUTED_VALUE"""),"comment")</f>
        <v>comment</v>
      </c>
      <c r="I2170" s="2" t="str">
        <f>IFERROR(__xludf.DUMMYFUNCTION("""COMPUTED_VALUE"""),"https://www.facebook.com/rapplerdotcom/photos/a.317154781638645/5594954703858600/")</f>
        <v>https://www.facebook.com/rapplerdotcom/photos/a.317154781638645/5594954703858600/</v>
      </c>
      <c r="J2170" s="1" t="str">
        <f>IFERROR(__xludf.DUMMYFUNCTION("""COMPUTED_VALUE"""),"2022-07-04T15:48:35.885Z")</f>
        <v>2022-07-04T15:48:35.885Z</v>
      </c>
      <c r="K2170" s="1"/>
    </row>
    <row r="2171">
      <c r="A2171" s="2" t="str">
        <f>IFERROR(__xludf.DUMMYFUNCTION("""COMPUTED_VALUE"""),"https://www.facebook.com/smooch.dash.3")</f>
        <v>https://www.facebook.com/smooch.dash.3</v>
      </c>
      <c r="B2171" s="1" t="str">
        <f>IFERROR(__xludf.DUMMYFUNCTION("""COMPUTED_VALUE"""),"Fabtwo Smooch")</f>
        <v>Fabtwo Smooch</v>
      </c>
      <c r="C2171" s="1" t="str">
        <f>IFERROR(__xludf.DUMMYFUNCTION("""COMPUTED_VALUE"""),"Fabtwo")</f>
        <v>Fabtwo</v>
      </c>
      <c r="D2171" s="1" t="str">
        <f>IFERROR(__xludf.DUMMYFUNCTION("""COMPUTED_VALUE"""),"Smooch")</f>
        <v>Smooch</v>
      </c>
      <c r="E2171" s="1" t="str">
        <f>IFERROR(__xludf.DUMMYFUNCTION("""COMPUTED_VALUE"""),"🌸🌸🌸🌷🌷🌷🎀🎀🎀💓💓💓Thank you po Senator Mar Roxas!!!👏🏻👏🏻👏🏻 Proud Capiznon here. #LeniKikoAllTheWay #KulayRosasAngBukas #LetLeniLead2022")</f>
        <v>🌸🌸🌸🌷🌷🌷🎀🎀🎀💓💓💓Thank you po Senator Mar Roxas!!!👏🏻👏🏻👏🏻 Proud Capiznon here. #LeniKikoAllTheWay #KulayRosasAngBukas #LetLeniLead2022</v>
      </c>
      <c r="F2171" s="1"/>
      <c r="G2171" s="1" t="str">
        <f>IFERROR(__xludf.DUMMYFUNCTION("""COMPUTED_VALUE"""),"3 mos")</f>
        <v>3 mos</v>
      </c>
      <c r="H2171" s="1" t="str">
        <f>IFERROR(__xludf.DUMMYFUNCTION("""COMPUTED_VALUE"""),"comment")</f>
        <v>comment</v>
      </c>
      <c r="I2171" s="2" t="str">
        <f>IFERROR(__xludf.DUMMYFUNCTION("""COMPUTED_VALUE"""),"https://www.facebook.com/rapplerdotcom/photos/a.317154781638645/5594954703858600/")</f>
        <v>https://www.facebook.com/rapplerdotcom/photos/a.317154781638645/5594954703858600/</v>
      </c>
      <c r="J2171" s="1" t="str">
        <f>IFERROR(__xludf.DUMMYFUNCTION("""COMPUTED_VALUE"""),"2022-07-04T15:48:35.885Z")</f>
        <v>2022-07-04T15:48:35.885Z</v>
      </c>
      <c r="K2171" s="1"/>
    </row>
    <row r="2172">
      <c r="A2172" s="2" t="str">
        <f>IFERROR(__xludf.DUMMYFUNCTION("""COMPUTED_VALUE"""),"https://www.facebook.com/areumdawoyo")</f>
        <v>https://www.facebook.com/areumdawoyo</v>
      </c>
      <c r="B2172" s="1" t="str">
        <f>IFERROR(__xludf.DUMMYFUNCTION("""COMPUTED_VALUE"""),"Roniinn Abellera")</f>
        <v>Roniinn Abellera</v>
      </c>
      <c r="C2172" s="1" t="str">
        <f>IFERROR(__xludf.DUMMYFUNCTION("""COMPUTED_VALUE"""),"Roniinn")</f>
        <v>Roniinn</v>
      </c>
      <c r="D2172" s="1" t="str">
        <f>IFERROR(__xludf.DUMMYFUNCTION("""COMPUTED_VALUE"""),"Abellera")</f>
        <v>Abellera</v>
      </c>
      <c r="E2172" s="1" t="str">
        <f>IFERROR(__xludf.DUMMYFUNCTION("""COMPUTED_VALUE"""),"ISA KA PA")</f>
        <v>ISA KA PA</v>
      </c>
      <c r="F2172" s="1"/>
      <c r="G2172" s="1" t="str">
        <f>IFERROR(__xludf.DUMMYFUNCTION("""COMPUTED_VALUE"""),"3 mos")</f>
        <v>3 mos</v>
      </c>
      <c r="H2172" s="1" t="str">
        <f>IFERROR(__xludf.DUMMYFUNCTION("""COMPUTED_VALUE"""),"comment")</f>
        <v>comment</v>
      </c>
      <c r="I2172" s="2" t="str">
        <f>IFERROR(__xludf.DUMMYFUNCTION("""COMPUTED_VALUE"""),"https://www.facebook.com/rapplerdotcom/photos/a.317154781638645/5594954703858600/")</f>
        <v>https://www.facebook.com/rapplerdotcom/photos/a.317154781638645/5594954703858600/</v>
      </c>
      <c r="J2172" s="1" t="str">
        <f>IFERROR(__xludf.DUMMYFUNCTION("""COMPUTED_VALUE"""),"2022-07-04T15:48:35.885Z")</f>
        <v>2022-07-04T15:48:35.885Z</v>
      </c>
      <c r="K2172" s="1"/>
    </row>
    <row r="2173">
      <c r="A2173" s="2" t="str">
        <f>IFERROR(__xludf.DUMMYFUNCTION("""COMPUTED_VALUE"""),"https://www.facebook.com/jefferson.parrocha.3")</f>
        <v>https://www.facebook.com/jefferson.parrocha.3</v>
      </c>
      <c r="B2173" s="1" t="str">
        <f>IFERROR(__xludf.DUMMYFUNCTION("""COMPUTED_VALUE"""),"Jefferson Estandian Parrocha Jr.")</f>
        <v>Jefferson Estandian Parrocha Jr.</v>
      </c>
      <c r="C2173" s="1" t="str">
        <f>IFERROR(__xludf.DUMMYFUNCTION("""COMPUTED_VALUE"""),"Jefferson")</f>
        <v>Jefferson</v>
      </c>
      <c r="D2173" s="1" t="str">
        <f>IFERROR(__xludf.DUMMYFUNCTION("""COMPUTED_VALUE"""),"Estandian Parrocha Jr.")</f>
        <v>Estandian Parrocha Jr.</v>
      </c>
      <c r="E2173" s="1" t="str">
        <f>IFERROR(__xludf.DUMMYFUNCTION("""COMPUTED_VALUE"""),"sir mar traffic nman edsa bka naman🤣🤣")</f>
        <v>sir mar traffic nman edsa bka naman🤣🤣</v>
      </c>
      <c r="F2173" s="1">
        <f>IFERROR(__xludf.DUMMYFUNCTION("""COMPUTED_VALUE"""),3.0)</f>
        <v>3</v>
      </c>
      <c r="G2173" s="1" t="str">
        <f>IFERROR(__xludf.DUMMYFUNCTION("""COMPUTED_VALUE"""),"3 mos")</f>
        <v>3 mos</v>
      </c>
      <c r="H2173" s="1" t="str">
        <f>IFERROR(__xludf.DUMMYFUNCTION("""COMPUTED_VALUE"""),"comment")</f>
        <v>comment</v>
      </c>
      <c r="I2173" s="2" t="str">
        <f>IFERROR(__xludf.DUMMYFUNCTION("""COMPUTED_VALUE"""),"https://www.facebook.com/rapplerdotcom/photos/a.317154781638645/5594954703858600/")</f>
        <v>https://www.facebook.com/rapplerdotcom/photos/a.317154781638645/5594954703858600/</v>
      </c>
      <c r="J2173" s="1" t="str">
        <f>IFERROR(__xludf.DUMMYFUNCTION("""COMPUTED_VALUE"""),"2022-07-04T15:48:35.885Z")</f>
        <v>2022-07-04T15:48:35.885Z</v>
      </c>
      <c r="K2173" s="1"/>
    </row>
    <row r="2174">
      <c r="A2174" s="2" t="str">
        <f>IFERROR(__xludf.DUMMYFUNCTION("""COMPUTED_VALUE"""),"https://www.facebook.com/rick.capunihan")</f>
        <v>https://www.facebook.com/rick.capunihan</v>
      </c>
      <c r="B2174" s="1" t="str">
        <f>IFERROR(__xludf.DUMMYFUNCTION("""COMPUTED_VALUE"""),"Rick Capunihan")</f>
        <v>Rick Capunihan</v>
      </c>
      <c r="C2174" s="1" t="str">
        <f>IFERROR(__xludf.DUMMYFUNCTION("""COMPUTED_VALUE"""),"Rick")</f>
        <v>Rick</v>
      </c>
      <c r="D2174" s="1" t="str">
        <f>IFERROR(__xludf.DUMMYFUNCTION("""COMPUTED_VALUE"""),"Capunihan")</f>
        <v>Capunihan</v>
      </c>
      <c r="E2174" s="1" t="str">
        <f>IFERROR(__xludf.DUMMYFUNCTION("""COMPUTED_VALUE"""),"doon ka mag salita sa harap ng taga leyte at samar ang Yolanda Funds nasaan na daw")</f>
        <v>doon ka mag salita sa harap ng taga leyte at samar ang Yolanda Funds nasaan na daw</v>
      </c>
      <c r="F2174" s="1">
        <f>IFERROR(__xludf.DUMMYFUNCTION("""COMPUTED_VALUE"""),7.0)</f>
        <v>7</v>
      </c>
      <c r="G2174" s="1" t="str">
        <f>IFERROR(__xludf.DUMMYFUNCTION("""COMPUTED_VALUE"""),"3 mos")</f>
        <v>3 mos</v>
      </c>
      <c r="H2174" s="1" t="str">
        <f>IFERROR(__xludf.DUMMYFUNCTION("""COMPUTED_VALUE"""),"comment")</f>
        <v>comment</v>
      </c>
      <c r="I2174" s="2" t="str">
        <f>IFERROR(__xludf.DUMMYFUNCTION("""COMPUTED_VALUE"""),"https://www.facebook.com/rapplerdotcom/photos/a.317154781638645/5594954703858600/")</f>
        <v>https://www.facebook.com/rapplerdotcom/photos/a.317154781638645/5594954703858600/</v>
      </c>
      <c r="J2174" s="1" t="str">
        <f>IFERROR(__xludf.DUMMYFUNCTION("""COMPUTED_VALUE"""),"2022-07-04T15:48:35.885Z")</f>
        <v>2022-07-04T15:48:35.885Z</v>
      </c>
      <c r="K2174" s="1"/>
    </row>
    <row r="2175">
      <c r="A2175" s="2" t="str">
        <f>IFERROR(__xludf.DUMMYFUNCTION("""COMPUTED_VALUE"""),"https://www.facebook.com/nora.montejo.925")</f>
        <v>https://www.facebook.com/nora.montejo.925</v>
      </c>
      <c r="B2175" s="1" t="str">
        <f>IFERROR(__xludf.DUMMYFUNCTION("""COMPUTED_VALUE"""),"Nora Montejo")</f>
        <v>Nora Montejo</v>
      </c>
      <c r="C2175" s="1" t="str">
        <f>IFERROR(__xludf.DUMMYFUNCTION("""COMPUTED_VALUE"""),"Nora")</f>
        <v>Nora</v>
      </c>
      <c r="D2175" s="1" t="str">
        <f>IFERROR(__xludf.DUMMYFUNCTION("""COMPUTED_VALUE"""),"Montejo")</f>
        <v>Montejo</v>
      </c>
      <c r="E2175" s="1" t="str">
        <f>IFERROR(__xludf.DUMMYFUNCTION("""COMPUTED_VALUE"""),"Rick Capunihan Itanong mo k Romualdez at doon nya ibinigay noh!")</f>
        <v>Rick Capunihan Itanong mo k Romualdez at doon nya ibinigay noh!</v>
      </c>
      <c r="F2175" s="1">
        <f>IFERROR(__xludf.DUMMYFUNCTION("""COMPUTED_VALUE"""),4.0)</f>
        <v>4</v>
      </c>
      <c r="G2175" s="1" t="str">
        <f>IFERROR(__xludf.DUMMYFUNCTION("""COMPUTED_VALUE"""),"3 mos")</f>
        <v>3 mos</v>
      </c>
      <c r="H2175" s="1" t="str">
        <f>IFERROR(__xludf.DUMMYFUNCTION("""COMPUTED_VALUE"""),"reply")</f>
        <v>reply</v>
      </c>
      <c r="I2175" s="2" t="str">
        <f>IFERROR(__xludf.DUMMYFUNCTION("""COMPUTED_VALUE"""),"https://www.facebook.com/rapplerdotcom/photos/a.317154781638645/5594954703858600/")</f>
        <v>https://www.facebook.com/rapplerdotcom/photos/a.317154781638645/5594954703858600/</v>
      </c>
      <c r="J2175" s="1" t="str">
        <f>IFERROR(__xludf.DUMMYFUNCTION("""COMPUTED_VALUE"""),"2022-07-04T15:48:35.885Z")</f>
        <v>2022-07-04T15:48:35.885Z</v>
      </c>
      <c r="K2175" s="1"/>
    </row>
    <row r="2176">
      <c r="A2176" s="2" t="str">
        <f>IFERROR(__xludf.DUMMYFUNCTION("""COMPUTED_VALUE"""),"https://www.facebook.com/rick.capunihan")</f>
        <v>https://www.facebook.com/rick.capunihan</v>
      </c>
      <c r="B2176" s="1" t="str">
        <f>IFERROR(__xludf.DUMMYFUNCTION("""COMPUTED_VALUE"""),"Rick Capunihan")</f>
        <v>Rick Capunihan</v>
      </c>
      <c r="C2176" s="1" t="str">
        <f>IFERROR(__xludf.DUMMYFUNCTION("""COMPUTED_VALUE"""),"Rick")</f>
        <v>Rick</v>
      </c>
      <c r="D2176" s="1" t="str">
        <f>IFERROR(__xludf.DUMMYFUNCTION("""COMPUTED_VALUE"""),"Capunihan")</f>
        <v>Capunihan</v>
      </c>
      <c r="E2176" s="1" t="str">
        <f>IFERROR(__xludf.DUMMYFUNCTION("""COMPUTED_VALUE"""),"Nora Montejo tinanong ko na no? walang binigay sa kanya talaga kasama nia si Pinoy")</f>
        <v>Nora Montejo tinanong ko na no? walang binigay sa kanya talaga kasama nia si Pinoy</v>
      </c>
      <c r="F2176" s="1">
        <f>IFERROR(__xludf.DUMMYFUNCTION("""COMPUTED_VALUE"""),1.0)</f>
        <v>1</v>
      </c>
      <c r="G2176" s="1" t="str">
        <f>IFERROR(__xludf.DUMMYFUNCTION("""COMPUTED_VALUE"""),"3 mos")</f>
        <v>3 mos</v>
      </c>
      <c r="H2176" s="1" t="str">
        <f>IFERROR(__xludf.DUMMYFUNCTION("""COMPUTED_VALUE"""),"reply")</f>
        <v>reply</v>
      </c>
      <c r="I2176" s="2" t="str">
        <f>IFERROR(__xludf.DUMMYFUNCTION("""COMPUTED_VALUE"""),"https://www.facebook.com/rapplerdotcom/photos/a.317154781638645/5594954703858600/")</f>
        <v>https://www.facebook.com/rapplerdotcom/photos/a.317154781638645/5594954703858600/</v>
      </c>
      <c r="J2176" s="1" t="str">
        <f>IFERROR(__xludf.DUMMYFUNCTION("""COMPUTED_VALUE"""),"2022-07-04T15:48:35.885Z")</f>
        <v>2022-07-04T15:48:35.885Z</v>
      </c>
      <c r="K2176" s="1"/>
    </row>
    <row r="2177">
      <c r="A2177" s="2" t="str">
        <f>IFERROR(__xludf.DUMMYFUNCTION("""COMPUTED_VALUE"""),"https://www.facebook.com/tolits.briones")</f>
        <v>https://www.facebook.com/tolits.briones</v>
      </c>
      <c r="B2177" s="1" t="str">
        <f>IFERROR(__xludf.DUMMYFUNCTION("""COMPUTED_VALUE"""),"Tolits Briones")</f>
        <v>Tolits Briones</v>
      </c>
      <c r="C2177" s="1" t="str">
        <f>IFERROR(__xludf.DUMMYFUNCTION("""COMPUTED_VALUE"""),"Tolits")</f>
        <v>Tolits</v>
      </c>
      <c r="D2177" s="1" t="str">
        <f>IFERROR(__xludf.DUMMYFUNCTION("""COMPUTED_VALUE"""),"Briones")</f>
        <v>Briones</v>
      </c>
      <c r="E2177" s="1" t="str">
        <f>IFERROR(__xludf.DUMMYFUNCTION("""COMPUTED_VALUE"""),"Rick Capunihan ay sarado ba ang utak mo at hindi mo alam kung saan dinala ni Duterte ung 5bilyon nq Yolanda fund? 🤣🤣🤣 grabing T*n*@ mo..ginamit ni Duterte sa Marawi un..")</f>
        <v>Rick Capunihan ay sarado ba ang utak mo at hindi mo alam kung saan dinala ni Duterte ung 5bilyon nq Yolanda fund? 🤣🤣🤣 grabing T*n*@ mo..ginamit ni Duterte sa Marawi un..</v>
      </c>
      <c r="F2177" s="1"/>
      <c r="G2177" s="1" t="str">
        <f>IFERROR(__xludf.DUMMYFUNCTION("""COMPUTED_VALUE"""),"3 mos")</f>
        <v>3 mos</v>
      </c>
      <c r="H2177" s="1" t="str">
        <f>IFERROR(__xludf.DUMMYFUNCTION("""COMPUTED_VALUE"""),"reply")</f>
        <v>reply</v>
      </c>
      <c r="I2177" s="2" t="str">
        <f>IFERROR(__xludf.DUMMYFUNCTION("""COMPUTED_VALUE"""),"https://www.facebook.com/rapplerdotcom/photos/a.317154781638645/5594954703858600/")</f>
        <v>https://www.facebook.com/rapplerdotcom/photos/a.317154781638645/5594954703858600/</v>
      </c>
      <c r="J2177" s="1" t="str">
        <f>IFERROR(__xludf.DUMMYFUNCTION("""COMPUTED_VALUE"""),"2022-07-04T15:48:35.885Z")</f>
        <v>2022-07-04T15:48:35.885Z</v>
      </c>
      <c r="K2177" s="1"/>
    </row>
    <row r="2178">
      <c r="A2178" s="2" t="str">
        <f>IFERROR(__xludf.DUMMYFUNCTION("""COMPUTED_VALUE"""),"https://www.facebook.com/euji.666")</f>
        <v>https://www.facebook.com/euji.666</v>
      </c>
      <c r="B2178" s="1" t="str">
        <f>IFERROR(__xludf.DUMMYFUNCTION("""COMPUTED_VALUE"""),"Euji Ishizaki")</f>
        <v>Euji Ishizaki</v>
      </c>
      <c r="C2178" s="1" t="str">
        <f>IFERROR(__xludf.DUMMYFUNCTION("""COMPUTED_VALUE"""),"Euji")</f>
        <v>Euji</v>
      </c>
      <c r="D2178" s="1" t="str">
        <f>IFERROR(__xludf.DUMMYFUNCTION("""COMPUTED_VALUE"""),"Ishizaki")</f>
        <v>Ishizaki</v>
      </c>
      <c r="E2178" s="1" t="str">
        <f>IFERROR(__xludf.DUMMYFUNCTION("""COMPUTED_VALUE"""),"Rick Capunihan nasa marawi rehabilitation na po. tanungin mo si duterte")</f>
        <v>Rick Capunihan nasa marawi rehabilitation na po. tanungin mo si duterte</v>
      </c>
      <c r="F2178" s="1"/>
      <c r="G2178" s="1" t="str">
        <f>IFERROR(__xludf.DUMMYFUNCTION("""COMPUTED_VALUE"""),"3 mos")</f>
        <v>3 mos</v>
      </c>
      <c r="H2178" s="1" t="str">
        <f>IFERROR(__xludf.DUMMYFUNCTION("""COMPUTED_VALUE"""),"reply")</f>
        <v>reply</v>
      </c>
      <c r="I2178" s="2" t="str">
        <f>IFERROR(__xludf.DUMMYFUNCTION("""COMPUTED_VALUE"""),"https://www.facebook.com/rapplerdotcom/photos/a.317154781638645/5594954703858600/")</f>
        <v>https://www.facebook.com/rapplerdotcom/photos/a.317154781638645/5594954703858600/</v>
      </c>
      <c r="J2178" s="1" t="str">
        <f>IFERROR(__xludf.DUMMYFUNCTION("""COMPUTED_VALUE"""),"2022-07-04T15:48:35.885Z")</f>
        <v>2022-07-04T15:48:35.885Z</v>
      </c>
      <c r="K2178" s="1"/>
    </row>
    <row r="2179">
      <c r="A2179" s="2" t="str">
        <f>IFERROR(__xludf.DUMMYFUNCTION("""COMPUTED_VALUE"""),"https://www.facebook.com/athena.margarette.71")</f>
        <v>https://www.facebook.com/athena.margarette.71</v>
      </c>
      <c r="B2179" s="1" t="str">
        <f>IFERROR(__xludf.DUMMYFUNCTION("""COMPUTED_VALUE"""),"Jane")</f>
        <v>Jane</v>
      </c>
      <c r="C2179" s="1" t="str">
        <f>IFERROR(__xludf.DUMMYFUNCTION("""COMPUTED_VALUE"""),"Jane")</f>
        <v>Jane</v>
      </c>
      <c r="D2179" s="1"/>
      <c r="E2179" s="1" t="str">
        <f>IFERROR(__xludf.DUMMYFUNCTION("""COMPUTED_VALUE"""),"Nora Montejo at kay PRRD dhl sa kanila itinurn-over,gagawing Marawi fund kuno😁")</f>
        <v>Nora Montejo at kay PRRD dhl sa kanila itinurn-over,gagawing Marawi fund kuno😁</v>
      </c>
      <c r="F2179" s="1"/>
      <c r="G2179" s="1" t="str">
        <f>IFERROR(__xludf.DUMMYFUNCTION("""COMPUTED_VALUE"""),"3 mos")</f>
        <v>3 mos</v>
      </c>
      <c r="H2179" s="1" t="str">
        <f>IFERROR(__xludf.DUMMYFUNCTION("""COMPUTED_VALUE"""),"reply")</f>
        <v>reply</v>
      </c>
      <c r="I2179" s="2" t="str">
        <f>IFERROR(__xludf.DUMMYFUNCTION("""COMPUTED_VALUE"""),"https://www.facebook.com/rapplerdotcom/photos/a.317154781638645/5594954703858600/")</f>
        <v>https://www.facebook.com/rapplerdotcom/photos/a.317154781638645/5594954703858600/</v>
      </c>
      <c r="J2179" s="1" t="str">
        <f>IFERROR(__xludf.DUMMYFUNCTION("""COMPUTED_VALUE"""),"2022-07-04T15:48:35.885Z")</f>
        <v>2022-07-04T15:48:35.885Z</v>
      </c>
      <c r="K2179" s="1"/>
    </row>
    <row r="2180">
      <c r="A2180" s="2" t="str">
        <f>IFERROR(__xludf.DUMMYFUNCTION("""COMPUTED_VALUE"""),"https://www.facebook.com/josie.salas.731")</f>
        <v>https://www.facebook.com/josie.salas.731</v>
      </c>
      <c r="B2180" s="1" t="str">
        <f>IFERROR(__xludf.DUMMYFUNCTION("""COMPUTED_VALUE"""),"Josie Salas")</f>
        <v>Josie Salas</v>
      </c>
      <c r="C2180" s="1" t="str">
        <f>IFERROR(__xludf.DUMMYFUNCTION("""COMPUTED_VALUE"""),"Josie")</f>
        <v>Josie</v>
      </c>
      <c r="D2180" s="1" t="str">
        <f>IFERROR(__xludf.DUMMYFUNCTION("""COMPUTED_VALUE"""),"Salas")</f>
        <v>Salas</v>
      </c>
      <c r="E2180" s="1" t="str">
        <f>IFERROR(__xludf.DUMMYFUNCTION("""COMPUTED_VALUE"""),"Rick Capunihan sabot ko Yan sa ilalim ng San juanico bridge Yan si mar Roxas Yung mga bigay ng ibang bansa Hanggang ngaun wala")</f>
        <v>Rick Capunihan sabot ko Yan sa ilalim ng San juanico bridge Yan si mar Roxas Yung mga bigay ng ibang bansa Hanggang ngaun wala</v>
      </c>
      <c r="F2180" s="1"/>
      <c r="G2180" s="1" t="str">
        <f>IFERROR(__xludf.DUMMYFUNCTION("""COMPUTED_VALUE"""),"3 mos")</f>
        <v>3 mos</v>
      </c>
      <c r="H2180" s="1" t="str">
        <f>IFERROR(__xludf.DUMMYFUNCTION("""COMPUTED_VALUE"""),"reply")</f>
        <v>reply</v>
      </c>
      <c r="I2180" s="2" t="str">
        <f>IFERROR(__xludf.DUMMYFUNCTION("""COMPUTED_VALUE"""),"https://www.facebook.com/rapplerdotcom/photos/a.317154781638645/5594954703858600/")</f>
        <v>https://www.facebook.com/rapplerdotcom/photos/a.317154781638645/5594954703858600/</v>
      </c>
      <c r="J2180" s="1" t="str">
        <f>IFERROR(__xludf.DUMMYFUNCTION("""COMPUTED_VALUE"""),"2022-07-04T15:48:35.885Z")</f>
        <v>2022-07-04T15:48:35.885Z</v>
      </c>
      <c r="K2180" s="1"/>
    </row>
    <row r="2181">
      <c r="A2181" s="2" t="str">
        <f>IFERROR(__xludf.DUMMYFUNCTION("""COMPUTED_VALUE"""),"https://www.facebook.com/janice.arroyo.98837")</f>
        <v>https://www.facebook.com/janice.arroyo.98837</v>
      </c>
      <c r="B2181" s="1" t="str">
        <f>IFERROR(__xludf.DUMMYFUNCTION("""COMPUTED_VALUE"""),"Janice Ruth Arroyo")</f>
        <v>Janice Ruth Arroyo</v>
      </c>
      <c r="C2181" s="1" t="str">
        <f>IFERROR(__xludf.DUMMYFUNCTION("""COMPUTED_VALUE"""),"Janice")</f>
        <v>Janice</v>
      </c>
      <c r="D2181" s="1" t="str">
        <f>IFERROR(__xludf.DUMMYFUNCTION("""COMPUTED_VALUE"""),"Ruth Arroyo")</f>
        <v>Ruth Arroyo</v>
      </c>
      <c r="E2181" s="1" t="str">
        <f>IFERROR(__xludf.DUMMYFUNCTION("""COMPUTED_VALUE"""),"Rick Capunihan https://dilg.gov.ph/news/DILG-P3455-B-or-85-percent-Yolanda-funds-liquidated/NC-2019-1169")</f>
        <v>Rick Capunihan https://dilg.gov.ph/news/DILG-P3455-B-or-85-percent-Yolanda-funds-liquidated/NC-2019-1169</v>
      </c>
      <c r="F2181" s="1"/>
      <c r="G2181" s="1" t="str">
        <f>IFERROR(__xludf.DUMMYFUNCTION("""COMPUTED_VALUE"""),"3 mos")</f>
        <v>3 mos</v>
      </c>
      <c r="H2181" s="1" t="str">
        <f>IFERROR(__xludf.DUMMYFUNCTION("""COMPUTED_VALUE"""),"reply")</f>
        <v>reply</v>
      </c>
      <c r="I2181" s="2" t="str">
        <f>IFERROR(__xludf.DUMMYFUNCTION("""COMPUTED_VALUE"""),"https://www.facebook.com/rapplerdotcom/photos/a.317154781638645/5594954703858600/")</f>
        <v>https://www.facebook.com/rapplerdotcom/photos/a.317154781638645/5594954703858600/</v>
      </c>
      <c r="J2181" s="1" t="str">
        <f>IFERROR(__xludf.DUMMYFUNCTION("""COMPUTED_VALUE"""),"2022-07-04T15:48:35.885Z")</f>
        <v>2022-07-04T15:48:35.885Z</v>
      </c>
      <c r="K2181" s="1"/>
    </row>
    <row r="2182">
      <c r="A2182" s="2" t="str">
        <f>IFERROR(__xludf.DUMMYFUNCTION("""COMPUTED_VALUE"""),"https://www.facebook.com/joey.abella.507")</f>
        <v>https://www.facebook.com/joey.abella.507</v>
      </c>
      <c r="B2182" s="1" t="str">
        <f>IFERROR(__xludf.DUMMYFUNCTION("""COMPUTED_VALUE"""),"Lana")</f>
        <v>Lana</v>
      </c>
      <c r="C2182" s="1" t="str">
        <f>IFERROR(__xludf.DUMMYFUNCTION("""COMPUTED_VALUE"""),"Lana")</f>
        <v>Lana</v>
      </c>
      <c r="D2182" s="1"/>
      <c r="E2182" s="1" t="str">
        <f>IFERROR(__xludf.DUMMYFUNCTION("""COMPUTED_VALUE"""),"Rick Capunihan")</f>
        <v>Rick Capunihan</v>
      </c>
      <c r="F2182" s="1"/>
      <c r="G2182" s="1" t="str">
        <f>IFERROR(__xludf.DUMMYFUNCTION("""COMPUTED_VALUE"""),"3 mos")</f>
        <v>3 mos</v>
      </c>
      <c r="H2182" s="1" t="str">
        <f>IFERROR(__xludf.DUMMYFUNCTION("""COMPUTED_VALUE"""),"reply")</f>
        <v>reply</v>
      </c>
      <c r="I2182" s="2" t="str">
        <f>IFERROR(__xludf.DUMMYFUNCTION("""COMPUTED_VALUE"""),"https://www.facebook.com/rapplerdotcom/photos/a.317154781638645/5594954703858600/")</f>
        <v>https://www.facebook.com/rapplerdotcom/photos/a.317154781638645/5594954703858600/</v>
      </c>
      <c r="J2182" s="1" t="str">
        <f>IFERROR(__xludf.DUMMYFUNCTION("""COMPUTED_VALUE"""),"2022-07-04T15:48:35.885Z")</f>
        <v>2022-07-04T15:48:35.885Z</v>
      </c>
      <c r="K2182" s="1"/>
    </row>
    <row r="2183">
      <c r="A2183" s="2" t="str">
        <f>IFERROR(__xludf.DUMMYFUNCTION("""COMPUTED_VALUE"""),"https://www.facebook.com/rick.capunihan")</f>
        <v>https://www.facebook.com/rick.capunihan</v>
      </c>
      <c r="B2183" s="1" t="str">
        <f>IFERROR(__xludf.DUMMYFUNCTION("""COMPUTED_VALUE"""),"Rick Capunihan")</f>
        <v>Rick Capunihan</v>
      </c>
      <c r="C2183" s="1" t="str">
        <f>IFERROR(__xludf.DUMMYFUNCTION("""COMPUTED_VALUE"""),"Rick")</f>
        <v>Rick</v>
      </c>
      <c r="D2183" s="1" t="str">
        <f>IFERROR(__xludf.DUMMYFUNCTION("""COMPUTED_VALUE"""),"Capunihan")</f>
        <v>Capunihan</v>
      </c>
      <c r="E2183" s="1" t="str">
        <f>IFERROR(__xludf.DUMMYFUNCTION("""COMPUTED_VALUE"""),"Euji Iniwan subukan nia mag rally sa leyte at samar")</f>
        <v>Euji Iniwan subukan nia mag rally sa leyte at samar</v>
      </c>
      <c r="F2183" s="1"/>
      <c r="G2183" s="1" t="str">
        <f>IFERROR(__xludf.DUMMYFUNCTION("""COMPUTED_VALUE"""),"3 mos")</f>
        <v>3 mos</v>
      </c>
      <c r="H2183" s="1" t="str">
        <f>IFERROR(__xludf.DUMMYFUNCTION("""COMPUTED_VALUE"""),"reply")</f>
        <v>reply</v>
      </c>
      <c r="I2183" s="2" t="str">
        <f>IFERROR(__xludf.DUMMYFUNCTION("""COMPUTED_VALUE"""),"https://www.facebook.com/rapplerdotcom/photos/a.317154781638645/5594954703858600/")</f>
        <v>https://www.facebook.com/rapplerdotcom/photos/a.317154781638645/5594954703858600/</v>
      </c>
      <c r="J2183" s="1" t="str">
        <f>IFERROR(__xludf.DUMMYFUNCTION("""COMPUTED_VALUE"""),"2022-07-04T15:48:35.885Z")</f>
        <v>2022-07-04T15:48:35.885Z</v>
      </c>
      <c r="K2183" s="1"/>
    </row>
    <row r="2184">
      <c r="A2184" s="2" t="str">
        <f>IFERROR(__xludf.DUMMYFUNCTION("""COMPUTED_VALUE"""),"https://www.facebook.com/rick.capunihan")</f>
        <v>https://www.facebook.com/rick.capunihan</v>
      </c>
      <c r="B2184" s="1" t="str">
        <f>IFERROR(__xludf.DUMMYFUNCTION("""COMPUTED_VALUE"""),"Rick Capunihan")</f>
        <v>Rick Capunihan</v>
      </c>
      <c r="C2184" s="1" t="str">
        <f>IFERROR(__xludf.DUMMYFUNCTION("""COMPUTED_VALUE"""),"Rick")</f>
        <v>Rick</v>
      </c>
      <c r="D2184" s="1" t="str">
        <f>IFERROR(__xludf.DUMMYFUNCTION("""COMPUTED_VALUE"""),"Capunihan")</f>
        <v>Capunihan</v>
      </c>
      <c r="E2184" s="1" t="str">
        <f>IFERROR(__xludf.DUMMYFUNCTION("""COMPUTED_VALUE"""),"Eric Morales subukan ni mar mah rally sa harap ng mga tao sa leyte at samar")</f>
        <v>Eric Morales subukan ni mar mah rally sa harap ng mga tao sa leyte at samar</v>
      </c>
      <c r="F2184" s="1"/>
      <c r="G2184" s="1" t="str">
        <f>IFERROR(__xludf.DUMMYFUNCTION("""COMPUTED_VALUE"""),"3 mos")</f>
        <v>3 mos</v>
      </c>
      <c r="H2184" s="1" t="str">
        <f>IFERROR(__xludf.DUMMYFUNCTION("""COMPUTED_VALUE"""),"reply")</f>
        <v>reply</v>
      </c>
      <c r="I2184" s="2" t="str">
        <f>IFERROR(__xludf.DUMMYFUNCTION("""COMPUTED_VALUE"""),"https://www.facebook.com/rapplerdotcom/photos/a.317154781638645/5594954703858600/")</f>
        <v>https://www.facebook.com/rapplerdotcom/photos/a.317154781638645/5594954703858600/</v>
      </c>
      <c r="J2184" s="1" t="str">
        <f>IFERROR(__xludf.DUMMYFUNCTION("""COMPUTED_VALUE"""),"2022-07-04T15:48:35.885Z")</f>
        <v>2022-07-04T15:48:35.885Z</v>
      </c>
      <c r="K2184" s="1"/>
    </row>
    <row r="2185">
      <c r="A2185" s="2" t="str">
        <f>IFERROR(__xludf.DUMMYFUNCTION("""COMPUTED_VALUE"""),"https://www.facebook.com/rick.capunihan")</f>
        <v>https://www.facebook.com/rick.capunihan</v>
      </c>
      <c r="B2185" s="1" t="str">
        <f>IFERROR(__xludf.DUMMYFUNCTION("""COMPUTED_VALUE"""),"Rick Capunihan")</f>
        <v>Rick Capunihan</v>
      </c>
      <c r="C2185" s="1" t="str">
        <f>IFERROR(__xludf.DUMMYFUNCTION("""COMPUTED_VALUE"""),"Rick")</f>
        <v>Rick</v>
      </c>
      <c r="D2185" s="1" t="str">
        <f>IFERROR(__xludf.DUMMYFUNCTION("""COMPUTED_VALUE"""),"Capunihan")</f>
        <v>Capunihan</v>
      </c>
      <c r="E2185" s="1" t="str">
        <f>IFERROR(__xludf.DUMMYFUNCTION("""COMPUTED_VALUE"""),"Josie Salas subukan ni mar mag rally sa leyte at samar")</f>
        <v>Josie Salas subukan ni mar mag rally sa leyte at samar</v>
      </c>
      <c r="F2185" s="1"/>
      <c r="G2185" s="1" t="str">
        <f>IFERROR(__xludf.DUMMYFUNCTION("""COMPUTED_VALUE"""),"3 mos")</f>
        <v>3 mos</v>
      </c>
      <c r="H2185" s="1" t="str">
        <f>IFERROR(__xludf.DUMMYFUNCTION("""COMPUTED_VALUE"""),"reply")</f>
        <v>reply</v>
      </c>
      <c r="I2185" s="2" t="str">
        <f>IFERROR(__xludf.DUMMYFUNCTION("""COMPUTED_VALUE"""),"https://www.facebook.com/rapplerdotcom/photos/a.317154781638645/5594954703858600/")</f>
        <v>https://www.facebook.com/rapplerdotcom/photos/a.317154781638645/5594954703858600/</v>
      </c>
      <c r="J2185" s="1" t="str">
        <f>IFERROR(__xludf.DUMMYFUNCTION("""COMPUTED_VALUE"""),"2022-07-04T15:48:35.885Z")</f>
        <v>2022-07-04T15:48:35.885Z</v>
      </c>
      <c r="K2185" s="1"/>
    </row>
    <row r="2186">
      <c r="A2186" s="2" t="str">
        <f>IFERROR(__xludf.DUMMYFUNCTION("""COMPUTED_VALUE"""),"https://www.facebook.com/josie.salas.731")</f>
        <v>https://www.facebook.com/josie.salas.731</v>
      </c>
      <c r="B2186" s="1" t="str">
        <f>IFERROR(__xludf.DUMMYFUNCTION("""COMPUTED_VALUE"""),"Josie Salas")</f>
        <v>Josie Salas</v>
      </c>
      <c r="C2186" s="1" t="str">
        <f>IFERROR(__xludf.DUMMYFUNCTION("""COMPUTED_VALUE"""),"Josie")</f>
        <v>Josie</v>
      </c>
      <c r="D2186" s="1" t="str">
        <f>IFERROR(__xludf.DUMMYFUNCTION("""COMPUTED_VALUE"""),"Salas")</f>
        <v>Salas</v>
      </c>
      <c r="E2186" s="1" t="str">
        <f>IFERROR(__xludf.DUMMYFUNCTION("""COMPUTED_VALUE"""),"Rick Capunihan ako hulog ko yan sa tulay ng San juanico bridge mag ala Dante varona Yan nasa loob Ang kulor nyan .")</f>
        <v>Rick Capunihan ako hulog ko yan sa tulay ng San juanico bridge mag ala Dante varona Yan nasa loob Ang kulor nyan .</v>
      </c>
      <c r="F2186" s="1"/>
      <c r="G2186" s="1" t="str">
        <f>IFERROR(__xludf.DUMMYFUNCTION("""COMPUTED_VALUE"""),"3 mos")</f>
        <v>3 mos</v>
      </c>
      <c r="H2186" s="1" t="str">
        <f>IFERROR(__xludf.DUMMYFUNCTION("""COMPUTED_VALUE"""),"reply")</f>
        <v>reply</v>
      </c>
      <c r="I2186" s="2" t="str">
        <f>IFERROR(__xludf.DUMMYFUNCTION("""COMPUTED_VALUE"""),"https://www.facebook.com/rapplerdotcom/photos/a.317154781638645/5594954703858600/")</f>
        <v>https://www.facebook.com/rapplerdotcom/photos/a.317154781638645/5594954703858600/</v>
      </c>
      <c r="J2186" s="1" t="str">
        <f>IFERROR(__xludf.DUMMYFUNCTION("""COMPUTED_VALUE"""),"2022-07-04T15:48:35.885Z")</f>
        <v>2022-07-04T15:48:35.885Z</v>
      </c>
      <c r="K2186" s="1"/>
    </row>
    <row r="2187">
      <c r="A2187" s="2" t="str">
        <f>IFERROR(__xludf.DUMMYFUNCTION("""COMPUTED_VALUE"""),"https://www.facebook.com/onie.abon.98")</f>
        <v>https://www.facebook.com/onie.abon.98</v>
      </c>
      <c r="B2187" s="1" t="str">
        <f>IFERROR(__xludf.DUMMYFUNCTION("""COMPUTED_VALUE"""),"Onie Abon")</f>
        <v>Onie Abon</v>
      </c>
      <c r="C2187" s="1" t="str">
        <f>IFERROR(__xludf.DUMMYFUNCTION("""COMPUTED_VALUE"""),"Onie")</f>
        <v>Onie</v>
      </c>
      <c r="D2187" s="1" t="str">
        <f>IFERROR(__xludf.DUMMYFUNCTION("""COMPUTED_VALUE"""),"Abon")</f>
        <v>Abon</v>
      </c>
      <c r="E2187" s="1" t="str">
        <f>IFERROR(__xludf.DUMMYFUNCTION("""COMPUTED_VALUE"""),"Trapo ppansin")</f>
        <v>Trapo ppansin</v>
      </c>
      <c r="F2187" s="1"/>
      <c r="G2187" s="1" t="str">
        <f>IFERROR(__xludf.DUMMYFUNCTION("""COMPUTED_VALUE"""),"3 mos")</f>
        <v>3 mos</v>
      </c>
      <c r="H2187" s="1" t="str">
        <f>IFERROR(__xludf.DUMMYFUNCTION("""COMPUTED_VALUE"""),"comment")</f>
        <v>comment</v>
      </c>
      <c r="I2187" s="2" t="str">
        <f>IFERROR(__xludf.DUMMYFUNCTION("""COMPUTED_VALUE"""),"https://www.facebook.com/rapplerdotcom/photos/a.317154781638645/5594954703858600/")</f>
        <v>https://www.facebook.com/rapplerdotcom/photos/a.317154781638645/5594954703858600/</v>
      </c>
      <c r="J2187" s="1" t="str">
        <f>IFERROR(__xludf.DUMMYFUNCTION("""COMPUTED_VALUE"""),"2022-07-04T15:48:35.885Z")</f>
        <v>2022-07-04T15:48:35.885Z</v>
      </c>
      <c r="K2187" s="1"/>
    </row>
    <row r="2188">
      <c r="A2188" s="2" t="str">
        <f>IFERROR(__xludf.DUMMYFUNCTION("""COMPUTED_VALUE"""),"https://www.facebook.com/labicanefloraalday")</f>
        <v>https://www.facebook.com/labicanefloraalday</v>
      </c>
      <c r="B2188" s="1" t="str">
        <f>IFERROR(__xludf.DUMMYFUNCTION("""COMPUTED_VALUE"""),"Flora Alday Labicane")</f>
        <v>Flora Alday Labicane</v>
      </c>
      <c r="C2188" s="1" t="str">
        <f>IFERROR(__xludf.DUMMYFUNCTION("""COMPUTED_VALUE"""),"Flora")</f>
        <v>Flora</v>
      </c>
      <c r="D2188" s="1" t="str">
        <f>IFERROR(__xludf.DUMMYFUNCTION("""COMPUTED_VALUE"""),"Alday Labicane")</f>
        <v>Alday Labicane</v>
      </c>
      <c r="E2188" s="1" t="str">
        <f>IFERROR(__xludf.DUMMYFUNCTION("""COMPUTED_VALUE"""),"Onie Abon oy !!! Lumutang na si mar ....ubos na ba po ba yulanda funds?")</f>
        <v>Onie Abon oy !!! Lumutang na si mar ....ubos na ba po ba yulanda funds?</v>
      </c>
      <c r="F2188" s="1"/>
      <c r="G2188" s="1" t="str">
        <f>IFERROR(__xludf.DUMMYFUNCTION("""COMPUTED_VALUE"""),"3 mos")</f>
        <v>3 mos</v>
      </c>
      <c r="H2188" s="1" t="str">
        <f>IFERROR(__xludf.DUMMYFUNCTION("""COMPUTED_VALUE"""),"reply")</f>
        <v>reply</v>
      </c>
      <c r="I2188" s="2" t="str">
        <f>IFERROR(__xludf.DUMMYFUNCTION("""COMPUTED_VALUE"""),"https://www.facebook.com/rapplerdotcom/photos/a.317154781638645/5594954703858600/")</f>
        <v>https://www.facebook.com/rapplerdotcom/photos/a.317154781638645/5594954703858600/</v>
      </c>
      <c r="J2188" s="1" t="str">
        <f>IFERROR(__xludf.DUMMYFUNCTION("""COMPUTED_VALUE"""),"2022-07-04T15:48:35.885Z")</f>
        <v>2022-07-04T15:48:35.885Z</v>
      </c>
      <c r="K2188" s="1"/>
    </row>
    <row r="2189">
      <c r="A2189" s="2" t="str">
        <f>IFERROR(__xludf.DUMMYFUNCTION("""COMPUTED_VALUE"""),"https://www.facebook.com/dianjane.sy")</f>
        <v>https://www.facebook.com/dianjane.sy</v>
      </c>
      <c r="B2189" s="1" t="str">
        <f>IFERROR(__xludf.DUMMYFUNCTION("""COMPUTED_VALUE"""),"Dian Jane Sy")</f>
        <v>Dian Jane Sy</v>
      </c>
      <c r="C2189" s="1" t="str">
        <f>IFERROR(__xludf.DUMMYFUNCTION("""COMPUTED_VALUE"""),"Dian")</f>
        <v>Dian</v>
      </c>
      <c r="D2189" s="1" t="str">
        <f>IFERROR(__xludf.DUMMYFUNCTION("""COMPUTED_VALUE"""),"Jane Sy")</f>
        <v>Jane Sy</v>
      </c>
      <c r="E2189" s="1" t="str">
        <f>IFERROR(__xludf.DUMMYFUNCTION("""COMPUTED_VALUE"""),"Mga Lutang parin 😁😂👎")</f>
        <v>Mga Lutang parin 😁😂👎</v>
      </c>
      <c r="F2189" s="1">
        <f>IFERROR(__xludf.DUMMYFUNCTION("""COMPUTED_VALUE"""),2.0)</f>
        <v>2</v>
      </c>
      <c r="G2189" s="1" t="str">
        <f>IFERROR(__xludf.DUMMYFUNCTION("""COMPUTED_VALUE"""),"3 mos")</f>
        <v>3 mos</v>
      </c>
      <c r="H2189" s="1" t="str">
        <f>IFERROR(__xludf.DUMMYFUNCTION("""COMPUTED_VALUE"""),"comment")</f>
        <v>comment</v>
      </c>
      <c r="I2189" s="2" t="str">
        <f>IFERROR(__xludf.DUMMYFUNCTION("""COMPUTED_VALUE"""),"https://www.facebook.com/rapplerdotcom/photos/a.317154781638645/5594954703858600/")</f>
        <v>https://www.facebook.com/rapplerdotcom/photos/a.317154781638645/5594954703858600/</v>
      </c>
      <c r="J2189" s="1" t="str">
        <f>IFERROR(__xludf.DUMMYFUNCTION("""COMPUTED_VALUE"""),"2022-07-04T15:48:35.885Z")</f>
        <v>2022-07-04T15:48:35.885Z</v>
      </c>
      <c r="K2189" s="1"/>
    </row>
    <row r="2190">
      <c r="A2190" s="2" t="str">
        <f>IFERROR(__xludf.DUMMYFUNCTION("""COMPUTED_VALUE"""),"https://www.facebook.com/noel.ramirez.35110")</f>
        <v>https://www.facebook.com/noel.ramirez.35110</v>
      </c>
      <c r="B2190" s="1" t="str">
        <f>IFERROR(__xludf.DUMMYFUNCTION("""COMPUTED_VALUE"""),"Noel Ramirez")</f>
        <v>Noel Ramirez</v>
      </c>
      <c r="C2190" s="1" t="str">
        <f>IFERROR(__xludf.DUMMYFUNCTION("""COMPUTED_VALUE"""),"Noel")</f>
        <v>Noel</v>
      </c>
      <c r="D2190" s="1" t="str">
        <f>IFERROR(__xludf.DUMMYFUNCTION("""COMPUTED_VALUE"""),"Ramirez")</f>
        <v>Ramirez</v>
      </c>
      <c r="E2190" s="1" t="str">
        <f>IFERROR(__xludf.DUMMYFUNCTION("""COMPUTED_VALUE"""),"Nkisawsaw p maslalo tuloy nganga")</f>
        <v>Nkisawsaw p maslalo tuloy nganga</v>
      </c>
      <c r="F2190" s="1"/>
      <c r="G2190" s="1" t="str">
        <f>IFERROR(__xludf.DUMMYFUNCTION("""COMPUTED_VALUE"""),"3 mos")</f>
        <v>3 mos</v>
      </c>
      <c r="H2190" s="1" t="str">
        <f>IFERROR(__xludf.DUMMYFUNCTION("""COMPUTED_VALUE"""),"comment")</f>
        <v>comment</v>
      </c>
      <c r="I2190" s="2" t="str">
        <f>IFERROR(__xludf.DUMMYFUNCTION("""COMPUTED_VALUE"""),"https://www.facebook.com/rapplerdotcom/photos/a.317154781638645/5594954703858600/")</f>
        <v>https://www.facebook.com/rapplerdotcom/photos/a.317154781638645/5594954703858600/</v>
      </c>
      <c r="J2190" s="1" t="str">
        <f>IFERROR(__xludf.DUMMYFUNCTION("""COMPUTED_VALUE"""),"2022-07-04T15:48:35.885Z")</f>
        <v>2022-07-04T15:48:35.885Z</v>
      </c>
      <c r="K2190" s="1"/>
    </row>
    <row r="2191">
      <c r="A2191" s="2" t="str">
        <f>IFERROR(__xludf.DUMMYFUNCTION("""COMPUTED_VALUE"""),"https://www.facebook.com/profile.php?id=100009754082201")</f>
        <v>https://www.facebook.com/profile.php?id=100009754082201</v>
      </c>
      <c r="B2191" s="1" t="str">
        <f>IFERROR(__xludf.DUMMYFUNCTION("""COMPUTED_VALUE"""),"George Grande")</f>
        <v>George Grande</v>
      </c>
      <c r="C2191" s="1" t="str">
        <f>IFERROR(__xludf.DUMMYFUNCTION("""COMPUTED_VALUE"""),"George")</f>
        <v>George</v>
      </c>
      <c r="D2191" s="1" t="str">
        <f>IFERROR(__xludf.DUMMYFUNCTION("""COMPUTED_VALUE"""),"Grande")</f>
        <v>Grande</v>
      </c>
      <c r="E2191" s="1" t="str">
        <f>IFERROR(__xludf.DUMMYFUNCTION("""COMPUTED_VALUE"""),"Ayaw nga nung kasama niyo ung naka green na longsleeve at pink pants nagtakip ng mukha niya at tumatawa")</f>
        <v>Ayaw nga nung kasama niyo ung naka green na longsleeve at pink pants nagtakip ng mukha niya at tumatawa</v>
      </c>
      <c r="F2191" s="1"/>
      <c r="G2191" s="1" t="str">
        <f>IFERROR(__xludf.DUMMYFUNCTION("""COMPUTED_VALUE"""),"3 mos")</f>
        <v>3 mos</v>
      </c>
      <c r="H2191" s="1" t="str">
        <f>IFERROR(__xludf.DUMMYFUNCTION("""COMPUTED_VALUE"""),"comment")</f>
        <v>comment</v>
      </c>
      <c r="I2191" s="2" t="str">
        <f>IFERROR(__xludf.DUMMYFUNCTION("""COMPUTED_VALUE"""),"https://www.facebook.com/rapplerdotcom/photos/a.317154781638645/5594954703858600/")</f>
        <v>https://www.facebook.com/rapplerdotcom/photos/a.317154781638645/5594954703858600/</v>
      </c>
      <c r="J2191" s="1" t="str">
        <f>IFERROR(__xludf.DUMMYFUNCTION("""COMPUTED_VALUE"""),"2022-07-04T15:48:35.885Z")</f>
        <v>2022-07-04T15:48:35.885Z</v>
      </c>
      <c r="K2191" s="1"/>
    </row>
    <row r="2192">
      <c r="A2192" s="2" t="str">
        <f>IFERROR(__xludf.DUMMYFUNCTION("""COMPUTED_VALUE"""),"https://www.facebook.com/johnny.collantes.37")</f>
        <v>https://www.facebook.com/johnny.collantes.37</v>
      </c>
      <c r="B2192" s="1" t="str">
        <f>IFERROR(__xludf.DUMMYFUNCTION("""COMPUTED_VALUE"""),"Johnny Collantes")</f>
        <v>Johnny Collantes</v>
      </c>
      <c r="C2192" s="1" t="str">
        <f>IFERROR(__xludf.DUMMYFUNCTION("""COMPUTED_VALUE"""),"Johnny")</f>
        <v>Johnny</v>
      </c>
      <c r="D2192" s="1" t="str">
        <f>IFERROR(__xludf.DUMMYFUNCTION("""COMPUTED_VALUE"""),"Collantes")</f>
        <v>Collantes</v>
      </c>
      <c r="E2192" s="1" t="str">
        <f>IFERROR(__xludf.DUMMYFUNCTION("""COMPUTED_VALUE"""),"Mababawasan na naman ang boto ni Madam  ""L""")</f>
        <v>Mababawasan na naman ang boto ni Madam  "L"</v>
      </c>
      <c r="F2192" s="1"/>
      <c r="G2192" s="1" t="str">
        <f>IFERROR(__xludf.DUMMYFUNCTION("""COMPUTED_VALUE"""),"3 mos")</f>
        <v>3 mos</v>
      </c>
      <c r="H2192" s="1" t="str">
        <f>IFERROR(__xludf.DUMMYFUNCTION("""COMPUTED_VALUE"""),"comment")</f>
        <v>comment</v>
      </c>
      <c r="I2192" s="2" t="str">
        <f>IFERROR(__xludf.DUMMYFUNCTION("""COMPUTED_VALUE"""),"https://www.facebook.com/rapplerdotcom/photos/a.317154781638645/5594954703858600/")</f>
        <v>https://www.facebook.com/rapplerdotcom/photos/a.317154781638645/5594954703858600/</v>
      </c>
      <c r="J2192" s="1" t="str">
        <f>IFERROR(__xludf.DUMMYFUNCTION("""COMPUTED_VALUE"""),"2022-07-04T15:48:35.885Z")</f>
        <v>2022-07-04T15:48:35.885Z</v>
      </c>
      <c r="K2192" s="1"/>
    </row>
    <row r="2193">
      <c r="A2193" s="2" t="str">
        <f>IFERROR(__xludf.DUMMYFUNCTION("""COMPUTED_VALUE"""),"https://www.facebook.com/erick.balbin")</f>
        <v>https://www.facebook.com/erick.balbin</v>
      </c>
      <c r="B2193" s="1" t="str">
        <f>IFERROR(__xludf.DUMMYFUNCTION("""COMPUTED_VALUE"""),"Erick Balbin")</f>
        <v>Erick Balbin</v>
      </c>
      <c r="C2193" s="1" t="str">
        <f>IFERROR(__xludf.DUMMYFUNCTION("""COMPUTED_VALUE"""),"Erick")</f>
        <v>Erick</v>
      </c>
      <c r="D2193" s="1" t="str">
        <f>IFERROR(__xludf.DUMMYFUNCTION("""COMPUTED_VALUE"""),"Balbin")</f>
        <v>Balbin</v>
      </c>
      <c r="E2193" s="1" t="str">
        <f>IFERROR(__xludf.DUMMYFUNCTION("""COMPUTED_VALUE"""),"Mag trapik ka na lng sir..mas bagay po sa inyo")</f>
        <v>Mag trapik ka na lng sir..mas bagay po sa inyo</v>
      </c>
      <c r="F2193" s="1"/>
      <c r="G2193" s="1" t="str">
        <f>IFERROR(__xludf.DUMMYFUNCTION("""COMPUTED_VALUE"""),"3 mos")</f>
        <v>3 mos</v>
      </c>
      <c r="H2193" s="1" t="str">
        <f>IFERROR(__xludf.DUMMYFUNCTION("""COMPUTED_VALUE"""),"comment")</f>
        <v>comment</v>
      </c>
      <c r="I2193" s="2" t="str">
        <f>IFERROR(__xludf.DUMMYFUNCTION("""COMPUTED_VALUE"""),"https://www.facebook.com/rapplerdotcom/photos/a.317154781638645/5594954703858600/")</f>
        <v>https://www.facebook.com/rapplerdotcom/photos/a.317154781638645/5594954703858600/</v>
      </c>
      <c r="J2193" s="1" t="str">
        <f>IFERROR(__xludf.DUMMYFUNCTION("""COMPUTED_VALUE"""),"2022-07-04T15:48:35.885Z")</f>
        <v>2022-07-04T15:48:35.885Z</v>
      </c>
      <c r="K2193" s="1"/>
    </row>
    <row r="2194">
      <c r="A2194" s="2" t="str">
        <f>IFERROR(__xludf.DUMMYFUNCTION("""COMPUTED_VALUE"""),"https://www.facebook.com/joeven.alvarez")</f>
        <v>https://www.facebook.com/joeven.alvarez</v>
      </c>
      <c r="B2194" s="1" t="str">
        <f>IFERROR(__xludf.DUMMYFUNCTION("""COMPUTED_VALUE"""),"Joeven Alvarez")</f>
        <v>Joeven Alvarez</v>
      </c>
      <c r="C2194" s="1" t="str">
        <f>IFERROR(__xludf.DUMMYFUNCTION("""COMPUTED_VALUE"""),"Joeven")</f>
        <v>Joeven</v>
      </c>
      <c r="D2194" s="1" t="str">
        <f>IFERROR(__xludf.DUMMYFUNCTION("""COMPUTED_VALUE"""),"Alvarez")</f>
        <v>Alvarez</v>
      </c>
      <c r="E2194" s="1" t="str">
        <f>IFERROR(__xludf.DUMMYFUNCTION("""COMPUTED_VALUE"""),"Dahilan gyud ni ba")</f>
        <v>Dahilan gyud ni ba</v>
      </c>
      <c r="F2194" s="1"/>
      <c r="G2194" s="1" t="str">
        <f>IFERROR(__xludf.DUMMYFUNCTION("""COMPUTED_VALUE"""),"3 mos")</f>
        <v>3 mos</v>
      </c>
      <c r="H2194" s="1" t="str">
        <f>IFERROR(__xludf.DUMMYFUNCTION("""COMPUTED_VALUE"""),"comment")</f>
        <v>comment</v>
      </c>
      <c r="I2194" s="2" t="str">
        <f>IFERROR(__xludf.DUMMYFUNCTION("""COMPUTED_VALUE"""),"https://www.facebook.com/rapplerdotcom/photos/a.317154781638645/5594954703858600/")</f>
        <v>https://www.facebook.com/rapplerdotcom/photos/a.317154781638645/5594954703858600/</v>
      </c>
      <c r="J2194" s="1" t="str">
        <f>IFERROR(__xludf.DUMMYFUNCTION("""COMPUTED_VALUE"""),"2022-07-04T15:48:35.885Z")</f>
        <v>2022-07-04T15:48:35.885Z</v>
      </c>
      <c r="K2194" s="1"/>
    </row>
    <row r="2195">
      <c r="A2195" s="2" t="str">
        <f>IFERROR(__xludf.DUMMYFUNCTION("""COMPUTED_VALUE"""),"https://www.facebook.com/rogen.divinagracia.1")</f>
        <v>https://www.facebook.com/rogen.divinagracia.1</v>
      </c>
      <c r="B2195" s="1" t="str">
        <f>IFERROR(__xludf.DUMMYFUNCTION("""COMPUTED_VALUE"""),"Floribel Cariaso Divinagracia")</f>
        <v>Floribel Cariaso Divinagracia</v>
      </c>
      <c r="C2195" s="1" t="str">
        <f>IFERROR(__xludf.DUMMYFUNCTION("""COMPUTED_VALUE"""),"Floribel")</f>
        <v>Floribel</v>
      </c>
      <c r="D2195" s="1" t="str">
        <f>IFERROR(__xludf.DUMMYFUNCTION("""COMPUTED_VALUE"""),"Cariaso Divinagracia")</f>
        <v>Cariaso Divinagracia</v>
      </c>
      <c r="E2195" s="1" t="str">
        <f>IFERROR(__xludf.DUMMYFUNCTION("""COMPUTED_VALUE"""),"Saan n iyong Yolanda funds")</f>
        <v>Saan n iyong Yolanda funds</v>
      </c>
      <c r="F2195" s="1">
        <f>IFERROR(__xludf.DUMMYFUNCTION("""COMPUTED_VALUE"""),14.0)</f>
        <v>14</v>
      </c>
      <c r="G2195" s="1" t="str">
        <f>IFERROR(__xludf.DUMMYFUNCTION("""COMPUTED_VALUE"""),"3 mos")</f>
        <v>3 mos</v>
      </c>
      <c r="H2195" s="1" t="str">
        <f>IFERROR(__xludf.DUMMYFUNCTION("""COMPUTED_VALUE"""),"comment")</f>
        <v>comment</v>
      </c>
      <c r="I2195" s="2" t="str">
        <f>IFERROR(__xludf.DUMMYFUNCTION("""COMPUTED_VALUE"""),"https://www.facebook.com/rapplerdotcom/photos/a.317154781638645/5594954703858600/")</f>
        <v>https://www.facebook.com/rapplerdotcom/photos/a.317154781638645/5594954703858600/</v>
      </c>
      <c r="J2195" s="1" t="str">
        <f>IFERROR(__xludf.DUMMYFUNCTION("""COMPUTED_VALUE"""),"2022-07-04T15:48:35.885Z")</f>
        <v>2022-07-04T15:48:35.885Z</v>
      </c>
      <c r="K2195" s="1"/>
    </row>
    <row r="2196">
      <c r="A2196" s="2" t="str">
        <f>IFERROR(__xludf.DUMMYFUNCTION("""COMPUTED_VALUE"""),"https://www.facebook.com/janice.arroyo.98837")</f>
        <v>https://www.facebook.com/janice.arroyo.98837</v>
      </c>
      <c r="B2196" s="1" t="str">
        <f>IFERROR(__xludf.DUMMYFUNCTION("""COMPUTED_VALUE"""),"Janice Ruth Arroyo")</f>
        <v>Janice Ruth Arroyo</v>
      </c>
      <c r="C2196" s="1" t="str">
        <f>IFERROR(__xludf.DUMMYFUNCTION("""COMPUTED_VALUE"""),"Janice")</f>
        <v>Janice</v>
      </c>
      <c r="D2196" s="1" t="str">
        <f>IFERROR(__xludf.DUMMYFUNCTION("""COMPUTED_VALUE"""),"Ruth Arroyo")</f>
        <v>Ruth Arroyo</v>
      </c>
      <c r="E2196" s="1" t="str">
        <f>IFERROR(__xludf.DUMMYFUNCTION("""COMPUTED_VALUE"""),"Floribel Cariaso Divinagracia https://dilg.gov.ph/news/DILG-P3455-B-or-85-percent-Yolanda-funds-liquidated/NC-2019-1169")</f>
        <v>Floribel Cariaso Divinagracia https://dilg.gov.ph/news/DILG-P3455-B-or-85-percent-Yolanda-funds-liquidated/NC-2019-1169</v>
      </c>
      <c r="F2196" s="1">
        <f>IFERROR(__xludf.DUMMYFUNCTION("""COMPUTED_VALUE"""),10.0)</f>
        <v>10</v>
      </c>
      <c r="G2196" s="1" t="str">
        <f>IFERROR(__xludf.DUMMYFUNCTION("""COMPUTED_VALUE"""),"3 mos")</f>
        <v>3 mos</v>
      </c>
      <c r="H2196" s="1" t="str">
        <f>IFERROR(__xludf.DUMMYFUNCTION("""COMPUTED_VALUE"""),"reply")</f>
        <v>reply</v>
      </c>
      <c r="I2196" s="2" t="str">
        <f>IFERROR(__xludf.DUMMYFUNCTION("""COMPUTED_VALUE"""),"https://www.facebook.com/rapplerdotcom/photos/a.317154781638645/5594954703858600/")</f>
        <v>https://www.facebook.com/rapplerdotcom/photos/a.317154781638645/5594954703858600/</v>
      </c>
      <c r="J2196" s="1" t="str">
        <f>IFERROR(__xludf.DUMMYFUNCTION("""COMPUTED_VALUE"""),"2022-07-04T15:48:35.885Z")</f>
        <v>2022-07-04T15:48:35.885Z</v>
      </c>
      <c r="K2196" s="1"/>
    </row>
    <row r="2197">
      <c r="A2197" s="2" t="str">
        <f>IFERROR(__xludf.DUMMYFUNCTION("""COMPUTED_VALUE"""),"https://www.facebook.com/ester.barcelon")</f>
        <v>https://www.facebook.com/ester.barcelon</v>
      </c>
      <c r="B2197" s="1" t="str">
        <f>IFERROR(__xludf.DUMMYFUNCTION("""COMPUTED_VALUE"""),"Ester Barcelon")</f>
        <v>Ester Barcelon</v>
      </c>
      <c r="C2197" s="1" t="str">
        <f>IFERROR(__xludf.DUMMYFUNCTION("""COMPUTED_VALUE"""),"Ester")</f>
        <v>Ester</v>
      </c>
      <c r="D2197" s="1" t="str">
        <f>IFERROR(__xludf.DUMMYFUNCTION("""COMPUTED_VALUE"""),"Barcelon")</f>
        <v>Barcelon</v>
      </c>
      <c r="E2197" s="1" t="str">
        <f>IFERROR(__xludf.DUMMYFUNCTION("""COMPUTED_VALUE"""),"Floribel Cariaso Divinagracia itanong mo ka Romualdes sa kanya binigay ang 5billion funds ok na ba")</f>
        <v>Floribel Cariaso Divinagracia itanong mo ka Romualdes sa kanya binigay ang 5billion funds ok na ba</v>
      </c>
      <c r="F2197" s="1">
        <f>IFERROR(__xludf.DUMMYFUNCTION("""COMPUTED_VALUE"""),19.0)</f>
        <v>19</v>
      </c>
      <c r="G2197" s="1" t="str">
        <f>IFERROR(__xludf.DUMMYFUNCTION("""COMPUTED_VALUE"""),"3 mos")</f>
        <v>3 mos</v>
      </c>
      <c r="H2197" s="1" t="str">
        <f>IFERROR(__xludf.DUMMYFUNCTION("""COMPUTED_VALUE"""),"reply")</f>
        <v>reply</v>
      </c>
      <c r="I2197" s="2" t="str">
        <f>IFERROR(__xludf.DUMMYFUNCTION("""COMPUTED_VALUE"""),"https://www.facebook.com/rapplerdotcom/photos/a.317154781638645/5594954703858600/")</f>
        <v>https://www.facebook.com/rapplerdotcom/photos/a.317154781638645/5594954703858600/</v>
      </c>
      <c r="J2197" s="1" t="str">
        <f>IFERROR(__xludf.DUMMYFUNCTION("""COMPUTED_VALUE"""),"2022-07-04T15:48:35.885Z")</f>
        <v>2022-07-04T15:48:35.885Z</v>
      </c>
      <c r="K2197" s="1"/>
    </row>
    <row r="2198">
      <c r="A2198" s="2" t="str">
        <f>IFERROR(__xludf.DUMMYFUNCTION("""COMPUTED_VALUE"""),"https://www.facebook.com/divina.chicano")</f>
        <v>https://www.facebook.com/divina.chicano</v>
      </c>
      <c r="B2198" s="1" t="str">
        <f>IFERROR(__xludf.DUMMYFUNCTION("""COMPUTED_VALUE"""),"Divine Seraspe Chicano")</f>
        <v>Divine Seraspe Chicano</v>
      </c>
      <c r="C2198" s="1" t="str">
        <f>IFERROR(__xludf.DUMMYFUNCTION("""COMPUTED_VALUE"""),"Divine")</f>
        <v>Divine</v>
      </c>
      <c r="D2198" s="1" t="str">
        <f>IFERROR(__xludf.DUMMYFUNCTION("""COMPUTED_VALUE"""),"Seraspe Chicano")</f>
        <v>Seraspe Chicano</v>
      </c>
      <c r="E2198" s="1" t="str">
        <f>IFERROR(__xludf.DUMMYFUNCTION("""COMPUTED_VALUE"""),"Ester Barcelon wait natin ma’am kung kalampagin niya sila Romualdez?")</f>
        <v>Ester Barcelon wait natin ma’am kung kalampagin niya sila Romualdez?</v>
      </c>
      <c r="F2198" s="1"/>
      <c r="G2198" s="1" t="str">
        <f>IFERROR(__xludf.DUMMYFUNCTION("""COMPUTED_VALUE"""),"3 mos")</f>
        <v>3 mos</v>
      </c>
      <c r="H2198" s="1" t="str">
        <f>IFERROR(__xludf.DUMMYFUNCTION("""COMPUTED_VALUE"""),"reply")</f>
        <v>reply</v>
      </c>
      <c r="I2198" s="2" t="str">
        <f>IFERROR(__xludf.DUMMYFUNCTION("""COMPUTED_VALUE"""),"https://www.facebook.com/rapplerdotcom/photos/a.317154781638645/5594954703858600/")</f>
        <v>https://www.facebook.com/rapplerdotcom/photos/a.317154781638645/5594954703858600/</v>
      </c>
      <c r="J2198" s="1" t="str">
        <f>IFERROR(__xludf.DUMMYFUNCTION("""COMPUTED_VALUE"""),"2022-07-04T15:48:35.885Z")</f>
        <v>2022-07-04T15:48:35.885Z</v>
      </c>
      <c r="K2198" s="1"/>
    </row>
    <row r="2199">
      <c r="A2199" s="2" t="str">
        <f>IFERROR(__xludf.DUMMYFUNCTION("""COMPUTED_VALUE"""),"https://www.facebook.com/eduardo.bonndadjr")</f>
        <v>https://www.facebook.com/eduardo.bonndadjr</v>
      </c>
      <c r="B2199" s="1" t="str">
        <f>IFERROR(__xludf.DUMMYFUNCTION("""COMPUTED_VALUE"""),"Eduardo Bonndad Jr.")</f>
        <v>Eduardo Bonndad Jr.</v>
      </c>
      <c r="C2199" s="1" t="str">
        <f>IFERROR(__xludf.DUMMYFUNCTION("""COMPUTED_VALUE"""),"Eduardo")</f>
        <v>Eduardo</v>
      </c>
      <c r="D2199" s="1" t="str">
        <f>IFERROR(__xludf.DUMMYFUNCTION("""COMPUTED_VALUE"""),"Bonndad Jr.")</f>
        <v>Bonndad Jr.</v>
      </c>
      <c r="E2199" s="1" t="str">
        <f>IFERROR(__xludf.DUMMYFUNCTION("""COMPUTED_VALUE"""),"Floribel Cariaso Divinagracia O paano na, sinagot ka na ni janice ruth arroyo. Patuloy na maghanap ng katotohanan para matoto.")</f>
        <v>Floribel Cariaso Divinagracia O paano na, sinagot ka na ni janice ruth arroyo. Patuloy na maghanap ng katotohanan para matoto.</v>
      </c>
      <c r="F2199" s="1">
        <f>IFERROR(__xludf.DUMMYFUNCTION("""COMPUTED_VALUE"""),4.0)</f>
        <v>4</v>
      </c>
      <c r="G2199" s="1" t="str">
        <f>IFERROR(__xludf.DUMMYFUNCTION("""COMPUTED_VALUE"""),"3 mos")</f>
        <v>3 mos</v>
      </c>
      <c r="H2199" s="1" t="str">
        <f>IFERROR(__xludf.DUMMYFUNCTION("""COMPUTED_VALUE"""),"reply")</f>
        <v>reply</v>
      </c>
      <c r="I2199" s="2" t="str">
        <f>IFERROR(__xludf.DUMMYFUNCTION("""COMPUTED_VALUE"""),"https://www.facebook.com/rapplerdotcom/photos/a.317154781638645/5594954703858600/")</f>
        <v>https://www.facebook.com/rapplerdotcom/photos/a.317154781638645/5594954703858600/</v>
      </c>
      <c r="J2199" s="1" t="str">
        <f>IFERROR(__xludf.DUMMYFUNCTION("""COMPUTED_VALUE"""),"2022-07-04T15:48:35.885Z")</f>
        <v>2022-07-04T15:48:35.885Z</v>
      </c>
      <c r="K2199" s="1"/>
    </row>
    <row r="2200">
      <c r="A2200" s="2" t="str">
        <f>IFERROR(__xludf.DUMMYFUNCTION("""COMPUTED_VALUE"""),"https://www.facebook.com/marcial.acbang")</f>
        <v>https://www.facebook.com/marcial.acbang</v>
      </c>
      <c r="B2200" s="1" t="str">
        <f>IFERROR(__xludf.DUMMYFUNCTION("""COMPUTED_VALUE"""),"Marcial P. Acbang")</f>
        <v>Marcial P. Acbang</v>
      </c>
      <c r="C2200" s="1" t="str">
        <f>IFERROR(__xludf.DUMMYFUNCTION("""COMPUTED_VALUE"""),"Marcial")</f>
        <v>Marcial</v>
      </c>
      <c r="D2200" s="1" t="str">
        <f>IFERROR(__xludf.DUMMYFUNCTION("""COMPUTED_VALUE"""),"P. Acbang")</f>
        <v>P. Acbang</v>
      </c>
      <c r="E2200" s="1" t="str">
        <f>IFERROR(__xludf.DUMMYFUNCTION("""COMPUTED_VALUE"""),"Floribel Cariaso Divinagracia from Good Samaritan? Hehe dapat ikahiya ka ng school na yon.")</f>
        <v>Floribel Cariaso Divinagracia from Good Samaritan? Hehe dapat ikahiya ka ng school na yon.</v>
      </c>
      <c r="F2200" s="1">
        <f>IFERROR(__xludf.DUMMYFUNCTION("""COMPUTED_VALUE"""),1.0)</f>
        <v>1</v>
      </c>
      <c r="G2200" s="1" t="str">
        <f>IFERROR(__xludf.DUMMYFUNCTION("""COMPUTED_VALUE"""),"3 mos")</f>
        <v>3 mos</v>
      </c>
      <c r="H2200" s="1" t="str">
        <f>IFERROR(__xludf.DUMMYFUNCTION("""COMPUTED_VALUE"""),"reply")</f>
        <v>reply</v>
      </c>
      <c r="I2200" s="2" t="str">
        <f>IFERROR(__xludf.DUMMYFUNCTION("""COMPUTED_VALUE"""),"https://www.facebook.com/rapplerdotcom/photos/a.317154781638645/5594954703858600/")</f>
        <v>https://www.facebook.com/rapplerdotcom/photos/a.317154781638645/5594954703858600/</v>
      </c>
      <c r="J2200" s="1" t="str">
        <f>IFERROR(__xludf.DUMMYFUNCTION("""COMPUTED_VALUE"""),"2022-07-04T15:48:35.885Z")</f>
        <v>2022-07-04T15:48:35.885Z</v>
      </c>
      <c r="K2200" s="1"/>
    </row>
    <row r="2201">
      <c r="A2201" s="2" t="str">
        <f>IFERROR(__xludf.DUMMYFUNCTION("""COMPUTED_VALUE"""),"https://www.facebook.com/amaya.sabado")</f>
        <v>https://www.facebook.com/amaya.sabado</v>
      </c>
      <c r="B2201" s="1" t="str">
        <f>IFERROR(__xludf.DUMMYFUNCTION("""COMPUTED_VALUE"""),"Gie Villacillo Buencamino")</f>
        <v>Gie Villacillo Buencamino</v>
      </c>
      <c r="C2201" s="1" t="str">
        <f>IFERROR(__xludf.DUMMYFUNCTION("""COMPUTED_VALUE"""),"Gie")</f>
        <v>Gie</v>
      </c>
      <c r="D2201" s="1" t="str">
        <f>IFERROR(__xludf.DUMMYFUNCTION("""COMPUTED_VALUE"""),"Villacillo Buencamino")</f>
        <v>Villacillo Buencamino</v>
      </c>
      <c r="E2201" s="1" t="str">
        <f>IFERROR(__xludf.DUMMYFUNCTION("""COMPUTED_VALUE"""),"Floribel Cariaso Divinagracia itanung mo sa mga romualdes")</f>
        <v>Floribel Cariaso Divinagracia itanung mo sa mga romualdes</v>
      </c>
      <c r="F2201" s="1">
        <f>IFERROR(__xludf.DUMMYFUNCTION("""COMPUTED_VALUE"""),2.0)</f>
        <v>2</v>
      </c>
      <c r="G2201" s="1" t="str">
        <f>IFERROR(__xludf.DUMMYFUNCTION("""COMPUTED_VALUE"""),"3 mos")</f>
        <v>3 mos</v>
      </c>
      <c r="H2201" s="1" t="str">
        <f>IFERROR(__xludf.DUMMYFUNCTION("""COMPUTED_VALUE"""),"reply")</f>
        <v>reply</v>
      </c>
      <c r="I2201" s="2" t="str">
        <f>IFERROR(__xludf.DUMMYFUNCTION("""COMPUTED_VALUE"""),"https://www.facebook.com/rapplerdotcom/photos/a.317154781638645/5594954703858600/")</f>
        <v>https://www.facebook.com/rapplerdotcom/photos/a.317154781638645/5594954703858600/</v>
      </c>
      <c r="J2201" s="1" t="str">
        <f>IFERROR(__xludf.DUMMYFUNCTION("""COMPUTED_VALUE"""),"2022-07-04T15:48:35.885Z")</f>
        <v>2022-07-04T15:48:35.885Z</v>
      </c>
      <c r="K2201" s="1"/>
    </row>
    <row r="2202">
      <c r="A2202" s="2" t="str">
        <f>IFERROR(__xludf.DUMMYFUNCTION("""COMPUTED_VALUE"""),"https://www.facebook.com/josefina.deri.5")</f>
        <v>https://www.facebook.com/josefina.deri.5</v>
      </c>
      <c r="B2202" s="1" t="str">
        <f>IFERROR(__xludf.DUMMYFUNCTION("""COMPUTED_VALUE"""),"Josefina Deri")</f>
        <v>Josefina Deri</v>
      </c>
      <c r="C2202" s="1" t="str">
        <f>IFERROR(__xludf.DUMMYFUNCTION("""COMPUTED_VALUE"""),"Josefina")</f>
        <v>Josefina</v>
      </c>
      <c r="D2202" s="1" t="str">
        <f>IFERROR(__xludf.DUMMYFUNCTION("""COMPUTED_VALUE"""),"Deri")</f>
        <v>Deri</v>
      </c>
      <c r="E2202" s="1" t="str">
        <f>IFERROR(__xludf.DUMMYFUNCTION("""COMPUTED_VALUE"""),"Floribel Cariaso Divinagracia itanong mo ky romualdez, baka masagot ka")</f>
        <v>Floribel Cariaso Divinagracia itanong mo ky romualdez, baka masagot ka</v>
      </c>
      <c r="F2202" s="1"/>
      <c r="G2202" s="1" t="str">
        <f>IFERROR(__xludf.DUMMYFUNCTION("""COMPUTED_VALUE"""),"3 mos")</f>
        <v>3 mos</v>
      </c>
      <c r="H2202" s="1" t="str">
        <f>IFERROR(__xludf.DUMMYFUNCTION("""COMPUTED_VALUE"""),"reply")</f>
        <v>reply</v>
      </c>
      <c r="I2202" s="2" t="str">
        <f>IFERROR(__xludf.DUMMYFUNCTION("""COMPUTED_VALUE"""),"https://www.facebook.com/rapplerdotcom/photos/a.317154781638645/5594954703858600/")</f>
        <v>https://www.facebook.com/rapplerdotcom/photos/a.317154781638645/5594954703858600/</v>
      </c>
      <c r="J2202" s="1" t="str">
        <f>IFERROR(__xludf.DUMMYFUNCTION("""COMPUTED_VALUE"""),"2022-07-04T15:48:35.885Z")</f>
        <v>2022-07-04T15:48:35.885Z</v>
      </c>
      <c r="K2202" s="1"/>
    </row>
    <row r="2203">
      <c r="A2203" s="2" t="str">
        <f>IFERROR(__xludf.DUMMYFUNCTION("""COMPUTED_VALUE"""),"https://www.facebook.com/solito.barana.86")</f>
        <v>https://www.facebook.com/solito.barana.86</v>
      </c>
      <c r="B2203" s="1" t="str">
        <f>IFERROR(__xludf.DUMMYFUNCTION("""COMPUTED_VALUE"""),"Solito Barana")</f>
        <v>Solito Barana</v>
      </c>
      <c r="C2203" s="1" t="str">
        <f>IFERROR(__xludf.DUMMYFUNCTION("""COMPUTED_VALUE"""),"Solito")</f>
        <v>Solito</v>
      </c>
      <c r="D2203" s="1" t="str">
        <f>IFERROR(__xludf.DUMMYFUNCTION("""COMPUTED_VALUE"""),"Barana")</f>
        <v>Barana</v>
      </c>
      <c r="E2203" s="1" t="str">
        <f>IFERROR(__xludf.DUMMYFUNCTION("""COMPUTED_VALUE"""),"sagad sa buto ang pagkasarado ng pag-iisip. panatiko. dahil dyan 6 na taon ng hirap at pagtitiis ng bayan.")</f>
        <v>sagad sa buto ang pagkasarado ng pag-iisip. panatiko. dahil dyan 6 na taon ng hirap at pagtitiis ng bayan.</v>
      </c>
      <c r="F2203" s="1"/>
      <c r="G2203" s="1" t="str">
        <f>IFERROR(__xludf.DUMMYFUNCTION("""COMPUTED_VALUE"""),"3 mos")</f>
        <v>3 mos</v>
      </c>
      <c r="H2203" s="1" t="str">
        <f>IFERROR(__xludf.DUMMYFUNCTION("""COMPUTED_VALUE"""),"reply")</f>
        <v>reply</v>
      </c>
      <c r="I2203" s="2" t="str">
        <f>IFERROR(__xludf.DUMMYFUNCTION("""COMPUTED_VALUE"""),"https://www.facebook.com/rapplerdotcom/photos/a.317154781638645/5594954703858600/")</f>
        <v>https://www.facebook.com/rapplerdotcom/photos/a.317154781638645/5594954703858600/</v>
      </c>
      <c r="J2203" s="1" t="str">
        <f>IFERROR(__xludf.DUMMYFUNCTION("""COMPUTED_VALUE"""),"2022-07-04T15:48:35.885Z")</f>
        <v>2022-07-04T15:48:35.885Z</v>
      </c>
      <c r="K2203" s="1"/>
    </row>
    <row r="2204">
      <c r="A2204" s="2" t="str">
        <f>IFERROR(__xludf.DUMMYFUNCTION("""COMPUTED_VALUE"""),"https://www.facebook.com/arnold.austria.1")</f>
        <v>https://www.facebook.com/arnold.austria.1</v>
      </c>
      <c r="B2204" s="1" t="str">
        <f>IFERROR(__xludf.DUMMYFUNCTION("""COMPUTED_VALUE"""),"Arnold Diloy Austria")</f>
        <v>Arnold Diloy Austria</v>
      </c>
      <c r="C2204" s="1" t="str">
        <f>IFERROR(__xludf.DUMMYFUNCTION("""COMPUTED_VALUE"""),"Arnold")</f>
        <v>Arnold</v>
      </c>
      <c r="D2204" s="1" t="str">
        <f>IFERROR(__xludf.DUMMYFUNCTION("""COMPUTED_VALUE"""),"Diloy Austria")</f>
        <v>Diloy Austria</v>
      </c>
      <c r="E2204" s="1" t="str">
        <f>IFERROR(__xludf.DUMMYFUNCTION("""COMPUTED_VALUE"""),"Floribel Cariaso Divinagracia Isusuporta npo yata sa kandidato nya")</f>
        <v>Floribel Cariaso Divinagracia Isusuporta npo yata sa kandidato nya</v>
      </c>
      <c r="F2204" s="1"/>
      <c r="G2204" s="1" t="str">
        <f>IFERROR(__xludf.DUMMYFUNCTION("""COMPUTED_VALUE"""),"3 mos")</f>
        <v>3 mos</v>
      </c>
      <c r="H2204" s="1" t="str">
        <f>IFERROR(__xludf.DUMMYFUNCTION("""COMPUTED_VALUE"""),"reply")</f>
        <v>reply</v>
      </c>
      <c r="I2204" s="2" t="str">
        <f>IFERROR(__xludf.DUMMYFUNCTION("""COMPUTED_VALUE"""),"https://www.facebook.com/rapplerdotcom/photos/a.317154781638645/5594954703858600/")</f>
        <v>https://www.facebook.com/rapplerdotcom/photos/a.317154781638645/5594954703858600/</v>
      </c>
      <c r="J2204" s="1" t="str">
        <f>IFERROR(__xludf.DUMMYFUNCTION("""COMPUTED_VALUE"""),"2022-07-04T15:48:35.885Z")</f>
        <v>2022-07-04T15:48:35.885Z</v>
      </c>
      <c r="K2204" s="1"/>
    </row>
    <row r="2205">
      <c r="A2205" s="2" t="str">
        <f>IFERROR(__xludf.DUMMYFUNCTION("""COMPUTED_VALUE"""),"https://www.facebook.com/priscila.serenoreyes")</f>
        <v>https://www.facebook.com/priscila.serenoreyes</v>
      </c>
      <c r="B2205" s="1" t="str">
        <f>IFERROR(__xludf.DUMMYFUNCTION("""COMPUTED_VALUE"""),"Priscila Serenoreyes")</f>
        <v>Priscila Serenoreyes</v>
      </c>
      <c r="C2205" s="1" t="str">
        <f>IFERROR(__xludf.DUMMYFUNCTION("""COMPUTED_VALUE"""),"Priscila")</f>
        <v>Priscila</v>
      </c>
      <c r="D2205" s="1" t="str">
        <f>IFERROR(__xludf.DUMMYFUNCTION("""COMPUTED_VALUE"""),"Serenoreyes")</f>
        <v>Serenoreyes</v>
      </c>
      <c r="E2205" s="1" t="str">
        <f>IFERROR(__xludf.DUMMYFUNCTION("""COMPUTED_VALUE"""),"Floribel Cariaso Divinagracia mag tanong ka kay Mr Google")</f>
        <v>Floribel Cariaso Divinagracia mag tanong ka kay Mr Google</v>
      </c>
      <c r="F2205" s="1"/>
      <c r="G2205" s="1" t="str">
        <f>IFERROR(__xludf.DUMMYFUNCTION("""COMPUTED_VALUE"""),"3 mos")</f>
        <v>3 mos</v>
      </c>
      <c r="H2205" s="1" t="str">
        <f>IFERROR(__xludf.DUMMYFUNCTION("""COMPUTED_VALUE"""),"reply")</f>
        <v>reply</v>
      </c>
      <c r="I2205" s="2" t="str">
        <f>IFERROR(__xludf.DUMMYFUNCTION("""COMPUTED_VALUE"""),"https://www.facebook.com/rapplerdotcom/photos/a.317154781638645/5594954703858600/")</f>
        <v>https://www.facebook.com/rapplerdotcom/photos/a.317154781638645/5594954703858600/</v>
      </c>
      <c r="J2205" s="1" t="str">
        <f>IFERROR(__xludf.DUMMYFUNCTION("""COMPUTED_VALUE"""),"2022-07-04T15:48:35.885Z")</f>
        <v>2022-07-04T15:48:35.885Z</v>
      </c>
      <c r="K2205" s="1"/>
    </row>
    <row r="2206">
      <c r="A2206" s="2" t="str">
        <f>IFERROR(__xludf.DUMMYFUNCTION("""COMPUTED_VALUE"""),"https://www.facebook.com/myrna.gipulan")</f>
        <v>https://www.facebook.com/myrna.gipulan</v>
      </c>
      <c r="B2206" s="1" t="str">
        <f>IFERROR(__xludf.DUMMYFUNCTION("""COMPUTED_VALUE"""),"Myrna Torno Gipulan")</f>
        <v>Myrna Torno Gipulan</v>
      </c>
      <c r="C2206" s="1" t="str">
        <f>IFERROR(__xludf.DUMMYFUNCTION("""COMPUTED_VALUE"""),"Myrna")</f>
        <v>Myrna</v>
      </c>
      <c r="D2206" s="1" t="str">
        <f>IFERROR(__xludf.DUMMYFUNCTION("""COMPUTED_VALUE"""),"Torno Gipulan")</f>
        <v>Torno Gipulan</v>
      </c>
      <c r="E2206" s="1" t="str">
        <f>IFERROR(__xludf.DUMMYFUNCTION("""COMPUTED_VALUE"""),"Floribel Cariaso Divinagracia puro k tanong mag research k dagdag kaalaman wag puro tiktok nkkbobo un")</f>
        <v>Floribel Cariaso Divinagracia puro k tanong mag research k dagdag kaalaman wag puro tiktok nkkbobo un</v>
      </c>
      <c r="F2206" s="1"/>
      <c r="G2206" s="1" t="str">
        <f>IFERROR(__xludf.DUMMYFUNCTION("""COMPUTED_VALUE"""),"3 mos")</f>
        <v>3 mos</v>
      </c>
      <c r="H2206" s="1" t="str">
        <f>IFERROR(__xludf.DUMMYFUNCTION("""COMPUTED_VALUE"""),"reply")</f>
        <v>reply</v>
      </c>
      <c r="I2206" s="2" t="str">
        <f>IFERROR(__xludf.DUMMYFUNCTION("""COMPUTED_VALUE"""),"https://www.facebook.com/rapplerdotcom/photos/a.317154781638645/5594954703858600/")</f>
        <v>https://www.facebook.com/rapplerdotcom/photos/a.317154781638645/5594954703858600/</v>
      </c>
      <c r="J2206" s="1" t="str">
        <f>IFERROR(__xludf.DUMMYFUNCTION("""COMPUTED_VALUE"""),"2022-07-04T15:48:35.885Z")</f>
        <v>2022-07-04T15:48:35.885Z</v>
      </c>
      <c r="K2206" s="1"/>
    </row>
    <row r="2207">
      <c r="A2207" s="2" t="str">
        <f>IFERROR(__xludf.DUMMYFUNCTION("""COMPUTED_VALUE"""),"https://www.facebook.com/profile.php?id=100007155289018")</f>
        <v>https://www.facebook.com/profile.php?id=100007155289018</v>
      </c>
      <c r="B2207" s="1" t="str">
        <f>IFERROR(__xludf.DUMMYFUNCTION("""COMPUTED_VALUE"""),"Victorino Pendon")</f>
        <v>Victorino Pendon</v>
      </c>
      <c r="C2207" s="1" t="str">
        <f>IFERROR(__xludf.DUMMYFUNCTION("""COMPUTED_VALUE"""),"Victorino")</f>
        <v>Victorino</v>
      </c>
      <c r="D2207" s="1" t="str">
        <f>IFERROR(__xludf.DUMMYFUNCTION("""COMPUTED_VALUE"""),"Pendon")</f>
        <v>Pendon</v>
      </c>
      <c r="E2207" s="1" t="str">
        <f>IFERROR(__xludf.DUMMYFUNCTION("""COMPUTED_VALUE"""),"Myrna Torno Gipulan mars parang nagalit ka")</f>
        <v>Myrna Torno Gipulan mars parang nagalit ka</v>
      </c>
      <c r="F2207" s="1"/>
      <c r="G2207" s="1" t="str">
        <f>IFERROR(__xludf.DUMMYFUNCTION("""COMPUTED_VALUE"""),"3 mos")</f>
        <v>3 mos</v>
      </c>
      <c r="H2207" s="1" t="str">
        <f>IFERROR(__xludf.DUMMYFUNCTION("""COMPUTED_VALUE"""),"reply")</f>
        <v>reply</v>
      </c>
      <c r="I2207" s="2" t="str">
        <f>IFERROR(__xludf.DUMMYFUNCTION("""COMPUTED_VALUE"""),"https://www.facebook.com/rapplerdotcom/photos/a.317154781638645/5594954703858600/")</f>
        <v>https://www.facebook.com/rapplerdotcom/photos/a.317154781638645/5594954703858600/</v>
      </c>
      <c r="J2207" s="1" t="str">
        <f>IFERROR(__xludf.DUMMYFUNCTION("""COMPUTED_VALUE"""),"2022-07-04T15:48:35.885Z")</f>
        <v>2022-07-04T15:48:35.885Z</v>
      </c>
      <c r="K2207" s="1"/>
    </row>
    <row r="2208">
      <c r="A2208" s="2" t="str">
        <f>IFERROR(__xludf.DUMMYFUNCTION("""COMPUTED_VALUE"""),"https://www.facebook.com/josie.roncal.3")</f>
        <v>https://www.facebook.com/josie.roncal.3</v>
      </c>
      <c r="B2208" s="1" t="str">
        <f>IFERROR(__xludf.DUMMYFUNCTION("""COMPUTED_VALUE"""),"Josie Roncal")</f>
        <v>Josie Roncal</v>
      </c>
      <c r="C2208" s="1" t="str">
        <f>IFERROR(__xludf.DUMMYFUNCTION("""COMPUTED_VALUE"""),"Josie")</f>
        <v>Josie</v>
      </c>
      <c r="D2208" s="1" t="str">
        <f>IFERROR(__xludf.DUMMYFUNCTION("""COMPUTED_VALUE"""),"Roncal")</f>
        <v>Roncal</v>
      </c>
      <c r="E2208" s="1" t="str">
        <f>IFERROR(__xludf.DUMMYFUNCTION("""COMPUTED_VALUE"""),"Ester Barcelon parehas pala tayo ng reply hehe …. Di pa rin nila alam hanggang ngayon.")</f>
        <v>Ester Barcelon parehas pala tayo ng reply hehe …. Di pa rin nila alam hanggang ngayon.</v>
      </c>
      <c r="F2208" s="1">
        <f>IFERROR(__xludf.DUMMYFUNCTION("""COMPUTED_VALUE"""),1.0)</f>
        <v>1</v>
      </c>
      <c r="G2208" s="1" t="str">
        <f>IFERROR(__xludf.DUMMYFUNCTION("""COMPUTED_VALUE"""),"3 mos")</f>
        <v>3 mos</v>
      </c>
      <c r="H2208" s="1" t="str">
        <f>IFERROR(__xludf.DUMMYFUNCTION("""COMPUTED_VALUE"""),"reply")</f>
        <v>reply</v>
      </c>
      <c r="I2208" s="2" t="str">
        <f>IFERROR(__xludf.DUMMYFUNCTION("""COMPUTED_VALUE"""),"https://www.facebook.com/rapplerdotcom/photos/a.317154781638645/5594954703858600/")</f>
        <v>https://www.facebook.com/rapplerdotcom/photos/a.317154781638645/5594954703858600/</v>
      </c>
      <c r="J2208" s="1" t="str">
        <f>IFERROR(__xludf.DUMMYFUNCTION("""COMPUTED_VALUE"""),"2022-07-04T15:48:35.885Z")</f>
        <v>2022-07-04T15:48:35.885Z</v>
      </c>
      <c r="K2208" s="1"/>
    </row>
    <row r="2209">
      <c r="A2209" s="2" t="str">
        <f>IFERROR(__xludf.DUMMYFUNCTION("""COMPUTED_VALUE"""),"https://www.facebook.com/CornerPrinter.ph")</f>
        <v>https://www.facebook.com/CornerPrinter.ph</v>
      </c>
      <c r="B2209" s="1" t="str">
        <f>IFERROR(__xludf.DUMMYFUNCTION("""COMPUTED_VALUE"""),"Corner Print Services")</f>
        <v>Corner Print Services</v>
      </c>
      <c r="C2209" s="1" t="str">
        <f>IFERROR(__xludf.DUMMYFUNCTION("""COMPUTED_VALUE"""),"Corner")</f>
        <v>Corner</v>
      </c>
      <c r="D2209" s="1" t="str">
        <f>IFERROR(__xludf.DUMMYFUNCTION("""COMPUTED_VALUE"""),"Print Services")</f>
        <v>Print Services</v>
      </c>
      <c r="E2209" s="1" t="str">
        <f>IFERROR(__xludf.DUMMYFUNCTION("""COMPUTED_VALUE"""),"Floribel Cariaso Divinagracia for sure 10 yrs later yon joke mo nakakatawa na :D tagal kac ng update")</f>
        <v>Floribel Cariaso Divinagracia for sure 10 yrs later yon joke mo nakakatawa na :D tagal kac ng update</v>
      </c>
      <c r="F2209" s="1"/>
      <c r="G2209" s="1" t="str">
        <f>IFERROR(__xludf.DUMMYFUNCTION("""COMPUTED_VALUE"""),"3 mos")</f>
        <v>3 mos</v>
      </c>
      <c r="H2209" s="1" t="str">
        <f>IFERROR(__xludf.DUMMYFUNCTION("""COMPUTED_VALUE"""),"reply")</f>
        <v>reply</v>
      </c>
      <c r="I2209" s="2" t="str">
        <f>IFERROR(__xludf.DUMMYFUNCTION("""COMPUTED_VALUE"""),"https://www.facebook.com/rapplerdotcom/photos/a.317154781638645/5594954703858600/")</f>
        <v>https://www.facebook.com/rapplerdotcom/photos/a.317154781638645/5594954703858600/</v>
      </c>
      <c r="J2209" s="1" t="str">
        <f>IFERROR(__xludf.DUMMYFUNCTION("""COMPUTED_VALUE"""),"2022-07-04T15:48:35.885Z")</f>
        <v>2022-07-04T15:48:35.885Z</v>
      </c>
      <c r="K2209" s="1"/>
    </row>
    <row r="2210">
      <c r="A2210" s="2" t="str">
        <f>IFERROR(__xludf.DUMMYFUNCTION("""COMPUTED_VALUE"""),"https://www.facebook.com/shelongrace.fernando.96")</f>
        <v>https://www.facebook.com/shelongrace.fernando.96</v>
      </c>
      <c r="B2210" s="1" t="str">
        <f>IFERROR(__xludf.DUMMYFUNCTION("""COMPUTED_VALUE"""),"Shelon Medina Fernando")</f>
        <v>Shelon Medina Fernando</v>
      </c>
      <c r="C2210" s="1" t="str">
        <f>IFERROR(__xludf.DUMMYFUNCTION("""COMPUTED_VALUE"""),"Shelon")</f>
        <v>Shelon</v>
      </c>
      <c r="D2210" s="1" t="str">
        <f>IFERROR(__xludf.DUMMYFUNCTION("""COMPUTED_VALUE"""),"Medina Fernando")</f>
        <v>Medina Fernando</v>
      </c>
      <c r="E2210" s="1" t="str">
        <f>IFERROR(__xludf.DUMMYFUNCTION("""COMPUTED_VALUE"""),"Solito Barana ikaw lng siguro, wag mu lahatin")</f>
        <v>Solito Barana ikaw lng siguro, wag mu lahatin</v>
      </c>
      <c r="F2210" s="1"/>
      <c r="G2210" s="1" t="str">
        <f>IFERROR(__xludf.DUMMYFUNCTION("""COMPUTED_VALUE"""),"2 wks")</f>
        <v>2 wks</v>
      </c>
      <c r="H2210" s="1" t="str">
        <f>IFERROR(__xludf.DUMMYFUNCTION("""COMPUTED_VALUE"""),"reply")</f>
        <v>reply</v>
      </c>
      <c r="I2210" s="2" t="str">
        <f>IFERROR(__xludf.DUMMYFUNCTION("""COMPUTED_VALUE"""),"https://www.facebook.com/rapplerdotcom/photos/a.317154781638645/5594954703858600/")</f>
        <v>https://www.facebook.com/rapplerdotcom/photos/a.317154781638645/5594954703858600/</v>
      </c>
      <c r="J2210" s="1" t="str">
        <f>IFERROR(__xludf.DUMMYFUNCTION("""COMPUTED_VALUE"""),"2022-07-04T15:48:35.885Z")</f>
        <v>2022-07-04T15:48:35.885Z</v>
      </c>
      <c r="K2210" s="1"/>
    </row>
    <row r="2211">
      <c r="A2211" s="2" t="str">
        <f>IFERROR(__xludf.DUMMYFUNCTION("""COMPUTED_VALUE"""),"https://www.facebook.com/myrna.gipulan")</f>
        <v>https://www.facebook.com/myrna.gipulan</v>
      </c>
      <c r="B2211" s="1" t="str">
        <f>IFERROR(__xludf.DUMMYFUNCTION("""COMPUTED_VALUE"""),"Myrna Torno Gipulan")</f>
        <v>Myrna Torno Gipulan</v>
      </c>
      <c r="C2211" s="1" t="str">
        <f>IFERROR(__xludf.DUMMYFUNCTION("""COMPUTED_VALUE"""),"Myrna")</f>
        <v>Myrna</v>
      </c>
      <c r="D2211" s="1" t="str">
        <f>IFERROR(__xludf.DUMMYFUNCTION("""COMPUTED_VALUE"""),"Torno Gipulan")</f>
        <v>Torno Gipulan</v>
      </c>
      <c r="E2211" s="1" t="str">
        <f>IFERROR(__xludf.DUMMYFUNCTION("""COMPUTED_VALUE"""),"Victorino Pendon indi po bossing tgal n kc cnabi ni Mar Roxas n binigay n ang funds s mayor n c romualdez p ulit ulit tnong....")</f>
        <v>Victorino Pendon indi po bossing tgal n kc cnabi ni Mar Roxas n binigay n ang funds s mayor n c romualdez p ulit ulit tnong....</v>
      </c>
      <c r="F2211" s="1"/>
      <c r="G2211" s="1" t="str">
        <f>IFERROR(__xludf.DUMMYFUNCTION("""COMPUTED_VALUE"""),"3 mos")</f>
        <v>3 mos</v>
      </c>
      <c r="H2211" s="1" t="str">
        <f>IFERROR(__xludf.DUMMYFUNCTION("""COMPUTED_VALUE"""),"reply")</f>
        <v>reply</v>
      </c>
      <c r="I2211" s="2" t="str">
        <f>IFERROR(__xludf.DUMMYFUNCTION("""COMPUTED_VALUE"""),"https://www.facebook.com/rapplerdotcom/photos/a.317154781638645/5594954703858600/")</f>
        <v>https://www.facebook.com/rapplerdotcom/photos/a.317154781638645/5594954703858600/</v>
      </c>
      <c r="J2211" s="1" t="str">
        <f>IFERROR(__xludf.DUMMYFUNCTION("""COMPUTED_VALUE"""),"2022-07-04T15:48:35.885Z")</f>
        <v>2022-07-04T15:48:35.885Z</v>
      </c>
      <c r="K2211" s="1"/>
    </row>
    <row r="2212">
      <c r="A2212" s="2" t="str">
        <f>IFERROR(__xludf.DUMMYFUNCTION("""COMPUTED_VALUE"""),"https://www.facebook.com/profile.php?id=100007155289018")</f>
        <v>https://www.facebook.com/profile.php?id=100007155289018</v>
      </c>
      <c r="B2212" s="1" t="str">
        <f>IFERROR(__xludf.DUMMYFUNCTION("""COMPUTED_VALUE"""),"Victorino Pendon")</f>
        <v>Victorino Pendon</v>
      </c>
      <c r="C2212" s="1" t="str">
        <f>IFERROR(__xludf.DUMMYFUNCTION("""COMPUTED_VALUE"""),"Victorino")</f>
        <v>Victorino</v>
      </c>
      <c r="D2212" s="1" t="str">
        <f>IFERROR(__xludf.DUMMYFUNCTION("""COMPUTED_VALUE"""),"Pendon")</f>
        <v>Pendon</v>
      </c>
      <c r="E2212" s="1" t="str">
        <f>IFERROR(__xludf.DUMMYFUNCTION("""COMPUTED_VALUE"""),"Myrna Torno Gipulan oo nga")</f>
        <v>Myrna Torno Gipulan oo nga</v>
      </c>
      <c r="F2212" s="1"/>
      <c r="G2212" s="1" t="str">
        <f>IFERROR(__xludf.DUMMYFUNCTION("""COMPUTED_VALUE"""),"3 mos")</f>
        <v>3 mos</v>
      </c>
      <c r="H2212" s="1" t="str">
        <f>IFERROR(__xludf.DUMMYFUNCTION("""COMPUTED_VALUE"""),"reply")</f>
        <v>reply</v>
      </c>
      <c r="I2212" s="2" t="str">
        <f>IFERROR(__xludf.DUMMYFUNCTION("""COMPUTED_VALUE"""),"https://www.facebook.com/rapplerdotcom/photos/a.317154781638645/5594954703858600/")</f>
        <v>https://www.facebook.com/rapplerdotcom/photos/a.317154781638645/5594954703858600/</v>
      </c>
      <c r="J2212" s="1" t="str">
        <f>IFERROR(__xludf.DUMMYFUNCTION("""COMPUTED_VALUE"""),"2022-07-04T15:48:35.885Z")</f>
        <v>2022-07-04T15:48:35.885Z</v>
      </c>
      <c r="K2212" s="1"/>
    </row>
    <row r="2213">
      <c r="A2213" s="2" t="str">
        <f>IFERROR(__xludf.DUMMYFUNCTION("""COMPUTED_VALUE"""),"https://www.facebook.com/profile.php?id=100007155289018")</f>
        <v>https://www.facebook.com/profile.php?id=100007155289018</v>
      </c>
      <c r="B2213" s="1" t="str">
        <f>IFERROR(__xludf.DUMMYFUNCTION("""COMPUTED_VALUE"""),"Victorino Pendon")</f>
        <v>Victorino Pendon</v>
      </c>
      <c r="C2213" s="1" t="str">
        <f>IFERROR(__xludf.DUMMYFUNCTION("""COMPUTED_VALUE"""),"Victorino")</f>
        <v>Victorino</v>
      </c>
      <c r="D2213" s="1" t="str">
        <f>IFERROR(__xludf.DUMMYFUNCTION("""COMPUTED_VALUE"""),"Pendon")</f>
        <v>Pendon</v>
      </c>
      <c r="E2213" s="1" t="str">
        <f>IFERROR(__xludf.DUMMYFUNCTION("""COMPUTED_VALUE"""),"Myrna Torno Gipulan oo nga")</f>
        <v>Myrna Torno Gipulan oo nga</v>
      </c>
      <c r="F2213" s="1"/>
      <c r="G2213" s="1" t="str">
        <f>IFERROR(__xludf.DUMMYFUNCTION("""COMPUTED_VALUE"""),"3 mos")</f>
        <v>3 mos</v>
      </c>
      <c r="H2213" s="1" t="str">
        <f>IFERROR(__xludf.DUMMYFUNCTION("""COMPUTED_VALUE"""),"reply")</f>
        <v>reply</v>
      </c>
      <c r="I2213" s="2" t="str">
        <f>IFERROR(__xludf.DUMMYFUNCTION("""COMPUTED_VALUE"""),"https://www.facebook.com/rapplerdotcom/photos/a.317154781638645/5594954703858600/")</f>
        <v>https://www.facebook.com/rapplerdotcom/photos/a.317154781638645/5594954703858600/</v>
      </c>
      <c r="J2213" s="1" t="str">
        <f>IFERROR(__xludf.DUMMYFUNCTION("""COMPUTED_VALUE"""),"2022-07-04T15:48:35.885Z")</f>
        <v>2022-07-04T15:48:35.885Z</v>
      </c>
      <c r="K2213" s="1"/>
    </row>
    <row r="2214">
      <c r="A2214" s="2" t="str">
        <f>IFERROR(__xludf.DUMMYFUNCTION("""COMPUTED_VALUE"""),"https://www.facebook.com/solito.barana.86")</f>
        <v>https://www.facebook.com/solito.barana.86</v>
      </c>
      <c r="B2214" s="1" t="str">
        <f>IFERROR(__xludf.DUMMYFUNCTION("""COMPUTED_VALUE"""),"Solito Barana")</f>
        <v>Solito Barana</v>
      </c>
      <c r="C2214" s="1" t="str">
        <f>IFERROR(__xludf.DUMMYFUNCTION("""COMPUTED_VALUE"""),"Solito")</f>
        <v>Solito</v>
      </c>
      <c r="D2214" s="1" t="str">
        <f>IFERROR(__xludf.DUMMYFUNCTION("""COMPUTED_VALUE"""),"Barana")</f>
        <v>Barana</v>
      </c>
      <c r="E2214" s="1" t="str">
        <f>IFERROR(__xludf.DUMMYFUNCTION("""COMPUTED_VALUE"""),"Shelon Medina Fernando Reply ko yun kay Floribel.  LeniKiko rin ako.")</f>
        <v>Shelon Medina Fernando Reply ko yun kay Floribel.  LeniKiko rin ako.</v>
      </c>
      <c r="F2214" s="1">
        <f>IFERROR(__xludf.DUMMYFUNCTION("""COMPUTED_VALUE"""),1.0)</f>
        <v>1</v>
      </c>
      <c r="G2214" s="1" t="str">
        <f>IFERROR(__xludf.DUMMYFUNCTION("""COMPUTED_VALUE"""),"3 mos")</f>
        <v>3 mos</v>
      </c>
      <c r="H2214" s="1" t="str">
        <f>IFERROR(__xludf.DUMMYFUNCTION("""COMPUTED_VALUE"""),"reply")</f>
        <v>reply</v>
      </c>
      <c r="I2214" s="2" t="str">
        <f>IFERROR(__xludf.DUMMYFUNCTION("""COMPUTED_VALUE"""),"https://www.facebook.com/rapplerdotcom/photos/a.317154781638645/5594954703858600/")</f>
        <v>https://www.facebook.com/rapplerdotcom/photos/a.317154781638645/5594954703858600/</v>
      </c>
      <c r="J2214" s="1" t="str">
        <f>IFERROR(__xludf.DUMMYFUNCTION("""COMPUTED_VALUE"""),"2022-07-04T15:48:35.885Z")</f>
        <v>2022-07-04T15:48:35.885Z</v>
      </c>
      <c r="K2214" s="1"/>
    </row>
    <row r="2215">
      <c r="A2215" s="2" t="str">
        <f>IFERROR(__xludf.DUMMYFUNCTION("""COMPUTED_VALUE"""),"https://www.facebook.com/lon.makinano.94")</f>
        <v>https://www.facebook.com/lon.makinano.94</v>
      </c>
      <c r="B2215" s="1" t="str">
        <f>IFERROR(__xludf.DUMMYFUNCTION("""COMPUTED_VALUE"""),"Lon Makinano")</f>
        <v>Lon Makinano</v>
      </c>
      <c r="C2215" s="1" t="str">
        <f>IFERROR(__xludf.DUMMYFUNCTION("""COMPUTED_VALUE"""),"Lon")</f>
        <v>Lon</v>
      </c>
      <c r="D2215" s="1" t="str">
        <f>IFERROR(__xludf.DUMMYFUNCTION("""COMPUTED_VALUE"""),"Makinano")</f>
        <v>Makinano</v>
      </c>
      <c r="E2215" s="1" t="str">
        <f>IFERROR(__xludf.DUMMYFUNCTION("""COMPUTED_VALUE"""),"Floribel Cariaso Divinagracia itanong mo sa mga Romualdez")</f>
        <v>Floribel Cariaso Divinagracia itanong mo sa mga Romualdez</v>
      </c>
      <c r="F2215" s="1"/>
      <c r="G2215" s="1" t="str">
        <f>IFERROR(__xludf.DUMMYFUNCTION("""COMPUTED_VALUE"""),"3 mos")</f>
        <v>3 mos</v>
      </c>
      <c r="H2215" s="1" t="str">
        <f>IFERROR(__xludf.DUMMYFUNCTION("""COMPUTED_VALUE"""),"reply")</f>
        <v>reply</v>
      </c>
      <c r="I2215" s="2" t="str">
        <f>IFERROR(__xludf.DUMMYFUNCTION("""COMPUTED_VALUE"""),"https://www.facebook.com/rapplerdotcom/photos/a.317154781638645/5594954703858600/")</f>
        <v>https://www.facebook.com/rapplerdotcom/photos/a.317154781638645/5594954703858600/</v>
      </c>
      <c r="J2215" s="1" t="str">
        <f>IFERROR(__xludf.DUMMYFUNCTION("""COMPUTED_VALUE"""),"2022-07-04T15:48:35.885Z")</f>
        <v>2022-07-04T15:48:35.885Z</v>
      </c>
      <c r="K2215" s="1"/>
    </row>
    <row r="2216">
      <c r="A2216" s="2" t="str">
        <f>IFERROR(__xludf.DUMMYFUNCTION("""COMPUTED_VALUE"""),"https://www.facebook.com/awin.calderon")</f>
        <v>https://www.facebook.com/awin.calderon</v>
      </c>
      <c r="B2216" s="1" t="str">
        <f>IFERROR(__xludf.DUMMYFUNCTION("""COMPUTED_VALUE"""),"Awin Calderon")</f>
        <v>Awin Calderon</v>
      </c>
      <c r="C2216" s="1" t="str">
        <f>IFERROR(__xludf.DUMMYFUNCTION("""COMPUTED_VALUE"""),"Awin")</f>
        <v>Awin</v>
      </c>
      <c r="D2216" s="1" t="str">
        <f>IFERROR(__xludf.DUMMYFUNCTION("""COMPUTED_VALUE"""),"Calderon")</f>
        <v>Calderon</v>
      </c>
      <c r="E2216" s="1" t="str">
        <f>IFERROR(__xludf.DUMMYFUNCTION("""COMPUTED_VALUE"""),"Ester Barcelon  bakit di nila tanong ka  Blengblong di ba kamag anak nya si  Romualdes?")</f>
        <v>Ester Barcelon  bakit di nila tanong ka  Blengblong di ba kamag anak nya si  Romualdes?</v>
      </c>
      <c r="F2216" s="1">
        <f>IFERROR(__xludf.DUMMYFUNCTION("""COMPUTED_VALUE"""),1.0)</f>
        <v>1</v>
      </c>
      <c r="G2216" s="1" t="str">
        <f>IFERROR(__xludf.DUMMYFUNCTION("""COMPUTED_VALUE"""),"3 mos")</f>
        <v>3 mos</v>
      </c>
      <c r="H2216" s="1" t="str">
        <f>IFERROR(__xludf.DUMMYFUNCTION("""COMPUTED_VALUE"""),"reply")</f>
        <v>reply</v>
      </c>
      <c r="I2216" s="2" t="str">
        <f>IFERROR(__xludf.DUMMYFUNCTION("""COMPUTED_VALUE"""),"https://www.facebook.com/rapplerdotcom/photos/a.317154781638645/5594954703858600/")</f>
        <v>https://www.facebook.com/rapplerdotcom/photos/a.317154781638645/5594954703858600/</v>
      </c>
      <c r="J2216" s="1" t="str">
        <f>IFERROR(__xludf.DUMMYFUNCTION("""COMPUTED_VALUE"""),"2022-07-04T15:48:35.885Z")</f>
        <v>2022-07-04T15:48:35.885Z</v>
      </c>
      <c r="K2216" s="1"/>
    </row>
    <row r="2217">
      <c r="A2217" s="2" t="str">
        <f>IFERROR(__xludf.DUMMYFUNCTION("""COMPUTED_VALUE"""),"https://www.facebook.com/ester.barcelon")</f>
        <v>https://www.facebook.com/ester.barcelon</v>
      </c>
      <c r="B2217" s="1" t="str">
        <f>IFERROR(__xludf.DUMMYFUNCTION("""COMPUTED_VALUE"""),"Ester Barcelon")</f>
        <v>Ester Barcelon</v>
      </c>
      <c r="C2217" s="1" t="str">
        <f>IFERROR(__xludf.DUMMYFUNCTION("""COMPUTED_VALUE"""),"Ester")</f>
        <v>Ester</v>
      </c>
      <c r="D2217" s="1" t="str">
        <f>IFERROR(__xludf.DUMMYFUNCTION("""COMPUTED_VALUE"""),"Barcelon")</f>
        <v>Barcelon</v>
      </c>
      <c r="E2217" s="1" t="str">
        <f>IFERROR(__xludf.DUMMYFUNCTION("""COMPUTED_VALUE"""),"Awin Calderon si Roxas mismo ng bigay kay Romualdes ng 5 billion fund na hinahanap nila")</f>
        <v>Awin Calderon si Roxas mismo ng bigay kay Romualdes ng 5 billion fund na hinahanap nila</v>
      </c>
      <c r="F2217" s="1"/>
      <c r="G2217" s="1" t="str">
        <f>IFERROR(__xludf.DUMMYFUNCTION("""COMPUTED_VALUE"""),"3 mos")</f>
        <v>3 mos</v>
      </c>
      <c r="H2217" s="1" t="str">
        <f>IFERROR(__xludf.DUMMYFUNCTION("""COMPUTED_VALUE"""),"reply")</f>
        <v>reply</v>
      </c>
      <c r="I2217" s="2" t="str">
        <f>IFERROR(__xludf.DUMMYFUNCTION("""COMPUTED_VALUE"""),"https://www.facebook.com/rapplerdotcom/photos/a.317154781638645/5594954703858600/")</f>
        <v>https://www.facebook.com/rapplerdotcom/photos/a.317154781638645/5594954703858600/</v>
      </c>
      <c r="J2217" s="1" t="str">
        <f>IFERROR(__xludf.DUMMYFUNCTION("""COMPUTED_VALUE"""),"2022-07-04T15:48:35.885Z")</f>
        <v>2022-07-04T15:48:35.885Z</v>
      </c>
      <c r="K2217" s="1"/>
    </row>
    <row r="2218">
      <c r="A2218" s="2" t="str">
        <f>IFERROR(__xludf.DUMMYFUNCTION("""COMPUTED_VALUE"""),"https://www.facebook.com/madz.gomez.73")</f>
        <v>https://www.facebook.com/madz.gomez.73</v>
      </c>
      <c r="B2218" s="1" t="str">
        <f>IFERROR(__xludf.DUMMYFUNCTION("""COMPUTED_VALUE"""),"Zemo Damz")</f>
        <v>Zemo Damz</v>
      </c>
      <c r="C2218" s="1" t="str">
        <f>IFERROR(__xludf.DUMMYFUNCTION("""COMPUTED_VALUE"""),"Zemo")</f>
        <v>Zemo</v>
      </c>
      <c r="D2218" s="1" t="str">
        <f>IFERROR(__xludf.DUMMYFUNCTION("""COMPUTED_VALUE"""),"Damz")</f>
        <v>Damz</v>
      </c>
      <c r="E2218" s="1" t="str">
        <f>IFERROR(__xludf.DUMMYFUNCTION("""COMPUTED_VALUE"""),"NAG LALABASAN NA MGA DILAWIN")</f>
        <v>NAG LALABASAN NA MGA DILAWIN</v>
      </c>
      <c r="F2218" s="1">
        <f>IFERROR(__xludf.DUMMYFUNCTION("""COMPUTED_VALUE"""),4.0)</f>
        <v>4</v>
      </c>
      <c r="G2218" s="1" t="str">
        <f>IFERROR(__xludf.DUMMYFUNCTION("""COMPUTED_VALUE"""),"3 mos")</f>
        <v>3 mos</v>
      </c>
      <c r="H2218" s="1" t="str">
        <f>IFERROR(__xludf.DUMMYFUNCTION("""COMPUTED_VALUE"""),"comment")</f>
        <v>comment</v>
      </c>
      <c r="I2218" s="2" t="str">
        <f>IFERROR(__xludf.DUMMYFUNCTION("""COMPUTED_VALUE"""),"https://www.facebook.com/rapplerdotcom/photos/a.317154781638645/5594954703858600/")</f>
        <v>https://www.facebook.com/rapplerdotcom/photos/a.317154781638645/5594954703858600/</v>
      </c>
      <c r="J2218" s="1" t="str">
        <f>IFERROR(__xludf.DUMMYFUNCTION("""COMPUTED_VALUE"""),"2022-07-04T15:48:35.885Z")</f>
        <v>2022-07-04T15:48:35.885Z</v>
      </c>
      <c r="K2218" s="1"/>
    </row>
    <row r="2219">
      <c r="A2219" s="2" t="str">
        <f>IFERROR(__xludf.DUMMYFUNCTION("""COMPUTED_VALUE"""),"https://www.facebook.com/emmaibarra.manabat")</f>
        <v>https://www.facebook.com/emmaibarra.manabat</v>
      </c>
      <c r="B2219" s="1" t="str">
        <f>IFERROR(__xludf.DUMMYFUNCTION("""COMPUTED_VALUE"""),"Emma Ibarra")</f>
        <v>Emma Ibarra</v>
      </c>
      <c r="C2219" s="1" t="str">
        <f>IFERROR(__xludf.DUMMYFUNCTION("""COMPUTED_VALUE"""),"Emma")</f>
        <v>Emma</v>
      </c>
      <c r="D2219" s="1" t="str">
        <f>IFERROR(__xludf.DUMMYFUNCTION("""COMPUTED_VALUE"""),"Ibarra")</f>
        <v>Ibarra</v>
      </c>
      <c r="E2219" s="1" t="str">
        <f>IFERROR(__xludf.DUMMYFUNCTION("""COMPUTED_VALUE"""),"Zdam Zemog kasi nagtutulungan")</f>
        <v>Zdam Zemog kasi nagtutulungan</v>
      </c>
      <c r="F2219" s="1"/>
      <c r="G2219" s="1" t="str">
        <f>IFERROR(__xludf.DUMMYFUNCTION("""COMPUTED_VALUE"""),"3 mos")</f>
        <v>3 mos</v>
      </c>
      <c r="H2219" s="1" t="str">
        <f>IFERROR(__xludf.DUMMYFUNCTION("""COMPUTED_VALUE"""),"reply")</f>
        <v>reply</v>
      </c>
      <c r="I2219" s="2" t="str">
        <f>IFERROR(__xludf.DUMMYFUNCTION("""COMPUTED_VALUE"""),"https://www.facebook.com/rapplerdotcom/photos/a.317154781638645/5594954703858600/")</f>
        <v>https://www.facebook.com/rapplerdotcom/photos/a.317154781638645/5594954703858600/</v>
      </c>
      <c r="J2219" s="1" t="str">
        <f>IFERROR(__xludf.DUMMYFUNCTION("""COMPUTED_VALUE"""),"2022-07-04T15:48:35.885Z")</f>
        <v>2022-07-04T15:48:35.885Z</v>
      </c>
      <c r="K2219" s="1"/>
    </row>
    <row r="2220">
      <c r="A2220" s="2" t="str">
        <f>IFERROR(__xludf.DUMMYFUNCTION("""COMPUTED_VALUE"""),"https://www.facebook.com/madz.gomez.73")</f>
        <v>https://www.facebook.com/madz.gomez.73</v>
      </c>
      <c r="B2220" s="1" t="str">
        <f>IFERROR(__xludf.DUMMYFUNCTION("""COMPUTED_VALUE"""),"Zemo Damz")</f>
        <v>Zemo Damz</v>
      </c>
      <c r="C2220" s="1" t="str">
        <f>IFERROR(__xludf.DUMMYFUNCTION("""COMPUTED_VALUE"""),"Zemo")</f>
        <v>Zemo</v>
      </c>
      <c r="D2220" s="1" t="str">
        <f>IFERROR(__xludf.DUMMYFUNCTION("""COMPUTED_VALUE"""),"Damz")</f>
        <v>Damz</v>
      </c>
      <c r="E2220" s="1" t="str">
        <f>IFERROR(__xludf.DUMMYFUNCTION("""COMPUTED_VALUE"""),"Emma Ibarra Nagtutulungan at Nagnamakaawa! No to DILAWIN! PINKLAWIN! Communism! And to Lies! Lies! And Lies!")</f>
        <v>Emma Ibarra Nagtutulungan at Nagnamakaawa! No to DILAWIN! PINKLAWIN! Communism! And to Lies! Lies! And Lies!</v>
      </c>
      <c r="F2220" s="1"/>
      <c r="G2220" s="1" t="str">
        <f>IFERROR(__xludf.DUMMYFUNCTION("""COMPUTED_VALUE"""),"3 mos")</f>
        <v>3 mos</v>
      </c>
      <c r="H2220" s="1" t="str">
        <f>IFERROR(__xludf.DUMMYFUNCTION("""COMPUTED_VALUE"""),"reply")</f>
        <v>reply</v>
      </c>
      <c r="I2220" s="2" t="str">
        <f>IFERROR(__xludf.DUMMYFUNCTION("""COMPUTED_VALUE"""),"https://www.facebook.com/rapplerdotcom/photos/a.317154781638645/5594954703858600/")</f>
        <v>https://www.facebook.com/rapplerdotcom/photos/a.317154781638645/5594954703858600/</v>
      </c>
      <c r="J2220" s="1" t="str">
        <f>IFERROR(__xludf.DUMMYFUNCTION("""COMPUTED_VALUE"""),"2022-07-04T15:48:35.885Z")</f>
        <v>2022-07-04T15:48:35.885Z</v>
      </c>
      <c r="K2220" s="1"/>
    </row>
    <row r="2221">
      <c r="A2221" s="2" t="str">
        <f>IFERROR(__xludf.DUMMYFUNCTION("""COMPUTED_VALUE"""),"https://www.facebook.com/CornerPrinter.ph")</f>
        <v>https://www.facebook.com/CornerPrinter.ph</v>
      </c>
      <c r="B2221" s="1" t="str">
        <f>IFERROR(__xludf.DUMMYFUNCTION("""COMPUTED_VALUE"""),"Corner Print Services")</f>
        <v>Corner Print Services</v>
      </c>
      <c r="C2221" s="1" t="str">
        <f>IFERROR(__xludf.DUMMYFUNCTION("""COMPUTED_VALUE"""),"Corner")</f>
        <v>Corner</v>
      </c>
      <c r="D2221" s="1" t="str">
        <f>IFERROR(__xludf.DUMMYFUNCTION("""COMPUTED_VALUE"""),"Print Services")</f>
        <v>Print Services</v>
      </c>
      <c r="E2221" s="1" t="str">
        <f>IFERROR(__xludf.DUMMYFUNCTION("""COMPUTED_VALUE"""),"Zdam Zemog now sino iboboto unithieves ?")</f>
        <v>Zdam Zemog now sino iboboto unithieves ?</v>
      </c>
      <c r="F2221" s="1"/>
      <c r="G2221" s="1" t="str">
        <f>IFERROR(__xludf.DUMMYFUNCTION("""COMPUTED_VALUE"""),"3 mos")</f>
        <v>3 mos</v>
      </c>
      <c r="H2221" s="1" t="str">
        <f>IFERROR(__xludf.DUMMYFUNCTION("""COMPUTED_VALUE"""),"reply")</f>
        <v>reply</v>
      </c>
      <c r="I2221" s="2" t="str">
        <f>IFERROR(__xludf.DUMMYFUNCTION("""COMPUTED_VALUE"""),"https://www.facebook.com/rapplerdotcom/photos/a.317154781638645/5594954703858600/")</f>
        <v>https://www.facebook.com/rapplerdotcom/photos/a.317154781638645/5594954703858600/</v>
      </c>
      <c r="J2221" s="1" t="str">
        <f>IFERROR(__xludf.DUMMYFUNCTION("""COMPUTED_VALUE"""),"2022-07-04T15:48:35.885Z")</f>
        <v>2022-07-04T15:48:35.885Z</v>
      </c>
      <c r="K2221" s="1"/>
    </row>
    <row r="2222">
      <c r="A2222" s="2" t="str">
        <f>IFERROR(__xludf.DUMMYFUNCTION("""COMPUTED_VALUE"""),"https://www.facebook.com/jayloudave.basog")</f>
        <v>https://www.facebook.com/jayloudave.basog</v>
      </c>
      <c r="B2222" s="1" t="str">
        <f>IFERROR(__xludf.DUMMYFUNCTION("""COMPUTED_VALUE"""),"Jaylou Dave Basog")</f>
        <v>Jaylou Dave Basog</v>
      </c>
      <c r="C2222" s="1" t="str">
        <f>IFERROR(__xludf.DUMMYFUNCTION("""COMPUTED_VALUE"""),"Jaylou")</f>
        <v>Jaylou</v>
      </c>
      <c r="D2222" s="1" t="str">
        <f>IFERROR(__xludf.DUMMYFUNCTION("""COMPUTED_VALUE"""),"Dave Basog")</f>
        <v>Dave Basog</v>
      </c>
      <c r="E2222" s="1" t="str">
        <f>IFERROR(__xludf.DUMMYFUNCTION("""COMPUTED_VALUE"""),"Ito ba yung umacting na Traffic Enforcer? HAHAHAHAHAHA")</f>
        <v>Ito ba yung umacting na Traffic Enforcer? HAHAHAHAHAHA</v>
      </c>
      <c r="F2222" s="1"/>
      <c r="G2222" s="1" t="str">
        <f>IFERROR(__xludf.DUMMYFUNCTION("""COMPUTED_VALUE"""),"3 mos")</f>
        <v>3 mos</v>
      </c>
      <c r="H2222" s="1" t="str">
        <f>IFERROR(__xludf.DUMMYFUNCTION("""COMPUTED_VALUE"""),"comment")</f>
        <v>comment</v>
      </c>
      <c r="I2222" s="2" t="str">
        <f>IFERROR(__xludf.DUMMYFUNCTION("""COMPUTED_VALUE"""),"https://www.facebook.com/rapplerdotcom/photos/a.317154781638645/5594954703858600/")</f>
        <v>https://www.facebook.com/rapplerdotcom/photos/a.317154781638645/5594954703858600/</v>
      </c>
      <c r="J2222" s="1" t="str">
        <f>IFERROR(__xludf.DUMMYFUNCTION("""COMPUTED_VALUE"""),"2022-07-04T15:48:35.885Z")</f>
        <v>2022-07-04T15:48:35.885Z</v>
      </c>
      <c r="K2222" s="1"/>
    </row>
    <row r="2223">
      <c r="A2223" s="2" t="str">
        <f>IFERROR(__xludf.DUMMYFUNCTION("""COMPUTED_VALUE"""),"https://www.facebook.com/amaya.sabado")</f>
        <v>https://www.facebook.com/amaya.sabado</v>
      </c>
      <c r="B2223" s="1" t="str">
        <f>IFERROR(__xludf.DUMMYFUNCTION("""COMPUTED_VALUE"""),"Gie Villacillo Buencamino")</f>
        <v>Gie Villacillo Buencamino</v>
      </c>
      <c r="C2223" s="1" t="str">
        <f>IFERROR(__xludf.DUMMYFUNCTION("""COMPUTED_VALUE"""),"Gie")</f>
        <v>Gie</v>
      </c>
      <c r="D2223" s="1" t="str">
        <f>IFERROR(__xludf.DUMMYFUNCTION("""COMPUTED_VALUE"""),"Villacillo Buencamino")</f>
        <v>Villacillo Buencamino</v>
      </c>
      <c r="E2223" s="1" t="str">
        <f>IFERROR(__xludf.DUMMYFUNCTION("""COMPUTED_VALUE"""),"Jaylou Dave Basog walang kwenta")</f>
        <v>Jaylou Dave Basog walang kwenta</v>
      </c>
      <c r="F2223" s="1"/>
      <c r="G2223" s="1" t="str">
        <f>IFERROR(__xludf.DUMMYFUNCTION("""COMPUTED_VALUE"""),"3 mos")</f>
        <v>3 mos</v>
      </c>
      <c r="H2223" s="1" t="str">
        <f>IFERROR(__xludf.DUMMYFUNCTION("""COMPUTED_VALUE"""),"reply")</f>
        <v>reply</v>
      </c>
      <c r="I2223" s="2" t="str">
        <f>IFERROR(__xludf.DUMMYFUNCTION("""COMPUTED_VALUE"""),"https://www.facebook.com/rapplerdotcom/photos/a.317154781638645/5594954703858600/")</f>
        <v>https://www.facebook.com/rapplerdotcom/photos/a.317154781638645/5594954703858600/</v>
      </c>
      <c r="J2223" s="1" t="str">
        <f>IFERROR(__xludf.DUMMYFUNCTION("""COMPUTED_VALUE"""),"2022-07-04T15:48:35.885Z")</f>
        <v>2022-07-04T15:48:35.885Z</v>
      </c>
      <c r="K2223" s="1"/>
    </row>
    <row r="2224">
      <c r="A2224" s="2" t="str">
        <f>IFERROR(__xludf.DUMMYFUNCTION("""COMPUTED_VALUE"""),"https://www.facebook.com/rosemarie.saturno")</f>
        <v>https://www.facebook.com/rosemarie.saturno</v>
      </c>
      <c r="B2224" s="1" t="str">
        <f>IFERROR(__xludf.DUMMYFUNCTION("""COMPUTED_VALUE"""),"Rosemarie Uy Saturno")</f>
        <v>Rosemarie Uy Saturno</v>
      </c>
      <c r="C2224" s="1" t="str">
        <f>IFERROR(__xludf.DUMMYFUNCTION("""COMPUTED_VALUE"""),"Rosemarie")</f>
        <v>Rosemarie</v>
      </c>
      <c r="D2224" s="1" t="str">
        <f>IFERROR(__xludf.DUMMYFUNCTION("""COMPUTED_VALUE"""),"Uy Saturno")</f>
        <v>Uy Saturno</v>
      </c>
      <c r="E2224" s="1" t="str">
        <f>IFERROR(__xludf.DUMMYFUNCTION("""COMPUTED_VALUE"""),"Mahalin natin ang pilipinas ✌❤👊💚🇵🇭")</f>
        <v>Mahalin natin ang pilipinas ✌❤👊💚🇵🇭</v>
      </c>
      <c r="F2224" s="1"/>
      <c r="G2224" s="1" t="str">
        <f>IFERROR(__xludf.DUMMYFUNCTION("""COMPUTED_VALUE"""),"3 mos")</f>
        <v>3 mos</v>
      </c>
      <c r="H2224" s="1" t="str">
        <f>IFERROR(__xludf.DUMMYFUNCTION("""COMPUTED_VALUE"""),"comment")</f>
        <v>comment</v>
      </c>
      <c r="I2224" s="2" t="str">
        <f>IFERROR(__xludf.DUMMYFUNCTION("""COMPUTED_VALUE"""),"https://www.facebook.com/rapplerdotcom/photos/a.317154781638645/5594954703858600/")</f>
        <v>https://www.facebook.com/rapplerdotcom/photos/a.317154781638645/5594954703858600/</v>
      </c>
      <c r="J2224" s="1" t="str">
        <f>IFERROR(__xludf.DUMMYFUNCTION("""COMPUTED_VALUE"""),"2022-07-04T15:48:35.885Z")</f>
        <v>2022-07-04T15:48:35.885Z</v>
      </c>
      <c r="K2224" s="1"/>
    </row>
    <row r="2225">
      <c r="A2225" s="2" t="str">
        <f>IFERROR(__xludf.DUMMYFUNCTION("""COMPUTED_VALUE"""),"https://www.facebook.com/rapkarl04")</f>
        <v>https://www.facebook.com/rapkarl04</v>
      </c>
      <c r="B2225" s="1" t="str">
        <f>IFERROR(__xludf.DUMMYFUNCTION("""COMPUTED_VALUE"""),"Ralphs Carlo Centeno")</f>
        <v>Ralphs Carlo Centeno</v>
      </c>
      <c r="C2225" s="1" t="str">
        <f>IFERROR(__xludf.DUMMYFUNCTION("""COMPUTED_VALUE"""),"Ralphs")</f>
        <v>Ralphs</v>
      </c>
      <c r="D2225" s="1" t="str">
        <f>IFERROR(__xludf.DUMMYFUNCTION("""COMPUTED_VALUE"""),"Carlo Centeno")</f>
        <v>Carlo Centeno</v>
      </c>
      <c r="E2225" s="1" t="str">
        <f>IFERROR(__xludf.DUMMYFUNCTION("""COMPUTED_VALUE"""),"Salamat Sec.Mar👆️🌷♥️📣")</f>
        <v>Salamat Sec.Mar👆️🌷♥️📣</v>
      </c>
      <c r="F2225" s="1">
        <f>IFERROR(__xludf.DUMMYFUNCTION("""COMPUTED_VALUE"""),8.0)</f>
        <v>8</v>
      </c>
      <c r="G2225" s="1" t="str">
        <f>IFERROR(__xludf.DUMMYFUNCTION("""COMPUTED_VALUE"""),"3 mos")</f>
        <v>3 mos</v>
      </c>
      <c r="H2225" s="1" t="str">
        <f>IFERROR(__xludf.DUMMYFUNCTION("""COMPUTED_VALUE"""),"comment")</f>
        <v>comment</v>
      </c>
      <c r="I2225" s="2" t="str">
        <f>IFERROR(__xludf.DUMMYFUNCTION("""COMPUTED_VALUE"""),"https://www.facebook.com/rapplerdotcom/photos/a.317154781638645/5594954703858600/")</f>
        <v>https://www.facebook.com/rapplerdotcom/photos/a.317154781638645/5594954703858600/</v>
      </c>
      <c r="J2225" s="1" t="str">
        <f>IFERROR(__xludf.DUMMYFUNCTION("""COMPUTED_VALUE"""),"2022-07-04T15:48:35.885Z")</f>
        <v>2022-07-04T15:48:35.885Z</v>
      </c>
      <c r="K2225" s="1"/>
    </row>
    <row r="2226">
      <c r="A2226" s="2" t="str">
        <f>IFERROR(__xludf.DUMMYFUNCTION("""COMPUTED_VALUE"""),"https://www.facebook.com/hayl06")</f>
        <v>https://www.facebook.com/hayl06</v>
      </c>
      <c r="B2226" s="1" t="str">
        <f>IFERROR(__xludf.DUMMYFUNCTION("""COMPUTED_VALUE"""),"Hayl Fariñas")</f>
        <v>Hayl Fariñas</v>
      </c>
      <c r="C2226" s="1" t="str">
        <f>IFERROR(__xludf.DUMMYFUNCTION("""COMPUTED_VALUE"""),"Hayl")</f>
        <v>Hayl</v>
      </c>
      <c r="D2226" s="1" t="str">
        <f>IFERROR(__xludf.DUMMYFUNCTION("""COMPUTED_VALUE"""),"Fariñas")</f>
        <v>Fariñas</v>
      </c>
      <c r="E2226" s="1" t="str">
        <f>IFERROR(__xludf.DUMMYFUNCTION("""COMPUTED_VALUE"""),"Pag iisipan namen! Yung bata ba sa pedicab kumusta po 😂")</f>
        <v>Pag iisipan namen! Yung bata ba sa pedicab kumusta po 😂</v>
      </c>
      <c r="F2226" s="1"/>
      <c r="G2226" s="1" t="str">
        <f>IFERROR(__xludf.DUMMYFUNCTION("""COMPUTED_VALUE"""),"3 mos")</f>
        <v>3 mos</v>
      </c>
      <c r="H2226" s="1" t="str">
        <f>IFERROR(__xludf.DUMMYFUNCTION("""COMPUTED_VALUE"""),"comment")</f>
        <v>comment</v>
      </c>
      <c r="I2226" s="2" t="str">
        <f>IFERROR(__xludf.DUMMYFUNCTION("""COMPUTED_VALUE"""),"https://www.facebook.com/rapplerdotcom/photos/a.317154781638645/5594954703858600/")</f>
        <v>https://www.facebook.com/rapplerdotcom/photos/a.317154781638645/5594954703858600/</v>
      </c>
      <c r="J2226" s="1" t="str">
        <f>IFERROR(__xludf.DUMMYFUNCTION("""COMPUTED_VALUE"""),"2022-07-04T15:48:35.885Z")</f>
        <v>2022-07-04T15:48:35.885Z</v>
      </c>
      <c r="K2226" s="1"/>
    </row>
    <row r="2227">
      <c r="A2227" s="2" t="str">
        <f>IFERROR(__xludf.DUMMYFUNCTION("""COMPUTED_VALUE"""),"https://www.facebook.com/frank.chavez.161")</f>
        <v>https://www.facebook.com/frank.chavez.161</v>
      </c>
      <c r="B2227" s="1" t="str">
        <f>IFERROR(__xludf.DUMMYFUNCTION("""COMPUTED_VALUE"""),"Frank Chavez")</f>
        <v>Frank Chavez</v>
      </c>
      <c r="C2227" s="1" t="str">
        <f>IFERROR(__xludf.DUMMYFUNCTION("""COMPUTED_VALUE"""),"Frank")</f>
        <v>Frank</v>
      </c>
      <c r="D2227" s="1" t="str">
        <f>IFERROR(__xludf.DUMMYFUNCTION("""COMPUTED_VALUE"""),"Chavez")</f>
        <v>Chavez</v>
      </c>
      <c r="E2227" s="1" t="str">
        <f>IFERROR(__xludf.DUMMYFUNCTION("""COMPUTED_VALUE"""),"Kaya nga kulang p daw ung kinita niya nung DILG cya kay pinoy.")</f>
        <v>Kaya nga kulang p daw ung kinita niya nung DILG cya kay pinoy.</v>
      </c>
      <c r="F2227" s="1"/>
      <c r="G2227" s="1" t="str">
        <f>IFERROR(__xludf.DUMMYFUNCTION("""COMPUTED_VALUE"""),"3 mos")</f>
        <v>3 mos</v>
      </c>
      <c r="H2227" s="1" t="str">
        <f>IFERROR(__xludf.DUMMYFUNCTION("""COMPUTED_VALUE"""),"comment")</f>
        <v>comment</v>
      </c>
      <c r="I2227" s="2" t="str">
        <f>IFERROR(__xludf.DUMMYFUNCTION("""COMPUTED_VALUE"""),"https://www.facebook.com/rapplerdotcom/photos/a.317154781638645/5594954703858600/")</f>
        <v>https://www.facebook.com/rapplerdotcom/photos/a.317154781638645/5594954703858600/</v>
      </c>
      <c r="J2227" s="1" t="str">
        <f>IFERROR(__xludf.DUMMYFUNCTION("""COMPUTED_VALUE"""),"2022-07-04T15:48:35.885Z")</f>
        <v>2022-07-04T15:48:35.885Z</v>
      </c>
      <c r="K2227" s="1"/>
    </row>
    <row r="2228">
      <c r="A2228" s="2" t="str">
        <f>IFERROR(__xludf.DUMMYFUNCTION("""COMPUTED_VALUE"""),"https://www.facebook.com/profile.php?id=100004913538639")</f>
        <v>https://www.facebook.com/profile.php?id=100004913538639</v>
      </c>
      <c r="B2228" s="1" t="str">
        <f>IFERROR(__xludf.DUMMYFUNCTION("""COMPUTED_VALUE"""),"Grace Gio Gayoso")</f>
        <v>Grace Gio Gayoso</v>
      </c>
      <c r="C2228" s="1" t="str">
        <f>IFERROR(__xludf.DUMMYFUNCTION("""COMPUTED_VALUE"""),"Grace")</f>
        <v>Grace</v>
      </c>
      <c r="D2228" s="1" t="str">
        <f>IFERROR(__xludf.DUMMYFUNCTION("""COMPUTED_VALUE"""),"Gio Gayoso")</f>
        <v>Gio Gayoso</v>
      </c>
      <c r="E2228" s="1" t="str">
        <f>IFERROR(__xludf.DUMMYFUNCTION("""COMPUTED_VALUE"""),"KULAY ROSAS ANG POSAS")</f>
        <v>KULAY ROSAS ANG POSAS</v>
      </c>
      <c r="F2228" s="1"/>
      <c r="G2228" s="1" t="str">
        <f>IFERROR(__xludf.DUMMYFUNCTION("""COMPUTED_VALUE"""),"3 mos")</f>
        <v>3 mos</v>
      </c>
      <c r="H2228" s="1" t="str">
        <f>IFERROR(__xludf.DUMMYFUNCTION("""COMPUTED_VALUE"""),"comment")</f>
        <v>comment</v>
      </c>
      <c r="I2228" s="2" t="str">
        <f>IFERROR(__xludf.DUMMYFUNCTION("""COMPUTED_VALUE"""),"https://www.facebook.com/rapplerdotcom/photos/a.317154781638645/5594954703858600/")</f>
        <v>https://www.facebook.com/rapplerdotcom/photos/a.317154781638645/5594954703858600/</v>
      </c>
      <c r="J2228" s="1" t="str">
        <f>IFERROR(__xludf.DUMMYFUNCTION("""COMPUTED_VALUE"""),"2022-07-04T15:48:35.885Z")</f>
        <v>2022-07-04T15:48:35.885Z</v>
      </c>
      <c r="K2228" s="1"/>
    </row>
    <row r="2229">
      <c r="A2229" s="2" t="str">
        <f>IFERROR(__xludf.DUMMYFUNCTION("""COMPUTED_VALUE"""),"https://www.facebook.com/profile.php?id=100070347279389")</f>
        <v>https://www.facebook.com/profile.php?id=100070347279389</v>
      </c>
      <c r="B2229" s="1" t="str">
        <f>IFERROR(__xludf.DUMMYFUNCTION("""COMPUTED_VALUE"""),"Emie Parungao")</f>
        <v>Emie Parungao</v>
      </c>
      <c r="C2229" s="1" t="str">
        <f>IFERROR(__xludf.DUMMYFUNCTION("""COMPUTED_VALUE"""),"Emie")</f>
        <v>Emie</v>
      </c>
      <c r="D2229" s="1" t="str">
        <f>IFERROR(__xludf.DUMMYFUNCTION("""COMPUTED_VALUE"""),"Parungao")</f>
        <v>Parungao</v>
      </c>
      <c r="E2229" s="1" t="str">
        <f>IFERROR(__xludf.DUMMYFUNCTION("""COMPUTED_VALUE"""),"Please follow on Instagram Twitter Facebook kumu Paolo Alcantara 🙏🙏🙏")</f>
        <v>Please follow on Instagram Twitter Facebook kumu Paolo Alcantara 🙏🙏🙏</v>
      </c>
      <c r="F2229" s="1"/>
      <c r="G2229" s="1" t="str">
        <f>IFERROR(__xludf.DUMMYFUNCTION("""COMPUTED_VALUE"""),"3 mos")</f>
        <v>3 mos</v>
      </c>
      <c r="H2229" s="1" t="str">
        <f>IFERROR(__xludf.DUMMYFUNCTION("""COMPUTED_VALUE"""),"comment")</f>
        <v>comment</v>
      </c>
      <c r="I2229" s="2" t="str">
        <f>IFERROR(__xludf.DUMMYFUNCTION("""COMPUTED_VALUE"""),"https://www.facebook.com/rapplerdotcom/photos/a.317154781638645/5594954703858600/")</f>
        <v>https://www.facebook.com/rapplerdotcom/photos/a.317154781638645/5594954703858600/</v>
      </c>
      <c r="J2229" s="1" t="str">
        <f>IFERROR(__xludf.DUMMYFUNCTION("""COMPUTED_VALUE"""),"2022-07-04T15:48:35.885Z")</f>
        <v>2022-07-04T15:48:35.885Z</v>
      </c>
      <c r="K2229" s="1"/>
    </row>
    <row r="2230">
      <c r="A2230" s="2" t="str">
        <f>IFERROR(__xludf.DUMMYFUNCTION("""COMPUTED_VALUE"""),"https://www.facebook.com/ricoisaac.acido")</f>
        <v>https://www.facebook.com/ricoisaac.acido</v>
      </c>
      <c r="B2230" s="1" t="str">
        <f>IFERROR(__xludf.DUMMYFUNCTION("""COMPUTED_VALUE"""),"Rico Isaac Acido")</f>
        <v>Rico Isaac Acido</v>
      </c>
      <c r="C2230" s="1" t="str">
        <f>IFERROR(__xludf.DUMMYFUNCTION("""COMPUTED_VALUE"""),"Rico")</f>
        <v>Rico</v>
      </c>
      <c r="D2230" s="1" t="str">
        <f>IFERROR(__xludf.DUMMYFUNCTION("""COMPUTED_VALUE"""),"Isaac Acido")</f>
        <v>Isaac Acido</v>
      </c>
      <c r="E2230" s="1" t="str">
        <f>IFERROR(__xludf.DUMMYFUNCTION("""COMPUTED_VALUE"""),"Gusto ko makita ulit nagttraffic sya at nagpapasan ng 1 sako ng sibuyas.😅🤣😂")</f>
        <v>Gusto ko makita ulit nagttraffic sya at nagpapasan ng 1 sako ng sibuyas.😅🤣😂</v>
      </c>
      <c r="F2230" s="1">
        <f>IFERROR(__xludf.DUMMYFUNCTION("""COMPUTED_VALUE"""),5.0)</f>
        <v>5</v>
      </c>
      <c r="G2230" s="1" t="str">
        <f>IFERROR(__xludf.DUMMYFUNCTION("""COMPUTED_VALUE"""),"3 mos")</f>
        <v>3 mos</v>
      </c>
      <c r="H2230" s="1" t="str">
        <f>IFERROR(__xludf.DUMMYFUNCTION("""COMPUTED_VALUE"""),"comment")</f>
        <v>comment</v>
      </c>
      <c r="I2230" s="2" t="str">
        <f>IFERROR(__xludf.DUMMYFUNCTION("""COMPUTED_VALUE"""),"https://www.facebook.com/rapplerdotcom/photos/a.317154781638645/5594954703858600/")</f>
        <v>https://www.facebook.com/rapplerdotcom/photos/a.317154781638645/5594954703858600/</v>
      </c>
      <c r="J2230" s="1" t="str">
        <f>IFERROR(__xludf.DUMMYFUNCTION("""COMPUTED_VALUE"""),"2022-07-04T15:48:35.885Z")</f>
        <v>2022-07-04T15:48:35.885Z</v>
      </c>
      <c r="K2230" s="1"/>
    </row>
    <row r="2231">
      <c r="A2231" s="2" t="str">
        <f>IFERROR(__xludf.DUMMYFUNCTION("""COMPUTED_VALUE"""),"https://www.facebook.com/Overhauled12")</f>
        <v>https://www.facebook.com/Overhauled12</v>
      </c>
      <c r="B2231" s="1" t="str">
        <f>IFERROR(__xludf.DUMMYFUNCTION("""COMPUTED_VALUE"""),"Em Cee")</f>
        <v>Em Cee</v>
      </c>
      <c r="C2231" s="1" t="str">
        <f>IFERROR(__xludf.DUMMYFUNCTION("""COMPUTED_VALUE"""),"Em")</f>
        <v>Em</v>
      </c>
      <c r="D2231" s="1" t="str">
        <f>IFERROR(__xludf.DUMMYFUNCTION("""COMPUTED_VALUE"""),"Cee")</f>
        <v>Cee</v>
      </c>
      <c r="E2231" s="1" t="str">
        <f>IFERROR(__xludf.DUMMYFUNCTION("""COMPUTED_VALUE"""),"Rico Isaac Acido legendary😆😆")</f>
        <v>Rico Isaac Acido legendary😆😆</v>
      </c>
      <c r="F2231" s="1"/>
      <c r="G2231" s="1" t="str">
        <f>IFERROR(__xludf.DUMMYFUNCTION("""COMPUTED_VALUE"""),"3 mos")</f>
        <v>3 mos</v>
      </c>
      <c r="H2231" s="1" t="str">
        <f>IFERROR(__xludf.DUMMYFUNCTION("""COMPUTED_VALUE"""),"reply")</f>
        <v>reply</v>
      </c>
      <c r="I2231" s="2" t="str">
        <f>IFERROR(__xludf.DUMMYFUNCTION("""COMPUTED_VALUE"""),"https://www.facebook.com/rapplerdotcom/photos/a.317154781638645/5594954703858600/")</f>
        <v>https://www.facebook.com/rapplerdotcom/photos/a.317154781638645/5594954703858600/</v>
      </c>
      <c r="J2231" s="1" t="str">
        <f>IFERROR(__xludf.DUMMYFUNCTION("""COMPUTED_VALUE"""),"2022-07-04T15:48:35.885Z")</f>
        <v>2022-07-04T15:48:35.885Z</v>
      </c>
      <c r="K2231" s="1"/>
    </row>
    <row r="2232">
      <c r="A2232" s="2" t="str">
        <f>IFERROR(__xludf.DUMMYFUNCTION("""COMPUTED_VALUE"""),"https://www.facebook.com/gina.besinga")</f>
        <v>https://www.facebook.com/gina.besinga</v>
      </c>
      <c r="B2232" s="1" t="str">
        <f>IFERROR(__xludf.DUMMYFUNCTION("""COMPUTED_VALUE"""),"Gina Besinga")</f>
        <v>Gina Besinga</v>
      </c>
      <c r="C2232" s="1" t="str">
        <f>IFERROR(__xludf.DUMMYFUNCTION("""COMPUTED_VALUE"""),"Gina")</f>
        <v>Gina</v>
      </c>
      <c r="D2232" s="1" t="str">
        <f>IFERROR(__xludf.DUMMYFUNCTION("""COMPUTED_VALUE"""),"Besinga")</f>
        <v>Besinga</v>
      </c>
      <c r="E2232" s="1" t="str">
        <f>IFERROR(__xludf.DUMMYFUNCTION("""COMPUTED_VALUE"""),"Rico Isaac Acido kahit Wala Yan sa pulitika sarap Buhay nyan baka ikaw Ang katawatawa!!!")</f>
        <v>Rico Isaac Acido kahit Wala Yan sa pulitika sarap Buhay nyan baka ikaw Ang katawatawa!!!</v>
      </c>
      <c r="F2232" s="1"/>
      <c r="G2232" s="1" t="str">
        <f>IFERROR(__xludf.DUMMYFUNCTION("""COMPUTED_VALUE"""),"3 mos")</f>
        <v>3 mos</v>
      </c>
      <c r="H2232" s="1" t="str">
        <f>IFERROR(__xludf.DUMMYFUNCTION("""COMPUTED_VALUE"""),"reply")</f>
        <v>reply</v>
      </c>
      <c r="I2232" s="2" t="str">
        <f>IFERROR(__xludf.DUMMYFUNCTION("""COMPUTED_VALUE"""),"https://www.facebook.com/rapplerdotcom/photos/a.317154781638645/5594954703858600/")</f>
        <v>https://www.facebook.com/rapplerdotcom/photos/a.317154781638645/5594954703858600/</v>
      </c>
      <c r="J2232" s="1" t="str">
        <f>IFERROR(__xludf.DUMMYFUNCTION("""COMPUTED_VALUE"""),"2022-07-04T15:48:35.885Z")</f>
        <v>2022-07-04T15:48:35.885Z</v>
      </c>
      <c r="K2232" s="1"/>
    </row>
    <row r="2233">
      <c r="A2233" s="2" t="str">
        <f>IFERROR(__xludf.DUMMYFUNCTION("""COMPUTED_VALUE"""),"https://www.facebook.com/amaya.sabado")</f>
        <v>https://www.facebook.com/amaya.sabado</v>
      </c>
      <c r="B2233" s="1" t="str">
        <f>IFERROR(__xludf.DUMMYFUNCTION("""COMPUTED_VALUE"""),"Gie Villacillo Buencamino")</f>
        <v>Gie Villacillo Buencamino</v>
      </c>
      <c r="C2233" s="1" t="str">
        <f>IFERROR(__xludf.DUMMYFUNCTION("""COMPUTED_VALUE"""),"Gie")</f>
        <v>Gie</v>
      </c>
      <c r="D2233" s="1" t="str">
        <f>IFERROR(__xludf.DUMMYFUNCTION("""COMPUTED_VALUE"""),"Villacillo Buencamino")</f>
        <v>Villacillo Buencamino</v>
      </c>
      <c r="E2233" s="1" t="str">
        <f>IFERROR(__xludf.DUMMYFUNCTION("""COMPUTED_VALUE"""),"Rico Isaac Acido magaan lng po yon sibuyas")</f>
        <v>Rico Isaac Acido magaan lng po yon sibuyas</v>
      </c>
      <c r="F2233" s="1"/>
      <c r="G2233" s="1" t="str">
        <f>IFERROR(__xludf.DUMMYFUNCTION("""COMPUTED_VALUE"""),"3 mos")</f>
        <v>3 mos</v>
      </c>
      <c r="H2233" s="1" t="str">
        <f>IFERROR(__xludf.DUMMYFUNCTION("""COMPUTED_VALUE"""),"reply")</f>
        <v>reply</v>
      </c>
      <c r="I2233" s="2" t="str">
        <f>IFERROR(__xludf.DUMMYFUNCTION("""COMPUTED_VALUE"""),"https://www.facebook.com/rapplerdotcom/photos/a.317154781638645/5594954703858600/")</f>
        <v>https://www.facebook.com/rapplerdotcom/photos/a.317154781638645/5594954703858600/</v>
      </c>
      <c r="J2233" s="1" t="str">
        <f>IFERROR(__xludf.DUMMYFUNCTION("""COMPUTED_VALUE"""),"2022-07-04T15:48:35.885Z")</f>
        <v>2022-07-04T15:48:35.885Z</v>
      </c>
      <c r="K2233" s="1"/>
    </row>
    <row r="2234">
      <c r="A2234" s="2" t="str">
        <f>IFERROR(__xludf.DUMMYFUNCTION("""COMPUTED_VALUE"""),"https://www.facebook.com/gov.landayto")</f>
        <v>https://www.facebook.com/gov.landayto</v>
      </c>
      <c r="B2234" s="1" t="str">
        <f>IFERROR(__xludf.DUMMYFUNCTION("""COMPUTED_VALUE"""),"Gov Landayto")</f>
        <v>Gov Landayto</v>
      </c>
      <c r="C2234" s="1" t="str">
        <f>IFERROR(__xludf.DUMMYFUNCTION("""COMPUTED_VALUE"""),"Gov")</f>
        <v>Gov</v>
      </c>
      <c r="D2234" s="1" t="str">
        <f>IFERROR(__xludf.DUMMYFUNCTION("""COMPUTED_VALUE"""),"Landayto")</f>
        <v>Landayto</v>
      </c>
      <c r="E2234" s="1" t="str">
        <f>IFERROR(__xludf.DUMMYFUNCTION("""COMPUTED_VALUE"""),"Rico Isaac Acido biglang lutang din c roxas, san cya gling kya?😂😂😂😂")</f>
        <v>Rico Isaac Acido biglang lutang din c roxas, san cya gling kya?😂😂😂😂</v>
      </c>
      <c r="F2234" s="1"/>
      <c r="G2234" s="1" t="str">
        <f>IFERROR(__xludf.DUMMYFUNCTION("""COMPUTED_VALUE"""),"3 mos")</f>
        <v>3 mos</v>
      </c>
      <c r="H2234" s="1" t="str">
        <f>IFERROR(__xludf.DUMMYFUNCTION("""COMPUTED_VALUE"""),"reply")</f>
        <v>reply</v>
      </c>
      <c r="I2234" s="2" t="str">
        <f>IFERROR(__xludf.DUMMYFUNCTION("""COMPUTED_VALUE"""),"https://www.facebook.com/rapplerdotcom/photos/a.317154781638645/5594954703858600/")</f>
        <v>https://www.facebook.com/rapplerdotcom/photos/a.317154781638645/5594954703858600/</v>
      </c>
      <c r="J2234" s="1" t="str">
        <f>IFERROR(__xludf.DUMMYFUNCTION("""COMPUTED_VALUE"""),"2022-07-04T15:48:35.885Z")</f>
        <v>2022-07-04T15:48:35.885Z</v>
      </c>
      <c r="K2234" s="1"/>
    </row>
    <row r="2235">
      <c r="A2235" s="2" t="str">
        <f>IFERROR(__xludf.DUMMYFUNCTION("""COMPUTED_VALUE"""),"https://www.facebook.com/raks.vppablo")</f>
        <v>https://www.facebook.com/raks.vppablo</v>
      </c>
      <c r="B2235" s="1" t="str">
        <f>IFERROR(__xludf.DUMMYFUNCTION("""COMPUTED_VALUE"""),"Raks VPpablo")</f>
        <v>Raks VPpablo</v>
      </c>
      <c r="C2235" s="1" t="str">
        <f>IFERROR(__xludf.DUMMYFUNCTION("""COMPUTED_VALUE"""),"Raks")</f>
        <v>Raks</v>
      </c>
      <c r="D2235" s="1" t="str">
        <f>IFERROR(__xludf.DUMMYFUNCTION("""COMPUTED_VALUE"""),"VPpablo")</f>
        <v>VPpablo</v>
      </c>
      <c r="E2235" s="1" t="str">
        <f>IFERROR(__xludf.DUMMYFUNCTION("""COMPUTED_VALUE"""),"Gov Landayto natural galing sa bahay nya na di galing sa nakaw..")</f>
        <v>Gov Landayto natural galing sa bahay nya na di galing sa nakaw..</v>
      </c>
      <c r="F2235" s="1"/>
      <c r="G2235" s="1" t="str">
        <f>IFERROR(__xludf.DUMMYFUNCTION("""COMPUTED_VALUE"""),"3 mos")</f>
        <v>3 mos</v>
      </c>
      <c r="H2235" s="1" t="str">
        <f>IFERROR(__xludf.DUMMYFUNCTION("""COMPUTED_VALUE"""),"reply")</f>
        <v>reply</v>
      </c>
      <c r="I2235" s="2" t="str">
        <f>IFERROR(__xludf.DUMMYFUNCTION("""COMPUTED_VALUE"""),"https://www.facebook.com/rapplerdotcom/photos/a.317154781638645/5594954703858600/")</f>
        <v>https://www.facebook.com/rapplerdotcom/photos/a.317154781638645/5594954703858600/</v>
      </c>
      <c r="J2235" s="1" t="str">
        <f>IFERROR(__xludf.DUMMYFUNCTION("""COMPUTED_VALUE"""),"2022-07-04T15:48:35.885Z")</f>
        <v>2022-07-04T15:48:35.885Z</v>
      </c>
      <c r="K2235" s="1"/>
    </row>
    <row r="2236">
      <c r="A2236" s="2" t="str">
        <f>IFERROR(__xludf.DUMMYFUNCTION("""COMPUTED_VALUE"""),"https://www.facebook.com/profile.php?id=100076601927157")</f>
        <v>https://www.facebook.com/profile.php?id=100076601927157</v>
      </c>
      <c r="B2236" s="1" t="str">
        <f>IFERROR(__xludf.DUMMYFUNCTION("""COMPUTED_VALUE"""),"Federico Alde")</f>
        <v>Federico Alde</v>
      </c>
      <c r="C2236" s="1" t="str">
        <f>IFERROR(__xludf.DUMMYFUNCTION("""COMPUTED_VALUE"""),"Federico")</f>
        <v>Federico</v>
      </c>
      <c r="D2236" s="1" t="str">
        <f>IFERROR(__xludf.DUMMYFUNCTION("""COMPUTED_VALUE"""),"Alde")</f>
        <v>Alde</v>
      </c>
      <c r="E2236" s="1" t="str">
        <f>IFERROR(__xludf.DUMMYFUNCTION("""COMPUTED_VALUE"""),"DAPAT lang .DAPAT TOTOO 💟💟💟💟💟")</f>
        <v>DAPAT lang .DAPAT TOTOO 💟💟💟💟💟</v>
      </c>
      <c r="F2236" s="1"/>
      <c r="G2236" s="1" t="str">
        <f>IFERROR(__xludf.DUMMYFUNCTION("""COMPUTED_VALUE"""),"3 mos")</f>
        <v>3 mos</v>
      </c>
      <c r="H2236" s="1" t="str">
        <f>IFERROR(__xludf.DUMMYFUNCTION("""COMPUTED_VALUE"""),"comment")</f>
        <v>comment</v>
      </c>
      <c r="I2236" s="2" t="str">
        <f>IFERROR(__xludf.DUMMYFUNCTION("""COMPUTED_VALUE"""),"https://www.facebook.com/rapplerdotcom/photos/a.317154781638645/5594954703858600/")</f>
        <v>https://www.facebook.com/rapplerdotcom/photos/a.317154781638645/5594954703858600/</v>
      </c>
      <c r="J2236" s="1" t="str">
        <f>IFERROR(__xludf.DUMMYFUNCTION("""COMPUTED_VALUE"""),"2022-07-04T15:48:35.885Z")</f>
        <v>2022-07-04T15:48:35.885Z</v>
      </c>
      <c r="K2236" s="1"/>
    </row>
    <row r="2237">
      <c r="A2237" s="2" t="str">
        <f>IFERROR(__xludf.DUMMYFUNCTION("""COMPUTED_VALUE"""),"https://www.facebook.com/profile.php?id=100003301642045")</f>
        <v>https://www.facebook.com/profile.php?id=100003301642045</v>
      </c>
      <c r="B2237" s="1" t="str">
        <f>IFERROR(__xludf.DUMMYFUNCTION("""COMPUTED_VALUE"""),"Chad Santos")</f>
        <v>Chad Santos</v>
      </c>
      <c r="C2237" s="1" t="str">
        <f>IFERROR(__xludf.DUMMYFUNCTION("""COMPUTED_VALUE"""),"Chad")</f>
        <v>Chad</v>
      </c>
      <c r="D2237" s="1" t="str">
        <f>IFERROR(__xludf.DUMMYFUNCTION("""COMPUTED_VALUE"""),"Santos")</f>
        <v>Santos</v>
      </c>
      <c r="E2237" s="1" t="str">
        <f>IFERROR(__xludf.DUMMYFUNCTION("""COMPUTED_VALUE"""),"Dumagdag pa tong isang to....")</f>
        <v>Dumagdag pa tong isang to....</v>
      </c>
      <c r="F2237" s="1">
        <f>IFERROR(__xludf.DUMMYFUNCTION("""COMPUTED_VALUE"""),5.0)</f>
        <v>5</v>
      </c>
      <c r="G2237" s="1" t="str">
        <f>IFERROR(__xludf.DUMMYFUNCTION("""COMPUTED_VALUE"""),"3 mos")</f>
        <v>3 mos</v>
      </c>
      <c r="H2237" s="1" t="str">
        <f>IFERROR(__xludf.DUMMYFUNCTION("""COMPUTED_VALUE"""),"comment")</f>
        <v>comment</v>
      </c>
      <c r="I2237" s="2" t="str">
        <f>IFERROR(__xludf.DUMMYFUNCTION("""COMPUTED_VALUE"""),"https://www.facebook.com/rapplerdotcom/photos/a.317154781638645/5594954703858600/")</f>
        <v>https://www.facebook.com/rapplerdotcom/photos/a.317154781638645/5594954703858600/</v>
      </c>
      <c r="J2237" s="1" t="str">
        <f>IFERROR(__xludf.DUMMYFUNCTION("""COMPUTED_VALUE"""),"2022-07-04T15:48:35.885Z")</f>
        <v>2022-07-04T15:48:35.885Z</v>
      </c>
      <c r="K2237" s="1"/>
    </row>
    <row r="2238">
      <c r="A2238" s="2" t="str">
        <f>IFERROR(__xludf.DUMMYFUNCTION("""COMPUTED_VALUE"""),"https://www.facebook.com/tony.delacruz.948011")</f>
        <v>https://www.facebook.com/tony.delacruz.948011</v>
      </c>
      <c r="B2238" s="1" t="str">
        <f>IFERROR(__xludf.DUMMYFUNCTION("""COMPUTED_VALUE"""),"Tony Dela Cruz")</f>
        <v>Tony Dela Cruz</v>
      </c>
      <c r="C2238" s="1" t="str">
        <f>IFERROR(__xludf.DUMMYFUNCTION("""COMPUTED_VALUE"""),"Tony")</f>
        <v>Tony</v>
      </c>
      <c r="D2238" s="1" t="str">
        <f>IFERROR(__xludf.DUMMYFUNCTION("""COMPUTED_VALUE"""),"Dela Cruz")</f>
        <v>Dela Cruz</v>
      </c>
      <c r="E2238" s="1" t="str">
        <f>IFERROR(__xludf.DUMMYFUNCTION("""COMPUTED_VALUE"""),"Roxas Roxas Roxas Roxas Roxas Roxas Roxas Roxas Roxas")</f>
        <v>Roxas Roxas Roxas Roxas Roxas Roxas Roxas Roxas Roxas</v>
      </c>
      <c r="F2238" s="1">
        <f>IFERROR(__xludf.DUMMYFUNCTION("""COMPUTED_VALUE"""),2.0)</f>
        <v>2</v>
      </c>
      <c r="G2238" s="1" t="str">
        <f>IFERROR(__xludf.DUMMYFUNCTION("""COMPUTED_VALUE"""),"3 mos")</f>
        <v>3 mos</v>
      </c>
      <c r="H2238" s="1" t="str">
        <f>IFERROR(__xludf.DUMMYFUNCTION("""COMPUTED_VALUE"""),"comment")</f>
        <v>comment</v>
      </c>
      <c r="I2238" s="2" t="str">
        <f>IFERROR(__xludf.DUMMYFUNCTION("""COMPUTED_VALUE"""),"https://www.facebook.com/rapplerdotcom/photos/a.317154781638645/5594954703858600/")</f>
        <v>https://www.facebook.com/rapplerdotcom/photos/a.317154781638645/5594954703858600/</v>
      </c>
      <c r="J2238" s="1" t="str">
        <f>IFERROR(__xludf.DUMMYFUNCTION("""COMPUTED_VALUE"""),"2022-07-04T15:48:35.885Z")</f>
        <v>2022-07-04T15:48:35.885Z</v>
      </c>
      <c r="K2238" s="1"/>
    </row>
    <row r="2239">
      <c r="A2239" s="2" t="str">
        <f>IFERROR(__xludf.DUMMYFUNCTION("""COMPUTED_VALUE"""),"https://www.facebook.com/marvin.andasan.5")</f>
        <v>https://www.facebook.com/marvin.andasan.5</v>
      </c>
      <c r="B2239" s="1" t="str">
        <f>IFERROR(__xludf.DUMMYFUNCTION("""COMPUTED_VALUE"""),"Vinram Andasan")</f>
        <v>Vinram Andasan</v>
      </c>
      <c r="C2239" s="1" t="str">
        <f>IFERROR(__xludf.DUMMYFUNCTION("""COMPUTED_VALUE"""),"Vinram")</f>
        <v>Vinram</v>
      </c>
      <c r="D2239" s="1" t="str">
        <f>IFERROR(__xludf.DUMMYFUNCTION("""COMPUTED_VALUE"""),"Andasan")</f>
        <v>Andasan</v>
      </c>
      <c r="E2239" s="1" t="str">
        <f>IFERROR(__xludf.DUMMYFUNCTION("""COMPUTED_VALUE"""),"Anak itabi mo ako na")</f>
        <v>Anak itabi mo ako na</v>
      </c>
      <c r="F2239" s="1"/>
      <c r="G2239" s="1" t="str">
        <f>IFERROR(__xludf.DUMMYFUNCTION("""COMPUTED_VALUE"""),"3 mos")</f>
        <v>3 mos</v>
      </c>
      <c r="H2239" s="1" t="str">
        <f>IFERROR(__xludf.DUMMYFUNCTION("""COMPUTED_VALUE"""),"comment")</f>
        <v>comment</v>
      </c>
      <c r="I2239" s="2" t="str">
        <f>IFERROR(__xludf.DUMMYFUNCTION("""COMPUTED_VALUE"""),"https://www.facebook.com/rapplerdotcom/photos/a.317154781638645/5594954703858600/")</f>
        <v>https://www.facebook.com/rapplerdotcom/photos/a.317154781638645/5594954703858600/</v>
      </c>
      <c r="J2239" s="1" t="str">
        <f>IFERROR(__xludf.DUMMYFUNCTION("""COMPUTED_VALUE"""),"2022-07-04T15:48:35.885Z")</f>
        <v>2022-07-04T15:48:35.885Z</v>
      </c>
      <c r="K2239" s="1"/>
    </row>
    <row r="2240">
      <c r="A2240" s="2" t="str">
        <f>IFERROR(__xludf.DUMMYFUNCTION("""COMPUTED_VALUE"""),"https://www.facebook.com/milajf")</f>
        <v>https://www.facebook.com/milajf</v>
      </c>
      <c r="B2240" s="1" t="str">
        <f>IFERROR(__xludf.DUMMYFUNCTION("""COMPUTED_VALUE"""),"Mila Jardinel")</f>
        <v>Mila Jardinel</v>
      </c>
      <c r="C2240" s="1" t="str">
        <f>IFERROR(__xludf.DUMMYFUNCTION("""COMPUTED_VALUE"""),"Mila")</f>
        <v>Mila</v>
      </c>
      <c r="D2240" s="1" t="str">
        <f>IFERROR(__xludf.DUMMYFUNCTION("""COMPUTED_VALUE"""),"Jardinel")</f>
        <v>Jardinel</v>
      </c>
      <c r="E2240" s="1" t="str">
        <f>IFERROR(__xludf.DUMMYFUNCTION("""COMPUTED_VALUE"""),"Cris A. at Roxas  lumabas. Pampatalo")</f>
        <v>Cris A. at Roxas  lumabas. Pampatalo</v>
      </c>
      <c r="F2240" s="1"/>
      <c r="G2240" s="1" t="str">
        <f>IFERROR(__xludf.DUMMYFUNCTION("""COMPUTED_VALUE"""),"3 mos")</f>
        <v>3 mos</v>
      </c>
      <c r="H2240" s="1" t="str">
        <f>IFERROR(__xludf.DUMMYFUNCTION("""COMPUTED_VALUE"""),"comment")</f>
        <v>comment</v>
      </c>
      <c r="I2240" s="2" t="str">
        <f>IFERROR(__xludf.DUMMYFUNCTION("""COMPUTED_VALUE"""),"https://www.facebook.com/rapplerdotcom/photos/a.317154781638645/5594954703858600/")</f>
        <v>https://www.facebook.com/rapplerdotcom/photos/a.317154781638645/5594954703858600/</v>
      </c>
      <c r="J2240" s="1" t="str">
        <f>IFERROR(__xludf.DUMMYFUNCTION("""COMPUTED_VALUE"""),"2022-07-04T15:48:35.885Z")</f>
        <v>2022-07-04T15:48:35.885Z</v>
      </c>
      <c r="K2240" s="1"/>
    </row>
    <row r="2241">
      <c r="A2241" s="2" t="str">
        <f>IFERROR(__xludf.DUMMYFUNCTION("""COMPUTED_VALUE"""),"https://www.facebook.com/mariateresa.camaddo")</f>
        <v>https://www.facebook.com/mariateresa.camaddo</v>
      </c>
      <c r="B2241" s="1" t="str">
        <f>IFERROR(__xludf.DUMMYFUNCTION("""COMPUTED_VALUE"""),"Matet Camaddo")</f>
        <v>Matet Camaddo</v>
      </c>
      <c r="C2241" s="1" t="str">
        <f>IFERROR(__xludf.DUMMYFUNCTION("""COMPUTED_VALUE"""),"Matet")</f>
        <v>Matet</v>
      </c>
      <c r="D2241" s="1" t="str">
        <f>IFERROR(__xludf.DUMMYFUNCTION("""COMPUTED_VALUE"""),"Camaddo")</f>
        <v>Camaddo</v>
      </c>
      <c r="E2241" s="1" t="str">
        <f>IFERROR(__xludf.DUMMYFUNCTION("""COMPUTED_VALUE"""),"hala dapat hindi kana lumabas bka lalong matalo ang manok mo.")</f>
        <v>hala dapat hindi kana lumabas bka lalong matalo ang manok mo.</v>
      </c>
      <c r="F2241" s="1">
        <f>IFERROR(__xludf.DUMMYFUNCTION("""COMPUTED_VALUE"""),2.0)</f>
        <v>2</v>
      </c>
      <c r="G2241" s="1" t="str">
        <f>IFERROR(__xludf.DUMMYFUNCTION("""COMPUTED_VALUE"""),"3 mos")</f>
        <v>3 mos</v>
      </c>
      <c r="H2241" s="1" t="str">
        <f>IFERROR(__xludf.DUMMYFUNCTION("""COMPUTED_VALUE"""),"comment")</f>
        <v>comment</v>
      </c>
      <c r="I2241" s="2" t="str">
        <f>IFERROR(__xludf.DUMMYFUNCTION("""COMPUTED_VALUE"""),"https://www.facebook.com/rapplerdotcom/photos/a.317154781638645/5594954703858600/")</f>
        <v>https://www.facebook.com/rapplerdotcom/photos/a.317154781638645/5594954703858600/</v>
      </c>
      <c r="J2241" s="1" t="str">
        <f>IFERROR(__xludf.DUMMYFUNCTION("""COMPUTED_VALUE"""),"2022-07-04T15:48:35.885Z")</f>
        <v>2022-07-04T15:48:35.885Z</v>
      </c>
      <c r="K2241" s="1"/>
    </row>
    <row r="2242">
      <c r="A2242" s="2" t="str">
        <f>IFERROR(__xludf.DUMMYFUNCTION("""COMPUTED_VALUE"""),"https://www.facebook.com/genevieve.uy.9")</f>
        <v>https://www.facebook.com/genevieve.uy.9</v>
      </c>
      <c r="B2242" s="1" t="str">
        <f>IFERROR(__xludf.DUMMYFUNCTION("""COMPUTED_VALUE"""),"Genevieve Uy")</f>
        <v>Genevieve Uy</v>
      </c>
      <c r="C2242" s="1" t="str">
        <f>IFERROR(__xludf.DUMMYFUNCTION("""COMPUTED_VALUE"""),"Genevieve")</f>
        <v>Genevieve</v>
      </c>
      <c r="D2242" s="1" t="str">
        <f>IFERROR(__xludf.DUMMYFUNCTION("""COMPUTED_VALUE"""),"Uy")</f>
        <v>Uy</v>
      </c>
      <c r="E2242" s="1" t="str">
        <f>IFERROR(__xludf.DUMMYFUNCTION("""COMPUTED_VALUE"""),"Kung sayo rin lang galing, hindi na uy 😂")</f>
        <v>Kung sayo rin lang galing, hindi na uy 😂</v>
      </c>
      <c r="F2242" s="1"/>
      <c r="G2242" s="1" t="str">
        <f>IFERROR(__xludf.DUMMYFUNCTION("""COMPUTED_VALUE"""),"3 mos")</f>
        <v>3 mos</v>
      </c>
      <c r="H2242" s="1" t="str">
        <f>IFERROR(__xludf.DUMMYFUNCTION("""COMPUTED_VALUE"""),"comment")</f>
        <v>comment</v>
      </c>
      <c r="I2242" s="2" t="str">
        <f>IFERROR(__xludf.DUMMYFUNCTION("""COMPUTED_VALUE"""),"https://www.facebook.com/rapplerdotcom/photos/a.317154781638645/5594954703858600/")</f>
        <v>https://www.facebook.com/rapplerdotcom/photos/a.317154781638645/5594954703858600/</v>
      </c>
      <c r="J2242" s="1" t="str">
        <f>IFERROR(__xludf.DUMMYFUNCTION("""COMPUTED_VALUE"""),"2022-07-04T15:48:35.886Z")</f>
        <v>2022-07-04T15:48:35.886Z</v>
      </c>
      <c r="K2242" s="1"/>
    </row>
    <row r="2243">
      <c r="A2243" s="2" t="str">
        <f>IFERROR(__xludf.DUMMYFUNCTION("""COMPUTED_VALUE"""),"https://www.facebook.com/profile.php?id=100069483934379")</f>
        <v>https://www.facebook.com/profile.php?id=100069483934379</v>
      </c>
      <c r="B2243" s="1" t="str">
        <f>IFERROR(__xludf.DUMMYFUNCTION("""COMPUTED_VALUE"""),"Roberto Mallari")</f>
        <v>Roberto Mallari</v>
      </c>
      <c r="C2243" s="1" t="str">
        <f>IFERROR(__xludf.DUMMYFUNCTION("""COMPUTED_VALUE"""),"Roberto")</f>
        <v>Roberto</v>
      </c>
      <c r="D2243" s="1" t="str">
        <f>IFERROR(__xludf.DUMMYFUNCTION("""COMPUTED_VALUE"""),"Mallari")</f>
        <v>Mallari</v>
      </c>
      <c r="E2243" s="1" t="str">
        <f>IFERROR(__xludf.DUMMYFUNCTION("""COMPUTED_VALUE"""),"Kailangan Ng mmda.sir apply ka")</f>
        <v>Kailangan Ng mmda.sir apply ka</v>
      </c>
      <c r="F2243" s="1"/>
      <c r="G2243" s="1" t="str">
        <f>IFERROR(__xludf.DUMMYFUNCTION("""COMPUTED_VALUE"""),"3 mos")</f>
        <v>3 mos</v>
      </c>
      <c r="H2243" s="1" t="str">
        <f>IFERROR(__xludf.DUMMYFUNCTION("""COMPUTED_VALUE"""),"comment")</f>
        <v>comment</v>
      </c>
      <c r="I2243" s="2" t="str">
        <f>IFERROR(__xludf.DUMMYFUNCTION("""COMPUTED_VALUE"""),"https://www.facebook.com/rapplerdotcom/photos/a.317154781638645/5594954703858600/")</f>
        <v>https://www.facebook.com/rapplerdotcom/photos/a.317154781638645/5594954703858600/</v>
      </c>
      <c r="J2243" s="1" t="str">
        <f>IFERROR(__xludf.DUMMYFUNCTION("""COMPUTED_VALUE"""),"2022-07-04T15:48:35.886Z")</f>
        <v>2022-07-04T15:48:35.886Z</v>
      </c>
      <c r="K2243" s="1"/>
    </row>
    <row r="2244">
      <c r="A2244" s="2" t="str">
        <f>IFERROR(__xludf.DUMMYFUNCTION("""COMPUTED_VALUE"""),"https://www.facebook.com/ditoy.macatangay")</f>
        <v>https://www.facebook.com/ditoy.macatangay</v>
      </c>
      <c r="B2244" s="1" t="str">
        <f>IFERROR(__xludf.DUMMYFUNCTION("""COMPUTED_VALUE"""),"Bernard Macatangay")</f>
        <v>Bernard Macatangay</v>
      </c>
      <c r="C2244" s="1" t="str">
        <f>IFERROR(__xludf.DUMMYFUNCTION("""COMPUTED_VALUE"""),"Bernard")</f>
        <v>Bernard</v>
      </c>
      <c r="D2244" s="1" t="str">
        <f>IFERROR(__xludf.DUMMYFUNCTION("""COMPUTED_VALUE"""),"Macatangay")</f>
        <v>Macatangay</v>
      </c>
      <c r="E2244" s="1" t="str">
        <f>IFERROR(__xludf.DUMMYFUNCTION("""COMPUTED_VALUE"""),"deretso plus na ulit yan hahaha")</f>
        <v>deretso plus na ulit yan hahaha</v>
      </c>
      <c r="F2244" s="1"/>
      <c r="G2244" s="1" t="str">
        <f>IFERROR(__xludf.DUMMYFUNCTION("""COMPUTED_VALUE"""),"3 mos")</f>
        <v>3 mos</v>
      </c>
      <c r="H2244" s="1" t="str">
        <f>IFERROR(__xludf.DUMMYFUNCTION("""COMPUTED_VALUE"""),"comment")</f>
        <v>comment</v>
      </c>
      <c r="I2244" s="2" t="str">
        <f>IFERROR(__xludf.DUMMYFUNCTION("""COMPUTED_VALUE"""),"https://www.facebook.com/rapplerdotcom/photos/a.317154781638645/5594954703858600/")</f>
        <v>https://www.facebook.com/rapplerdotcom/photos/a.317154781638645/5594954703858600/</v>
      </c>
      <c r="J2244" s="1" t="str">
        <f>IFERROR(__xludf.DUMMYFUNCTION("""COMPUTED_VALUE"""),"2022-07-04T15:48:35.886Z")</f>
        <v>2022-07-04T15:48:35.886Z</v>
      </c>
      <c r="K2244" s="1"/>
    </row>
    <row r="2245">
      <c r="A2245" s="2" t="str">
        <f>IFERROR(__xludf.DUMMYFUNCTION("""COMPUTED_VALUE"""),"https://www.facebook.com/may.atr.5623")</f>
        <v>https://www.facebook.com/may.atr.5623</v>
      </c>
      <c r="B2245" s="1" t="str">
        <f>IFERROR(__xludf.DUMMYFUNCTION("""COMPUTED_VALUE"""),"May Atr")</f>
        <v>May Atr</v>
      </c>
      <c r="C2245" s="1" t="str">
        <f>IFERROR(__xludf.DUMMYFUNCTION("""COMPUTED_VALUE"""),"May")</f>
        <v>May</v>
      </c>
      <c r="D2245" s="1" t="str">
        <f>IFERROR(__xludf.DUMMYFUNCTION("""COMPUTED_VALUE"""),"Atr")</f>
        <v>Atr</v>
      </c>
      <c r="E2245" s="1" t="str">
        <f>IFERROR(__xludf.DUMMYFUNCTION("""COMPUTED_VALUE"""),"yolanda funds po?")</f>
        <v>yolanda funds po?</v>
      </c>
      <c r="F2245" s="1"/>
      <c r="G2245" s="1" t="str">
        <f>IFERROR(__xludf.DUMMYFUNCTION("""COMPUTED_VALUE"""),"3 mos")</f>
        <v>3 mos</v>
      </c>
      <c r="H2245" s="1" t="str">
        <f>IFERROR(__xludf.DUMMYFUNCTION("""COMPUTED_VALUE"""),"comment")</f>
        <v>comment</v>
      </c>
      <c r="I2245" s="2" t="str">
        <f>IFERROR(__xludf.DUMMYFUNCTION("""COMPUTED_VALUE"""),"https://www.facebook.com/rapplerdotcom/photos/a.317154781638645/5594954703858600/")</f>
        <v>https://www.facebook.com/rapplerdotcom/photos/a.317154781638645/5594954703858600/</v>
      </c>
      <c r="J2245" s="1" t="str">
        <f>IFERROR(__xludf.DUMMYFUNCTION("""COMPUTED_VALUE"""),"2022-07-04T15:48:35.886Z")</f>
        <v>2022-07-04T15:48:35.886Z</v>
      </c>
      <c r="K2245" s="1"/>
    </row>
    <row r="2246">
      <c r="A2246" s="2" t="str">
        <f>IFERROR(__xludf.DUMMYFUNCTION("""COMPUTED_VALUE"""),"https://www.facebook.com/alfred.paradero.9")</f>
        <v>https://www.facebook.com/alfred.paradero.9</v>
      </c>
      <c r="B2246" s="1" t="str">
        <f>IFERROR(__xludf.DUMMYFUNCTION("""COMPUTED_VALUE"""),"Alfred Cañete Paradero")</f>
        <v>Alfred Cañete Paradero</v>
      </c>
      <c r="C2246" s="1" t="str">
        <f>IFERROR(__xludf.DUMMYFUNCTION("""COMPUTED_VALUE"""),"Alfred")</f>
        <v>Alfred</v>
      </c>
      <c r="D2246" s="1" t="str">
        <f>IFERROR(__xludf.DUMMYFUNCTION("""COMPUTED_VALUE"""),"Cañete Paradero")</f>
        <v>Cañete Paradero</v>
      </c>
      <c r="E2246" s="1" t="str">
        <f>IFERROR(__xludf.DUMMYFUNCTION("""COMPUTED_VALUE"""),"The same brain(kung meron man) and the same mindset talagang magkakaintindiha yan")</f>
        <v>The same brain(kung meron man) and the same mindset talagang magkakaintindiha yan</v>
      </c>
      <c r="F2246" s="1">
        <f>IFERROR(__xludf.DUMMYFUNCTION("""COMPUTED_VALUE"""),1.0)</f>
        <v>1</v>
      </c>
      <c r="G2246" s="1" t="str">
        <f>IFERROR(__xludf.DUMMYFUNCTION("""COMPUTED_VALUE"""),"3 mos")</f>
        <v>3 mos</v>
      </c>
      <c r="H2246" s="1" t="str">
        <f>IFERROR(__xludf.DUMMYFUNCTION("""COMPUTED_VALUE"""),"comment")</f>
        <v>comment</v>
      </c>
      <c r="I2246" s="2" t="str">
        <f>IFERROR(__xludf.DUMMYFUNCTION("""COMPUTED_VALUE"""),"https://www.facebook.com/rapplerdotcom/photos/a.317154781638645/5594954703858600/")</f>
        <v>https://www.facebook.com/rapplerdotcom/photos/a.317154781638645/5594954703858600/</v>
      </c>
      <c r="J2246" s="1" t="str">
        <f>IFERROR(__xludf.DUMMYFUNCTION("""COMPUTED_VALUE"""),"2022-07-04T15:48:35.886Z")</f>
        <v>2022-07-04T15:48:35.886Z</v>
      </c>
      <c r="K2246" s="1"/>
    </row>
    <row r="2247">
      <c r="A2247" s="2" t="str">
        <f>IFERROR(__xludf.DUMMYFUNCTION("""COMPUTED_VALUE"""),"https://www.facebook.com/pau.gaitan.33")</f>
        <v>https://www.facebook.com/pau.gaitan.33</v>
      </c>
      <c r="B2247" s="1" t="str">
        <f>IFERROR(__xludf.DUMMYFUNCTION("""COMPUTED_VALUE"""),"Pau Gaitan Varron")</f>
        <v>Pau Gaitan Varron</v>
      </c>
      <c r="C2247" s="1" t="str">
        <f>IFERROR(__xludf.DUMMYFUNCTION("""COMPUTED_VALUE"""),"Pau")</f>
        <v>Pau</v>
      </c>
      <c r="D2247" s="1" t="str">
        <f>IFERROR(__xludf.DUMMYFUNCTION("""COMPUTED_VALUE"""),"Gaitan Varron")</f>
        <v>Gaitan Varron</v>
      </c>
      <c r="E2247" s="1" t="str">
        <f>IFERROR(__xludf.DUMMYFUNCTION("""COMPUTED_VALUE"""),"Alfred Cañete Paradero Nahiya ang utak ng 2 economics grads sa utak nyo. 😅")</f>
        <v>Alfred Cañete Paradero Nahiya ang utak ng 2 economics grads sa utak nyo. 😅</v>
      </c>
      <c r="F2247" s="1">
        <f>IFERROR(__xludf.DUMMYFUNCTION("""COMPUTED_VALUE"""),5.0)</f>
        <v>5</v>
      </c>
      <c r="G2247" s="1" t="str">
        <f>IFERROR(__xludf.DUMMYFUNCTION("""COMPUTED_VALUE"""),"3 mos")</f>
        <v>3 mos</v>
      </c>
      <c r="H2247" s="1" t="str">
        <f>IFERROR(__xludf.DUMMYFUNCTION("""COMPUTED_VALUE"""),"reply")</f>
        <v>reply</v>
      </c>
      <c r="I2247" s="2" t="str">
        <f>IFERROR(__xludf.DUMMYFUNCTION("""COMPUTED_VALUE"""),"https://www.facebook.com/rapplerdotcom/photos/a.317154781638645/5594954703858600/")</f>
        <v>https://www.facebook.com/rapplerdotcom/photos/a.317154781638645/5594954703858600/</v>
      </c>
      <c r="J2247" s="1" t="str">
        <f>IFERROR(__xludf.DUMMYFUNCTION("""COMPUTED_VALUE"""),"2022-07-04T15:48:35.886Z")</f>
        <v>2022-07-04T15:48:35.886Z</v>
      </c>
      <c r="K2247" s="1"/>
    </row>
    <row r="2248">
      <c r="A2248" s="2" t="str">
        <f>IFERROR(__xludf.DUMMYFUNCTION("""COMPUTED_VALUE"""),"https://www.facebook.com/alfred.paradero.9")</f>
        <v>https://www.facebook.com/alfred.paradero.9</v>
      </c>
      <c r="B2248" s="1" t="str">
        <f>IFERROR(__xludf.DUMMYFUNCTION("""COMPUTED_VALUE"""),"Alfred Cañete Paradero")</f>
        <v>Alfred Cañete Paradero</v>
      </c>
      <c r="C2248" s="1" t="str">
        <f>IFERROR(__xludf.DUMMYFUNCTION("""COMPUTED_VALUE"""),"Alfred")</f>
        <v>Alfred</v>
      </c>
      <c r="D2248" s="1" t="str">
        <f>IFERROR(__xludf.DUMMYFUNCTION("""COMPUTED_VALUE"""),"Cañete Paradero")</f>
        <v>Cañete Paradero</v>
      </c>
      <c r="E2248" s="1" t="str">
        <f>IFERROR(__xludf.DUMMYFUNCTION("""COMPUTED_VALUE"""),"Pau Gaitan Varron ha?")</f>
        <v>Pau Gaitan Varron ha?</v>
      </c>
      <c r="F2248" s="1"/>
      <c r="G2248" s="1" t="str">
        <f>IFERROR(__xludf.DUMMYFUNCTION("""COMPUTED_VALUE"""),"3 mos")</f>
        <v>3 mos</v>
      </c>
      <c r="H2248" s="1" t="str">
        <f>IFERROR(__xludf.DUMMYFUNCTION("""COMPUTED_VALUE"""),"reply")</f>
        <v>reply</v>
      </c>
      <c r="I2248" s="2" t="str">
        <f>IFERROR(__xludf.DUMMYFUNCTION("""COMPUTED_VALUE"""),"https://www.facebook.com/rapplerdotcom/photos/a.317154781638645/5594954703858600/")</f>
        <v>https://www.facebook.com/rapplerdotcom/photos/a.317154781638645/5594954703858600/</v>
      </c>
      <c r="J2248" s="1" t="str">
        <f>IFERROR(__xludf.DUMMYFUNCTION("""COMPUTED_VALUE"""),"2022-07-04T15:48:35.886Z")</f>
        <v>2022-07-04T15:48:35.886Z</v>
      </c>
      <c r="K2248" s="1"/>
    </row>
    <row r="2249">
      <c r="A2249" s="2" t="str">
        <f>IFERROR(__xludf.DUMMYFUNCTION("""COMPUTED_VALUE"""),"https://www.facebook.com/tata.abet.3")</f>
        <v>https://www.facebook.com/tata.abet.3</v>
      </c>
      <c r="B2249" s="1" t="str">
        <f>IFERROR(__xludf.DUMMYFUNCTION("""COMPUTED_VALUE"""),"Tata Abet")</f>
        <v>Tata Abet</v>
      </c>
      <c r="C2249" s="1" t="str">
        <f>IFERROR(__xludf.DUMMYFUNCTION("""COMPUTED_VALUE"""),"Tata")</f>
        <v>Tata</v>
      </c>
      <c r="D2249" s="1" t="str">
        <f>IFERROR(__xludf.DUMMYFUNCTION("""COMPUTED_VALUE"""),"Abet")</f>
        <v>Abet</v>
      </c>
      <c r="E2249" s="1" t="str">
        <f>IFERROR(__xludf.DUMMYFUNCTION("""COMPUTED_VALUE"""),"Malaking tulong isa kapa sa pag lagapak sa talo mga dilawang wala nagawang butiii")</f>
        <v>Malaking tulong isa kapa sa pag lagapak sa talo mga dilawang wala nagawang butiii</v>
      </c>
      <c r="F2249" s="1"/>
      <c r="G2249" s="1" t="str">
        <f>IFERROR(__xludf.DUMMYFUNCTION("""COMPUTED_VALUE"""),"3 mos")</f>
        <v>3 mos</v>
      </c>
      <c r="H2249" s="1" t="str">
        <f>IFERROR(__xludf.DUMMYFUNCTION("""COMPUTED_VALUE"""),"comment")</f>
        <v>comment</v>
      </c>
      <c r="I2249" s="2" t="str">
        <f>IFERROR(__xludf.DUMMYFUNCTION("""COMPUTED_VALUE"""),"https://www.facebook.com/rapplerdotcom/photos/a.317154781638645/5594954703858600/")</f>
        <v>https://www.facebook.com/rapplerdotcom/photos/a.317154781638645/5594954703858600/</v>
      </c>
      <c r="J2249" s="1" t="str">
        <f>IFERROR(__xludf.DUMMYFUNCTION("""COMPUTED_VALUE"""),"2022-07-04T15:48:35.886Z")</f>
        <v>2022-07-04T15:48:35.886Z</v>
      </c>
      <c r="K2249" s="1"/>
    </row>
    <row r="2250">
      <c r="A2250" s="2" t="str">
        <f>IFERROR(__xludf.DUMMYFUNCTION("""COMPUTED_VALUE"""),"https://www.facebook.com/profile.php?id=100013497646924")</f>
        <v>https://www.facebook.com/profile.php?id=100013497646924</v>
      </c>
      <c r="B2250" s="1" t="str">
        <f>IFERROR(__xludf.DUMMYFUNCTION("""COMPUTED_VALUE"""),"John Canalan")</f>
        <v>John Canalan</v>
      </c>
      <c r="C2250" s="1" t="str">
        <f>IFERROR(__xludf.DUMMYFUNCTION("""COMPUTED_VALUE"""),"John")</f>
        <v>John</v>
      </c>
      <c r="D2250" s="1" t="str">
        <f>IFERROR(__xludf.DUMMYFUNCTION("""COMPUTED_VALUE"""),"Canalan")</f>
        <v>Canalan</v>
      </c>
      <c r="E2250" s="1" t="str">
        <f>IFERROR(__xludf.DUMMYFUNCTION("""COMPUTED_VALUE"""),"wala na daw kasi siyang pag-asang manalo 😅")</f>
        <v>wala na daw kasi siyang pag-asang manalo 😅</v>
      </c>
      <c r="F2250" s="1"/>
      <c r="G2250" s="1" t="str">
        <f>IFERROR(__xludf.DUMMYFUNCTION("""COMPUTED_VALUE"""),"3 mos")</f>
        <v>3 mos</v>
      </c>
      <c r="H2250" s="1" t="str">
        <f>IFERROR(__xludf.DUMMYFUNCTION("""COMPUTED_VALUE"""),"comment")</f>
        <v>comment</v>
      </c>
      <c r="I2250" s="2" t="str">
        <f>IFERROR(__xludf.DUMMYFUNCTION("""COMPUTED_VALUE"""),"https://www.facebook.com/rapplerdotcom/photos/a.317154781638645/5594954703858600/")</f>
        <v>https://www.facebook.com/rapplerdotcom/photos/a.317154781638645/5594954703858600/</v>
      </c>
      <c r="J2250" s="1" t="str">
        <f>IFERROR(__xludf.DUMMYFUNCTION("""COMPUTED_VALUE"""),"2022-07-04T15:48:35.886Z")</f>
        <v>2022-07-04T15:48:35.886Z</v>
      </c>
      <c r="K2250" s="1"/>
    </row>
    <row r="2251">
      <c r="A2251" s="2" t="str">
        <f>IFERROR(__xludf.DUMMYFUNCTION("""COMPUTED_VALUE"""),"https://www.facebook.com/jetskipogi019")</f>
        <v>https://www.facebook.com/jetskipogi019</v>
      </c>
      <c r="B2251" s="1" t="str">
        <f>IFERROR(__xludf.DUMMYFUNCTION("""COMPUTED_VALUE"""),"Jetro P. Labrador")</f>
        <v>Jetro P. Labrador</v>
      </c>
      <c r="C2251" s="1" t="str">
        <f>IFERROR(__xludf.DUMMYFUNCTION("""COMPUTED_VALUE"""),"Jetro")</f>
        <v>Jetro</v>
      </c>
      <c r="D2251" s="1" t="str">
        <f>IFERROR(__xludf.DUMMYFUNCTION("""COMPUTED_VALUE"""),"P. Labrador")</f>
        <v>P. Labrador</v>
      </c>
      <c r="E2251" s="1" t="str">
        <f>IFERROR(__xludf.DUMMYFUNCTION("""COMPUTED_VALUE"""),"Pre Rome Salar  yung idol mo nagpakita ule 😂")</f>
        <v>Pre Rome Salar  yung idol mo nagpakita ule 😂</v>
      </c>
      <c r="F2251" s="1"/>
      <c r="G2251" s="1" t="str">
        <f>IFERROR(__xludf.DUMMYFUNCTION("""COMPUTED_VALUE"""),"3 mos")</f>
        <v>3 mos</v>
      </c>
      <c r="H2251" s="1" t="str">
        <f>IFERROR(__xludf.DUMMYFUNCTION("""COMPUTED_VALUE"""),"comment")</f>
        <v>comment</v>
      </c>
      <c r="I2251" s="2" t="str">
        <f>IFERROR(__xludf.DUMMYFUNCTION("""COMPUTED_VALUE"""),"https://www.facebook.com/rapplerdotcom/photos/a.317154781638645/5594954703858600/")</f>
        <v>https://www.facebook.com/rapplerdotcom/photos/a.317154781638645/5594954703858600/</v>
      </c>
      <c r="J2251" s="1" t="str">
        <f>IFERROR(__xludf.DUMMYFUNCTION("""COMPUTED_VALUE"""),"2022-07-04T15:48:35.886Z")</f>
        <v>2022-07-04T15:48:35.886Z</v>
      </c>
      <c r="K2251" s="1"/>
    </row>
    <row r="2252">
      <c r="A2252" s="2" t="str">
        <f>IFERROR(__xludf.DUMMYFUNCTION("""COMPUTED_VALUE"""),"https://www.facebook.com/profile.php?id=100074949353472")</f>
        <v>https://www.facebook.com/profile.php?id=100074949353472</v>
      </c>
      <c r="B2252" s="1" t="str">
        <f>IFERROR(__xludf.DUMMYFUNCTION("""COMPUTED_VALUE"""),"Kram Ynothna")</f>
        <v>Kram Ynothna</v>
      </c>
      <c r="C2252" s="1" t="str">
        <f>IFERROR(__xludf.DUMMYFUNCTION("""COMPUTED_VALUE"""),"Kram")</f>
        <v>Kram</v>
      </c>
      <c r="D2252" s="1" t="str">
        <f>IFERROR(__xludf.DUMMYFUNCTION("""COMPUTED_VALUE"""),"Ynothna")</f>
        <v>Ynothna</v>
      </c>
      <c r="E2252" s="1" t="str">
        <f>IFERROR(__xludf.DUMMYFUNCTION("""COMPUTED_VALUE"""),"ANg Pilipinas ay pAra sa mga Pilipino kaya't Mahalin Natin ito💚♥️... #bayanbangonmuli #bbmsarauniteam2022 #BBMPARASAPAGBABAGO #indaysaraforvicepresident2022 #BBMPresident2022")</f>
        <v>ANg Pilipinas ay pAra sa mga Pilipino kaya't Mahalin Natin ito💚♥️... #bayanbangonmuli #bbmsarauniteam2022 #BBMPARASAPAGBABAGO #indaysaraforvicepresident2022 #BBMPresident2022</v>
      </c>
      <c r="F2252" s="1"/>
      <c r="G2252" s="1" t="str">
        <f>IFERROR(__xludf.DUMMYFUNCTION("""COMPUTED_VALUE"""),"3 mos")</f>
        <v>3 mos</v>
      </c>
      <c r="H2252" s="1" t="str">
        <f>IFERROR(__xludf.DUMMYFUNCTION("""COMPUTED_VALUE"""),"comment")</f>
        <v>comment</v>
      </c>
      <c r="I2252" s="2" t="str">
        <f>IFERROR(__xludf.DUMMYFUNCTION("""COMPUTED_VALUE"""),"https://www.facebook.com/rapplerdotcom/photos/a.317154781638645/5594954703858600/")</f>
        <v>https://www.facebook.com/rapplerdotcom/photos/a.317154781638645/5594954703858600/</v>
      </c>
      <c r="J2252" s="1" t="str">
        <f>IFERROR(__xludf.DUMMYFUNCTION("""COMPUTED_VALUE"""),"2022-07-04T15:48:35.886Z")</f>
        <v>2022-07-04T15:48:35.886Z</v>
      </c>
      <c r="K2252" s="1"/>
    </row>
    <row r="2253">
      <c r="A2253" s="2" t="str">
        <f>IFERROR(__xludf.DUMMYFUNCTION("""COMPUTED_VALUE"""),"https://www.facebook.com/profile.php?id=100075965177809")</f>
        <v>https://www.facebook.com/profile.php?id=100075965177809</v>
      </c>
      <c r="B2253" s="1" t="str">
        <f>IFERROR(__xludf.DUMMYFUNCTION("""COMPUTED_VALUE"""),"Victor Escobar")</f>
        <v>Victor Escobar</v>
      </c>
      <c r="C2253" s="1" t="str">
        <f>IFERROR(__xludf.DUMMYFUNCTION("""COMPUTED_VALUE"""),"Victor")</f>
        <v>Victor</v>
      </c>
      <c r="D2253" s="1" t="str">
        <f>IFERROR(__xludf.DUMMYFUNCTION("""COMPUTED_VALUE"""),"Escobar")</f>
        <v>Escobar</v>
      </c>
      <c r="E2253" s="1" t="str">
        <f>IFERROR(__xludf.DUMMYFUNCTION("""COMPUTED_VALUE"""),"Isa to si Roxas sa nagpahirap sa bansang pilipinas eh")</f>
        <v>Isa to si Roxas sa nagpahirap sa bansang pilipinas eh</v>
      </c>
      <c r="F2253" s="1"/>
      <c r="G2253" s="1" t="str">
        <f>IFERROR(__xludf.DUMMYFUNCTION("""COMPUTED_VALUE"""),"3 mos")</f>
        <v>3 mos</v>
      </c>
      <c r="H2253" s="1" t="str">
        <f>IFERROR(__xludf.DUMMYFUNCTION("""COMPUTED_VALUE"""),"comment")</f>
        <v>comment</v>
      </c>
      <c r="I2253" s="2" t="str">
        <f>IFERROR(__xludf.DUMMYFUNCTION("""COMPUTED_VALUE"""),"https://www.facebook.com/rapplerdotcom/photos/a.317154781638645/5594954703858600/")</f>
        <v>https://www.facebook.com/rapplerdotcom/photos/a.317154781638645/5594954703858600/</v>
      </c>
      <c r="J2253" s="1" t="str">
        <f>IFERROR(__xludf.DUMMYFUNCTION("""COMPUTED_VALUE"""),"2022-07-04T15:48:35.886Z")</f>
        <v>2022-07-04T15:48:35.886Z</v>
      </c>
      <c r="K2253" s="1"/>
    </row>
    <row r="2254">
      <c r="A2254" s="2" t="str">
        <f>IFERROR(__xludf.DUMMYFUNCTION("""COMPUTED_VALUE"""),"https://www.facebook.com/letecia.gonzales.31")</f>
        <v>https://www.facebook.com/letecia.gonzales.31</v>
      </c>
      <c r="B2254" s="1" t="str">
        <f>IFERROR(__xludf.DUMMYFUNCTION("""COMPUTED_VALUE"""),"Letezia Pineda Gonzales")</f>
        <v>Letezia Pineda Gonzales</v>
      </c>
      <c r="C2254" s="1" t="str">
        <f>IFERROR(__xludf.DUMMYFUNCTION("""COMPUTED_VALUE"""),"Letezia")</f>
        <v>Letezia</v>
      </c>
      <c r="D2254" s="1" t="str">
        <f>IFERROR(__xludf.DUMMYFUNCTION("""COMPUTED_VALUE"""),"Pineda Gonzales")</f>
        <v>Pineda Gonzales</v>
      </c>
      <c r="E2254" s="1" t="str">
        <f>IFERROR(__xludf.DUMMYFUNCTION("""COMPUTED_VALUE"""),"Nasa bulsa🤣🤣ang daming mga  ayuda na na cra lang..binaon nila samantalang ang daming nagutom noon..grabe..")</f>
        <v>Nasa bulsa🤣🤣ang daming mga  ayuda na na cra lang..binaon nila samantalang ang daming nagutom noon..grabe..</v>
      </c>
      <c r="F2254" s="1"/>
      <c r="G2254" s="1" t="str">
        <f>IFERROR(__xludf.DUMMYFUNCTION("""COMPUTED_VALUE"""),"3 mos")</f>
        <v>3 mos</v>
      </c>
      <c r="H2254" s="1" t="str">
        <f>IFERROR(__xludf.DUMMYFUNCTION("""COMPUTED_VALUE"""),"comment")</f>
        <v>comment</v>
      </c>
      <c r="I2254" s="2" t="str">
        <f>IFERROR(__xludf.DUMMYFUNCTION("""COMPUTED_VALUE"""),"https://www.facebook.com/rapplerdotcom/photos/a.317154781638645/5594954703858600/")</f>
        <v>https://www.facebook.com/rapplerdotcom/photos/a.317154781638645/5594954703858600/</v>
      </c>
      <c r="J2254" s="1" t="str">
        <f>IFERROR(__xludf.DUMMYFUNCTION("""COMPUTED_VALUE"""),"2022-07-04T15:48:35.886Z")</f>
        <v>2022-07-04T15:48:35.886Z</v>
      </c>
      <c r="K2254" s="1"/>
    </row>
    <row r="2255">
      <c r="A2255" s="2" t="str">
        <f>IFERROR(__xludf.DUMMYFUNCTION("""COMPUTED_VALUE"""),"https://www.facebook.com/rhenz.jauod")</f>
        <v>https://www.facebook.com/rhenz.jauod</v>
      </c>
      <c r="B2255" s="1" t="str">
        <f>IFERROR(__xludf.DUMMYFUNCTION("""COMPUTED_VALUE"""),"Rhenz Jauod")</f>
        <v>Rhenz Jauod</v>
      </c>
      <c r="C2255" s="1" t="str">
        <f>IFERROR(__xludf.DUMMYFUNCTION("""COMPUTED_VALUE"""),"Rhenz")</f>
        <v>Rhenz</v>
      </c>
      <c r="D2255" s="1" t="str">
        <f>IFERROR(__xludf.DUMMYFUNCTION("""COMPUTED_VALUE"""),"Jauod")</f>
        <v>Jauod</v>
      </c>
      <c r="E2255" s="1" t="str">
        <f>IFERROR(__xludf.DUMMYFUNCTION("""COMPUTED_VALUE"""),"Who cares?talunan man sya😊")</f>
        <v>Who cares?talunan man sya😊</v>
      </c>
      <c r="F2255" s="1"/>
      <c r="G2255" s="1" t="str">
        <f>IFERROR(__xludf.DUMMYFUNCTION("""COMPUTED_VALUE"""),"3 mos")</f>
        <v>3 mos</v>
      </c>
      <c r="H2255" s="1" t="str">
        <f>IFERROR(__xludf.DUMMYFUNCTION("""COMPUTED_VALUE"""),"comment")</f>
        <v>comment</v>
      </c>
      <c r="I2255" s="2" t="str">
        <f>IFERROR(__xludf.DUMMYFUNCTION("""COMPUTED_VALUE"""),"https://www.facebook.com/rapplerdotcom/photos/a.317154781638645/5594954703858600/")</f>
        <v>https://www.facebook.com/rapplerdotcom/photos/a.317154781638645/5594954703858600/</v>
      </c>
      <c r="J2255" s="1" t="str">
        <f>IFERROR(__xludf.DUMMYFUNCTION("""COMPUTED_VALUE"""),"2022-07-04T15:48:35.886Z")</f>
        <v>2022-07-04T15:48:35.886Z</v>
      </c>
      <c r="K2255" s="1"/>
    </row>
    <row r="2256">
      <c r="A2256" s="2" t="str">
        <f>IFERROR(__xludf.DUMMYFUNCTION("""COMPUTED_VALUE"""),"https://www.facebook.com/rhonda.couris.7")</f>
        <v>https://www.facebook.com/rhonda.couris.7</v>
      </c>
      <c r="B2256" s="1" t="str">
        <f>IFERROR(__xludf.DUMMYFUNCTION("""COMPUTED_VALUE"""),"Rhonda Couris")</f>
        <v>Rhonda Couris</v>
      </c>
      <c r="C2256" s="1" t="str">
        <f>IFERROR(__xludf.DUMMYFUNCTION("""COMPUTED_VALUE"""),"Rhonda")</f>
        <v>Rhonda</v>
      </c>
      <c r="D2256" s="1" t="str">
        <f>IFERROR(__xludf.DUMMYFUNCTION("""COMPUTED_VALUE"""),"Couris")</f>
        <v>Couris</v>
      </c>
      <c r="E2256" s="1" t="str">
        <f>IFERROR(__xludf.DUMMYFUNCTION("""COMPUTED_VALUE"""),"Desperate moment for desperate people 🤭")</f>
        <v>Desperate moment for desperate people 🤭</v>
      </c>
      <c r="F2256" s="1">
        <f>IFERROR(__xludf.DUMMYFUNCTION("""COMPUTED_VALUE"""),1.0)</f>
        <v>1</v>
      </c>
      <c r="G2256" s="1" t="str">
        <f>IFERROR(__xludf.DUMMYFUNCTION("""COMPUTED_VALUE"""),"3 mos")</f>
        <v>3 mos</v>
      </c>
      <c r="H2256" s="1" t="str">
        <f>IFERROR(__xludf.DUMMYFUNCTION("""COMPUTED_VALUE"""),"comment")</f>
        <v>comment</v>
      </c>
      <c r="I2256" s="2" t="str">
        <f>IFERROR(__xludf.DUMMYFUNCTION("""COMPUTED_VALUE"""),"https://www.facebook.com/rapplerdotcom/photos/a.317154781638645/5594954703858600/")</f>
        <v>https://www.facebook.com/rapplerdotcom/photos/a.317154781638645/5594954703858600/</v>
      </c>
      <c r="J2256" s="1" t="str">
        <f>IFERROR(__xludf.DUMMYFUNCTION("""COMPUTED_VALUE"""),"2022-07-04T15:48:35.886Z")</f>
        <v>2022-07-04T15:48:35.886Z</v>
      </c>
      <c r="K2256" s="1"/>
    </row>
    <row r="2257">
      <c r="A2257" s="2" t="str">
        <f>IFERROR(__xludf.DUMMYFUNCTION("""COMPUTED_VALUE"""),"https://www.facebook.com/epal.aco.56")</f>
        <v>https://www.facebook.com/epal.aco.56</v>
      </c>
      <c r="B2257" s="1" t="str">
        <f>IFERROR(__xludf.DUMMYFUNCTION("""COMPUTED_VALUE"""),"Epal Aco")</f>
        <v>Epal Aco</v>
      </c>
      <c r="C2257" s="1" t="str">
        <f>IFERROR(__xludf.DUMMYFUNCTION("""COMPUTED_VALUE"""),"Epal")</f>
        <v>Epal</v>
      </c>
      <c r="D2257" s="1" t="str">
        <f>IFERROR(__xludf.DUMMYFUNCTION("""COMPUTED_VALUE"""),"Aco")</f>
        <v>Aco</v>
      </c>
      <c r="E2257" s="1" t="str">
        <f>IFERROR(__xludf.DUMMYFUNCTION("""COMPUTED_VALUE"""),"Ang pagbabalik ni yolanda hahahhaah")</f>
        <v>Ang pagbabalik ni yolanda hahahhaah</v>
      </c>
      <c r="F2257" s="1"/>
      <c r="G2257" s="1" t="str">
        <f>IFERROR(__xludf.DUMMYFUNCTION("""COMPUTED_VALUE"""),"3 mos")</f>
        <v>3 mos</v>
      </c>
      <c r="H2257" s="1" t="str">
        <f>IFERROR(__xludf.DUMMYFUNCTION("""COMPUTED_VALUE"""),"comment")</f>
        <v>comment</v>
      </c>
      <c r="I2257" s="2" t="str">
        <f>IFERROR(__xludf.DUMMYFUNCTION("""COMPUTED_VALUE"""),"https://www.facebook.com/rapplerdotcom/photos/a.317154781638645/5594954703858600/")</f>
        <v>https://www.facebook.com/rapplerdotcom/photos/a.317154781638645/5594954703858600/</v>
      </c>
      <c r="J2257" s="1" t="str">
        <f>IFERROR(__xludf.DUMMYFUNCTION("""COMPUTED_VALUE"""),"2022-07-04T15:48:35.886Z")</f>
        <v>2022-07-04T15:48:35.886Z</v>
      </c>
      <c r="K2257" s="1"/>
    </row>
    <row r="2258">
      <c r="A2258" s="2" t="str">
        <f>IFERROR(__xludf.DUMMYFUNCTION("""COMPUTED_VALUE"""),"https://www.facebook.com/buenaventura.romy")</f>
        <v>https://www.facebook.com/buenaventura.romy</v>
      </c>
      <c r="B2258" s="1" t="str">
        <f>IFERROR(__xludf.DUMMYFUNCTION("""COMPUTED_VALUE"""),"Romy Buenaventura")</f>
        <v>Romy Buenaventura</v>
      </c>
      <c r="C2258" s="1" t="str">
        <f>IFERROR(__xludf.DUMMYFUNCTION("""COMPUTED_VALUE"""),"Romy")</f>
        <v>Romy</v>
      </c>
      <c r="D2258" s="1" t="str">
        <f>IFERROR(__xludf.DUMMYFUNCTION("""COMPUTED_VALUE"""),"Buenaventura")</f>
        <v>Buenaventura</v>
      </c>
      <c r="E2258" s="1" t="str">
        <f>IFERROR(__xludf.DUMMYFUNCTION("""COMPUTED_VALUE"""),"I would like him to be the next DFA secretary!")</f>
        <v>I would like him to be the next DFA secretary!</v>
      </c>
      <c r="F2258" s="1">
        <f>IFERROR(__xludf.DUMMYFUNCTION("""COMPUTED_VALUE"""),11.0)</f>
        <v>11</v>
      </c>
      <c r="G2258" s="1" t="str">
        <f>IFERROR(__xludf.DUMMYFUNCTION("""COMPUTED_VALUE"""),"3 mos")</f>
        <v>3 mos</v>
      </c>
      <c r="H2258" s="1" t="str">
        <f>IFERROR(__xludf.DUMMYFUNCTION("""COMPUTED_VALUE"""),"comment")</f>
        <v>comment</v>
      </c>
      <c r="I2258" s="2" t="str">
        <f>IFERROR(__xludf.DUMMYFUNCTION("""COMPUTED_VALUE"""),"https://www.facebook.com/rapplerdotcom/photos/a.317154781638645/5594954703858600/")</f>
        <v>https://www.facebook.com/rapplerdotcom/photos/a.317154781638645/5594954703858600/</v>
      </c>
      <c r="J2258" s="1" t="str">
        <f>IFERROR(__xludf.DUMMYFUNCTION("""COMPUTED_VALUE"""),"2022-07-04T15:48:35.886Z")</f>
        <v>2022-07-04T15:48:35.886Z</v>
      </c>
      <c r="K2258" s="1"/>
    </row>
    <row r="2259">
      <c r="A2259" s="2" t="str">
        <f>IFERROR(__xludf.DUMMYFUNCTION("""COMPUTED_VALUE"""),"https://www.facebook.com/profile.php?id=100067648721233")</f>
        <v>https://www.facebook.com/profile.php?id=100067648721233</v>
      </c>
      <c r="B2259" s="1" t="str">
        <f>IFERROR(__xludf.DUMMYFUNCTION("""COMPUTED_VALUE"""),"Jessie Resurreccion")</f>
        <v>Jessie Resurreccion</v>
      </c>
      <c r="C2259" s="1" t="str">
        <f>IFERROR(__xludf.DUMMYFUNCTION("""COMPUTED_VALUE"""),"Jessie")</f>
        <v>Jessie</v>
      </c>
      <c r="D2259" s="1" t="str">
        <f>IFERROR(__xludf.DUMMYFUNCTION("""COMPUTED_VALUE"""),"Resurreccion")</f>
        <v>Resurreccion</v>
      </c>
      <c r="E2259" s="1" t="str">
        <f>IFERROR(__xludf.DUMMYFUNCTION("""COMPUTED_VALUE"""),"Romy Buenaventura dios ko day..hahaha!")</f>
        <v>Romy Buenaventura dios ko day..hahaha!</v>
      </c>
      <c r="F2259" s="1"/>
      <c r="G2259" s="1" t="str">
        <f>IFERROR(__xludf.DUMMYFUNCTION("""COMPUTED_VALUE"""),"3 mos")</f>
        <v>3 mos</v>
      </c>
      <c r="H2259" s="1" t="str">
        <f>IFERROR(__xludf.DUMMYFUNCTION("""COMPUTED_VALUE"""),"reply")</f>
        <v>reply</v>
      </c>
      <c r="I2259" s="2" t="str">
        <f>IFERROR(__xludf.DUMMYFUNCTION("""COMPUTED_VALUE"""),"https://www.facebook.com/rapplerdotcom/photos/a.317154781638645/5594954703858600/")</f>
        <v>https://www.facebook.com/rapplerdotcom/photos/a.317154781638645/5594954703858600/</v>
      </c>
      <c r="J2259" s="1" t="str">
        <f>IFERROR(__xludf.DUMMYFUNCTION("""COMPUTED_VALUE"""),"2022-07-04T15:48:35.886Z")</f>
        <v>2022-07-04T15:48:35.886Z</v>
      </c>
      <c r="K2259" s="1"/>
    </row>
    <row r="2260">
      <c r="A2260" s="2" t="str">
        <f>IFERROR(__xludf.DUMMYFUNCTION("""COMPUTED_VALUE"""),"https://www.facebook.com/cidj.jalandoni")</f>
        <v>https://www.facebook.com/cidj.jalandoni</v>
      </c>
      <c r="B2260" s="1" t="str">
        <f>IFERROR(__xludf.DUMMYFUNCTION("""COMPUTED_VALUE"""),"Cidj Jalandoni")</f>
        <v>Cidj Jalandoni</v>
      </c>
      <c r="C2260" s="1" t="str">
        <f>IFERROR(__xludf.DUMMYFUNCTION("""COMPUTED_VALUE"""),"Cidj")</f>
        <v>Cidj</v>
      </c>
      <c r="D2260" s="1" t="str">
        <f>IFERROR(__xludf.DUMMYFUNCTION("""COMPUTED_VALUE"""),"Jalandoni")</f>
        <v>Jalandoni</v>
      </c>
      <c r="E2260" s="1" t="str">
        <f>IFERROR(__xludf.DUMMYFUNCTION("""COMPUTED_VALUE"""),"sis Dino Gerardo Provido dapat kay BABY M sya... kase pareho sila ng kapalaran... Eliza Beth")</f>
        <v>sis Dino Gerardo Provido dapat kay BABY M sya... kase pareho sila ng kapalaran... Eliza Beth</v>
      </c>
      <c r="F2260" s="1">
        <f>IFERROR(__xludf.DUMMYFUNCTION("""COMPUTED_VALUE"""),1.0)</f>
        <v>1</v>
      </c>
      <c r="G2260" s="1" t="str">
        <f>IFERROR(__xludf.DUMMYFUNCTION("""COMPUTED_VALUE"""),"3 mos")</f>
        <v>3 mos</v>
      </c>
      <c r="H2260" s="1" t="str">
        <f>IFERROR(__xludf.DUMMYFUNCTION("""COMPUTED_VALUE"""),"comment")</f>
        <v>comment</v>
      </c>
      <c r="I2260" s="2" t="str">
        <f>IFERROR(__xludf.DUMMYFUNCTION("""COMPUTED_VALUE"""),"https://www.facebook.com/rapplerdotcom/photos/a.317154781638645/5594954703858600/")</f>
        <v>https://www.facebook.com/rapplerdotcom/photos/a.317154781638645/5594954703858600/</v>
      </c>
      <c r="J2260" s="1" t="str">
        <f>IFERROR(__xludf.DUMMYFUNCTION("""COMPUTED_VALUE"""),"2022-07-04T15:48:35.886Z")</f>
        <v>2022-07-04T15:48:35.886Z</v>
      </c>
      <c r="K2260" s="1"/>
    </row>
    <row r="2261">
      <c r="A2261" s="2" t="str">
        <f>IFERROR(__xludf.DUMMYFUNCTION("""COMPUTED_VALUE"""),"https://www.facebook.com/arlyn.roxas.94")</f>
        <v>https://www.facebook.com/arlyn.roxas.94</v>
      </c>
      <c r="B2261" s="1" t="str">
        <f>IFERROR(__xludf.DUMMYFUNCTION("""COMPUTED_VALUE"""),"Arlyn Roxas")</f>
        <v>Arlyn Roxas</v>
      </c>
      <c r="C2261" s="1" t="str">
        <f>IFERROR(__xludf.DUMMYFUNCTION("""COMPUTED_VALUE"""),"Arlyn")</f>
        <v>Arlyn</v>
      </c>
      <c r="D2261" s="1" t="str">
        <f>IFERROR(__xludf.DUMMYFUNCTION("""COMPUTED_VALUE"""),"Roxas")</f>
        <v>Roxas</v>
      </c>
      <c r="E2261" s="1" t="str">
        <f>IFERROR(__xludf.DUMMYFUNCTION("""COMPUTED_VALUE"""),"Samut")</f>
        <v>Samut</v>
      </c>
      <c r="F2261" s="1"/>
      <c r="G2261" s="1" t="str">
        <f>IFERROR(__xludf.DUMMYFUNCTION("""COMPUTED_VALUE"""),"3 mos")</f>
        <v>3 mos</v>
      </c>
      <c r="H2261" s="1" t="str">
        <f>IFERROR(__xludf.DUMMYFUNCTION("""COMPUTED_VALUE"""),"comment")</f>
        <v>comment</v>
      </c>
      <c r="I2261" s="2" t="str">
        <f>IFERROR(__xludf.DUMMYFUNCTION("""COMPUTED_VALUE"""),"https://www.facebook.com/rapplerdotcom/photos/a.317154781638645/5594954703858600/")</f>
        <v>https://www.facebook.com/rapplerdotcom/photos/a.317154781638645/5594954703858600/</v>
      </c>
      <c r="J2261" s="1" t="str">
        <f>IFERROR(__xludf.DUMMYFUNCTION("""COMPUTED_VALUE"""),"2022-07-04T15:48:35.886Z")</f>
        <v>2022-07-04T15:48:35.886Z</v>
      </c>
      <c r="K2261" s="1"/>
    </row>
    <row r="2262">
      <c r="A2262" s="2" t="str">
        <f>IFERROR(__xludf.DUMMYFUNCTION("""COMPUTED_VALUE"""),"https://www.facebook.com/jb.chua28")</f>
        <v>https://www.facebook.com/jb.chua28</v>
      </c>
      <c r="B2262" s="1" t="str">
        <f>IFERROR(__xludf.DUMMYFUNCTION("""COMPUTED_VALUE"""),"Chua Jb")</f>
        <v>Chua Jb</v>
      </c>
      <c r="C2262" s="1" t="str">
        <f>IFERROR(__xludf.DUMMYFUNCTION("""COMPUTED_VALUE"""),"Chua")</f>
        <v>Chua</v>
      </c>
      <c r="D2262" s="1" t="str">
        <f>IFERROR(__xludf.DUMMYFUNCTION("""COMPUTED_VALUE"""),"Jb")</f>
        <v>Jb</v>
      </c>
      <c r="E2262" s="1" t="str">
        <f>IFERROR(__xludf.DUMMYFUNCTION("""COMPUTED_VALUE"""),"pres duterte : you are a pretentious leader😅                       credit grabber 😅                        wala kang alam 😅")</f>
        <v>pres duterte : you are a pretentious leader😅                       credit grabber 😅                        wala kang alam 😅</v>
      </c>
      <c r="F2262" s="1"/>
      <c r="G2262" s="1" t="str">
        <f>IFERROR(__xludf.DUMMYFUNCTION("""COMPUTED_VALUE"""),"3 mos")</f>
        <v>3 mos</v>
      </c>
      <c r="H2262" s="1" t="str">
        <f>IFERROR(__xludf.DUMMYFUNCTION("""COMPUTED_VALUE"""),"comment")</f>
        <v>comment</v>
      </c>
      <c r="I2262" s="2" t="str">
        <f>IFERROR(__xludf.DUMMYFUNCTION("""COMPUTED_VALUE"""),"https://www.facebook.com/rapplerdotcom/photos/a.317154781638645/5594954703858600/")</f>
        <v>https://www.facebook.com/rapplerdotcom/photos/a.317154781638645/5594954703858600/</v>
      </c>
      <c r="J2262" s="1" t="str">
        <f>IFERROR(__xludf.DUMMYFUNCTION("""COMPUTED_VALUE"""),"2022-07-04T15:48:35.886Z")</f>
        <v>2022-07-04T15:48:35.886Z</v>
      </c>
      <c r="K2262" s="1"/>
    </row>
    <row r="2263">
      <c r="A2263" s="2" t="str">
        <f>IFERROR(__xludf.DUMMYFUNCTION("""COMPUTED_VALUE"""),"https://www.facebook.com/allen.aguilar.58")</f>
        <v>https://www.facebook.com/allen.aguilar.58</v>
      </c>
      <c r="B2263" s="1" t="str">
        <f>IFERROR(__xludf.DUMMYFUNCTION("""COMPUTED_VALUE"""),"Allen Aguilar")</f>
        <v>Allen Aguilar</v>
      </c>
      <c r="C2263" s="1" t="str">
        <f>IFERROR(__xludf.DUMMYFUNCTION("""COMPUTED_VALUE"""),"Allen")</f>
        <v>Allen</v>
      </c>
      <c r="D2263" s="1" t="str">
        <f>IFERROR(__xludf.DUMMYFUNCTION("""COMPUTED_VALUE"""),"Aguilar")</f>
        <v>Aguilar</v>
      </c>
      <c r="E2263" s="1" t="str">
        <f>IFERROR(__xludf.DUMMYFUNCTION("""COMPUTED_VALUE"""),"Bawas boto")</f>
        <v>Bawas boto</v>
      </c>
      <c r="F2263" s="1"/>
      <c r="G2263" s="1" t="str">
        <f>IFERROR(__xludf.DUMMYFUNCTION("""COMPUTED_VALUE"""),"3 mos")</f>
        <v>3 mos</v>
      </c>
      <c r="H2263" s="1" t="str">
        <f>IFERROR(__xludf.DUMMYFUNCTION("""COMPUTED_VALUE"""),"comment")</f>
        <v>comment</v>
      </c>
      <c r="I2263" s="2" t="str">
        <f>IFERROR(__xludf.DUMMYFUNCTION("""COMPUTED_VALUE"""),"https://www.facebook.com/rapplerdotcom/photos/a.317154781638645/5594954703858600/")</f>
        <v>https://www.facebook.com/rapplerdotcom/photos/a.317154781638645/5594954703858600/</v>
      </c>
      <c r="J2263" s="1" t="str">
        <f>IFERROR(__xludf.DUMMYFUNCTION("""COMPUTED_VALUE"""),"2022-07-04T15:48:35.886Z")</f>
        <v>2022-07-04T15:48:35.886Z</v>
      </c>
      <c r="K2263" s="1"/>
    </row>
    <row r="2264">
      <c r="A2264" s="2" t="str">
        <f>IFERROR(__xludf.DUMMYFUNCTION("""COMPUTED_VALUE"""),"https://www.facebook.com/carlito.almonte.779")</f>
        <v>https://www.facebook.com/carlito.almonte.779</v>
      </c>
      <c r="B2264" s="1" t="str">
        <f>IFERROR(__xludf.DUMMYFUNCTION("""COMPUTED_VALUE"""),"Carlito Almonte")</f>
        <v>Carlito Almonte</v>
      </c>
      <c r="C2264" s="1" t="str">
        <f>IFERROR(__xludf.DUMMYFUNCTION("""COMPUTED_VALUE"""),"Carlito")</f>
        <v>Carlito</v>
      </c>
      <c r="D2264" s="1" t="str">
        <f>IFERROR(__xludf.DUMMYFUNCTION("""COMPUTED_VALUE"""),"Almonte")</f>
        <v>Almonte</v>
      </c>
      <c r="E2264" s="1" t="str">
        <f>IFERROR(__xludf.DUMMYFUNCTION("""COMPUTED_VALUE"""),"Wow..nagsama na Ang mga Aquinotards..")</f>
        <v>Wow..nagsama na Ang mga Aquinotards..</v>
      </c>
      <c r="F2264" s="1"/>
      <c r="G2264" s="1" t="str">
        <f>IFERROR(__xludf.DUMMYFUNCTION("""COMPUTED_VALUE"""),"3 mos")</f>
        <v>3 mos</v>
      </c>
      <c r="H2264" s="1" t="str">
        <f>IFERROR(__xludf.DUMMYFUNCTION("""COMPUTED_VALUE"""),"comment")</f>
        <v>comment</v>
      </c>
      <c r="I2264" s="2" t="str">
        <f>IFERROR(__xludf.DUMMYFUNCTION("""COMPUTED_VALUE"""),"https://www.facebook.com/rapplerdotcom/photos/a.317154781638645/5594954703858600/")</f>
        <v>https://www.facebook.com/rapplerdotcom/photos/a.317154781638645/5594954703858600/</v>
      </c>
      <c r="J2264" s="1" t="str">
        <f>IFERROR(__xludf.DUMMYFUNCTION("""COMPUTED_VALUE"""),"2022-07-04T15:48:35.886Z")</f>
        <v>2022-07-04T15:48:35.886Z</v>
      </c>
      <c r="K2264" s="1"/>
    </row>
    <row r="2265">
      <c r="A2265" s="2" t="str">
        <f>IFERROR(__xludf.DUMMYFUNCTION("""COMPUTED_VALUE"""),"https://www.facebook.com/junplaz")</f>
        <v>https://www.facebook.com/junplaz</v>
      </c>
      <c r="B2265" s="1" t="str">
        <f>IFERROR(__xludf.DUMMYFUNCTION("""COMPUTED_VALUE"""),"Jun Plaza")</f>
        <v>Jun Plaza</v>
      </c>
      <c r="C2265" s="1" t="str">
        <f>IFERROR(__xludf.DUMMYFUNCTION("""COMPUTED_VALUE"""),"Jun")</f>
        <v>Jun</v>
      </c>
      <c r="D2265" s="1" t="str">
        <f>IFERROR(__xludf.DUMMYFUNCTION("""COMPUTED_VALUE"""),"Plaza")</f>
        <v>Plaza</v>
      </c>
      <c r="E2265" s="1" t="str">
        <f>IFERROR(__xludf.DUMMYFUNCTION("""COMPUTED_VALUE"""),"Lalong masisira si robredo dahil sa ginawa ni mar sa yolanda at kilalang kurap yan si mar")</f>
        <v>Lalong masisira si robredo dahil sa ginawa ni mar sa yolanda at kilalang kurap yan si mar</v>
      </c>
      <c r="F2265" s="1">
        <f>IFERROR(__xludf.DUMMYFUNCTION("""COMPUTED_VALUE"""),1.0)</f>
        <v>1</v>
      </c>
      <c r="G2265" s="1" t="str">
        <f>IFERROR(__xludf.DUMMYFUNCTION("""COMPUTED_VALUE"""),"3 mos")</f>
        <v>3 mos</v>
      </c>
      <c r="H2265" s="1" t="str">
        <f>IFERROR(__xludf.DUMMYFUNCTION("""COMPUTED_VALUE"""),"comment")</f>
        <v>comment</v>
      </c>
      <c r="I2265" s="2" t="str">
        <f>IFERROR(__xludf.DUMMYFUNCTION("""COMPUTED_VALUE"""),"https://www.facebook.com/rapplerdotcom/photos/a.317154781638645/5594954703858600/")</f>
        <v>https://www.facebook.com/rapplerdotcom/photos/a.317154781638645/5594954703858600/</v>
      </c>
      <c r="J2265" s="1" t="str">
        <f>IFERROR(__xludf.DUMMYFUNCTION("""COMPUTED_VALUE"""),"2022-07-04T15:48:35.886Z")</f>
        <v>2022-07-04T15:48:35.886Z</v>
      </c>
      <c r="K2265" s="1"/>
    </row>
    <row r="2266">
      <c r="A2266" s="2" t="str">
        <f>IFERROR(__xludf.DUMMYFUNCTION("""COMPUTED_VALUE"""),"https://www.facebook.com/profile.php?id=100079181871183")</f>
        <v>https://www.facebook.com/profile.php?id=100079181871183</v>
      </c>
      <c r="B2266" s="1" t="str">
        <f>IFERROR(__xludf.DUMMYFUNCTION("""COMPUTED_VALUE"""),"Jon Delano")</f>
        <v>Jon Delano</v>
      </c>
      <c r="C2266" s="1" t="str">
        <f>IFERROR(__xludf.DUMMYFUNCTION("""COMPUTED_VALUE"""),"Jon")</f>
        <v>Jon</v>
      </c>
      <c r="D2266" s="1" t="str">
        <f>IFERROR(__xludf.DUMMYFUNCTION("""COMPUTED_VALUE"""),"Delano")</f>
        <v>Delano</v>
      </c>
      <c r="E2266" s="1" t="str">
        <f>IFERROR(__xludf.DUMMYFUNCTION("""COMPUTED_VALUE"""),"This is the end for kakampon. Lumabas na si Mang Maru. 🤣🤣🤣")</f>
        <v>This is the end for kakampon. Lumabas na si Mang Maru. 🤣🤣🤣</v>
      </c>
      <c r="F2266" s="1">
        <f>IFERROR(__xludf.DUMMYFUNCTION("""COMPUTED_VALUE"""),8.0)</f>
        <v>8</v>
      </c>
      <c r="G2266" s="1" t="str">
        <f>IFERROR(__xludf.DUMMYFUNCTION("""COMPUTED_VALUE"""),"3 mos")</f>
        <v>3 mos</v>
      </c>
      <c r="H2266" s="1" t="str">
        <f>IFERROR(__xludf.DUMMYFUNCTION("""COMPUTED_VALUE"""),"comment")</f>
        <v>comment</v>
      </c>
      <c r="I2266" s="2" t="str">
        <f>IFERROR(__xludf.DUMMYFUNCTION("""COMPUTED_VALUE"""),"https://www.facebook.com/rapplerdotcom/photos/a.317154781638645/5594954703858600/")</f>
        <v>https://www.facebook.com/rapplerdotcom/photos/a.317154781638645/5594954703858600/</v>
      </c>
      <c r="J2266" s="1" t="str">
        <f>IFERROR(__xludf.DUMMYFUNCTION("""COMPUTED_VALUE"""),"2022-07-04T15:48:35.886Z")</f>
        <v>2022-07-04T15:48:35.886Z</v>
      </c>
      <c r="K2266" s="1"/>
    </row>
    <row r="2267">
      <c r="A2267" s="2" t="str">
        <f>IFERROR(__xludf.DUMMYFUNCTION("""COMPUTED_VALUE"""),"https://www.facebook.com/profile.php?id=100077494915560")</f>
        <v>https://www.facebook.com/profile.php?id=100077494915560</v>
      </c>
      <c r="B2267" s="1" t="str">
        <f>IFERROR(__xludf.DUMMYFUNCTION("""COMPUTED_VALUE"""),"Manuel Perez")</f>
        <v>Manuel Perez</v>
      </c>
      <c r="C2267" s="1" t="str">
        <f>IFERROR(__xludf.DUMMYFUNCTION("""COMPUTED_VALUE"""),"Manuel")</f>
        <v>Manuel</v>
      </c>
      <c r="D2267" s="1" t="str">
        <f>IFERROR(__xludf.DUMMYFUNCTION("""COMPUTED_VALUE"""),"Perez")</f>
        <v>Perez</v>
      </c>
      <c r="E2267" s="1" t="str">
        <f>IFERROR(__xludf.DUMMYFUNCTION("""COMPUTED_VALUE"""),"paanu nyu nasabi ?")</f>
        <v>paanu nyu nasabi ?</v>
      </c>
      <c r="F2267" s="1"/>
      <c r="G2267" s="1" t="str">
        <f>IFERROR(__xludf.DUMMYFUNCTION("""COMPUTED_VALUE"""),"3 mos")</f>
        <v>3 mos</v>
      </c>
      <c r="H2267" s="1" t="str">
        <f>IFERROR(__xludf.DUMMYFUNCTION("""COMPUTED_VALUE"""),"reply")</f>
        <v>reply</v>
      </c>
      <c r="I2267" s="2" t="str">
        <f>IFERROR(__xludf.DUMMYFUNCTION("""COMPUTED_VALUE"""),"https://www.facebook.com/rapplerdotcom/photos/a.317154781638645/5594954703858600/")</f>
        <v>https://www.facebook.com/rapplerdotcom/photos/a.317154781638645/5594954703858600/</v>
      </c>
      <c r="J2267" s="1" t="str">
        <f>IFERROR(__xludf.DUMMYFUNCTION("""COMPUTED_VALUE"""),"2022-07-04T15:48:35.886Z")</f>
        <v>2022-07-04T15:48:35.886Z</v>
      </c>
      <c r="K2267" s="1"/>
    </row>
    <row r="2268">
      <c r="A2268" s="2" t="str">
        <f>IFERROR(__xludf.DUMMYFUNCTION("""COMPUTED_VALUE"""),"https://www.facebook.com/AMSIQTPI")</f>
        <v>https://www.facebook.com/AMSIQTPI</v>
      </c>
      <c r="B2268" s="1" t="str">
        <f>IFERROR(__xludf.DUMMYFUNCTION("""COMPUTED_VALUE"""),"Anne Mylene")</f>
        <v>Anne Mylene</v>
      </c>
      <c r="C2268" s="1" t="str">
        <f>IFERROR(__xludf.DUMMYFUNCTION("""COMPUTED_VALUE"""),"Anne")</f>
        <v>Anne</v>
      </c>
      <c r="D2268" s="1" t="str">
        <f>IFERROR(__xludf.DUMMYFUNCTION("""COMPUTED_VALUE"""),"Mylene")</f>
        <v>Mylene</v>
      </c>
      <c r="E2268" s="1" t="str">
        <f>IFERROR(__xludf.DUMMYFUNCTION("""COMPUTED_VALUE"""),"Tumatakbo Siya?")</f>
        <v>Tumatakbo Siya?</v>
      </c>
      <c r="F2268" s="1"/>
      <c r="G2268" s="1" t="str">
        <f>IFERROR(__xludf.DUMMYFUNCTION("""COMPUTED_VALUE"""),"3 mos")</f>
        <v>3 mos</v>
      </c>
      <c r="H2268" s="1" t="str">
        <f>IFERROR(__xludf.DUMMYFUNCTION("""COMPUTED_VALUE"""),"comment")</f>
        <v>comment</v>
      </c>
      <c r="I2268" s="2" t="str">
        <f>IFERROR(__xludf.DUMMYFUNCTION("""COMPUTED_VALUE"""),"https://www.facebook.com/rapplerdotcom/photos/a.317154781638645/5594954703858600/")</f>
        <v>https://www.facebook.com/rapplerdotcom/photos/a.317154781638645/5594954703858600/</v>
      </c>
      <c r="J2268" s="1" t="str">
        <f>IFERROR(__xludf.DUMMYFUNCTION("""COMPUTED_VALUE"""),"2022-07-04T15:48:35.886Z")</f>
        <v>2022-07-04T15:48:35.886Z</v>
      </c>
      <c r="K2268" s="1"/>
    </row>
    <row r="2269">
      <c r="A2269" s="2" t="str">
        <f>IFERROR(__xludf.DUMMYFUNCTION("""COMPUTED_VALUE"""),"https://www.facebook.com/kyric.sirving01")</f>
        <v>https://www.facebook.com/kyric.sirving01</v>
      </c>
      <c r="B2269" s="1" t="str">
        <f>IFERROR(__xludf.DUMMYFUNCTION("""COMPUTED_VALUE"""),"Enrico Folsra")</f>
        <v>Enrico Folsra</v>
      </c>
      <c r="C2269" s="1" t="str">
        <f>IFERROR(__xludf.DUMMYFUNCTION("""COMPUTED_VALUE"""),"Enrico")</f>
        <v>Enrico</v>
      </c>
      <c r="D2269" s="1" t="str">
        <f>IFERROR(__xludf.DUMMYFUNCTION("""COMPUTED_VALUE"""),"Folsra")</f>
        <v>Folsra</v>
      </c>
      <c r="E2269" s="1" t="str">
        <f>IFERROR(__xludf.DUMMYFUNCTION("""COMPUTED_VALUE"""),"Put@ngina ano ba to?!!!")</f>
        <v>Put@ngina ano ba to?!!!</v>
      </c>
      <c r="F2269" s="1"/>
      <c r="G2269" s="1" t="str">
        <f>IFERROR(__xludf.DUMMYFUNCTION("""COMPUTED_VALUE"""),"3 mos")</f>
        <v>3 mos</v>
      </c>
      <c r="H2269" s="1" t="str">
        <f>IFERROR(__xludf.DUMMYFUNCTION("""COMPUTED_VALUE"""),"comment")</f>
        <v>comment</v>
      </c>
      <c r="I2269" s="2" t="str">
        <f>IFERROR(__xludf.DUMMYFUNCTION("""COMPUTED_VALUE"""),"https://www.facebook.com/rapplerdotcom/photos/a.317154781638645/5594954703858600/")</f>
        <v>https://www.facebook.com/rapplerdotcom/photos/a.317154781638645/5594954703858600/</v>
      </c>
      <c r="J2269" s="1" t="str">
        <f>IFERROR(__xludf.DUMMYFUNCTION("""COMPUTED_VALUE"""),"2022-07-04T15:48:35.886Z")</f>
        <v>2022-07-04T15:48:35.886Z</v>
      </c>
      <c r="K2269" s="1"/>
    </row>
    <row r="2270">
      <c r="A2270" s="2" t="str">
        <f>IFERROR(__xludf.DUMMYFUNCTION("""COMPUTED_VALUE"""),"https://www.facebook.com/profile.php?id=100070149226427")</f>
        <v>https://www.facebook.com/profile.php?id=100070149226427</v>
      </c>
      <c r="B2270" s="1" t="str">
        <f>IFERROR(__xludf.DUMMYFUNCTION("""COMPUTED_VALUE"""),"Mhar Naning")</f>
        <v>Mhar Naning</v>
      </c>
      <c r="C2270" s="1" t="str">
        <f>IFERROR(__xludf.DUMMYFUNCTION("""COMPUTED_VALUE"""),"Mhar")</f>
        <v>Mhar</v>
      </c>
      <c r="D2270" s="1" t="str">
        <f>IFERROR(__xludf.DUMMYFUNCTION("""COMPUTED_VALUE"""),"Naning")</f>
        <v>Naning</v>
      </c>
      <c r="E2270" s="1" t="str">
        <f>IFERROR(__xludf.DUMMYFUNCTION("""COMPUTED_VALUE"""),"Magaling mamangka si mar roxas. Hes good on both sides.")</f>
        <v>Magaling mamangka si mar roxas. Hes good on both sides.</v>
      </c>
      <c r="F2270" s="1"/>
      <c r="G2270" s="1" t="str">
        <f>IFERROR(__xludf.DUMMYFUNCTION("""COMPUTED_VALUE"""),"3 mos")</f>
        <v>3 mos</v>
      </c>
      <c r="H2270" s="1" t="str">
        <f>IFERROR(__xludf.DUMMYFUNCTION("""COMPUTED_VALUE"""),"comment")</f>
        <v>comment</v>
      </c>
      <c r="I2270" s="2" t="str">
        <f>IFERROR(__xludf.DUMMYFUNCTION("""COMPUTED_VALUE"""),"https://www.facebook.com/rapplerdotcom/photos/a.317154781638645/5594954703858600/")</f>
        <v>https://www.facebook.com/rapplerdotcom/photos/a.317154781638645/5594954703858600/</v>
      </c>
      <c r="J2270" s="1" t="str">
        <f>IFERROR(__xludf.DUMMYFUNCTION("""COMPUTED_VALUE"""),"2022-07-04T15:48:35.886Z")</f>
        <v>2022-07-04T15:48:35.886Z</v>
      </c>
      <c r="K2270" s="1"/>
    </row>
    <row r="2271">
      <c r="A2271" s="2" t="str">
        <f>IFERROR(__xludf.DUMMYFUNCTION("""COMPUTED_VALUE"""),"https://www.facebook.com/denise.v.gatuslao")</f>
        <v>https://www.facebook.com/denise.v.gatuslao</v>
      </c>
      <c r="B2271" s="1" t="str">
        <f>IFERROR(__xludf.DUMMYFUNCTION("""COMPUTED_VALUE"""),"Denise Varela Gatuslao")</f>
        <v>Denise Varela Gatuslao</v>
      </c>
      <c r="C2271" s="1" t="str">
        <f>IFERROR(__xludf.DUMMYFUNCTION("""COMPUTED_VALUE"""),"Denise")</f>
        <v>Denise</v>
      </c>
      <c r="D2271" s="1" t="str">
        <f>IFERROR(__xludf.DUMMYFUNCTION("""COMPUTED_VALUE"""),"Varela Gatuslao")</f>
        <v>Varela Gatuslao</v>
      </c>
      <c r="E2271" s="1" t="str">
        <f>IFERROR(__xludf.DUMMYFUNCTION("""COMPUTED_VALUE"""),"#LeniKiko2022 #LeniKikoAllTheWay #GobyernongTapatAngatBuhayLahat")</f>
        <v>#LeniKiko2022 #LeniKikoAllTheWay #GobyernongTapatAngatBuhayLahat</v>
      </c>
      <c r="F2271" s="1">
        <f>IFERROR(__xludf.DUMMYFUNCTION("""COMPUTED_VALUE"""),10.0)</f>
        <v>10</v>
      </c>
      <c r="G2271" s="1" t="str">
        <f>IFERROR(__xludf.DUMMYFUNCTION("""COMPUTED_VALUE"""),"3 mos")</f>
        <v>3 mos</v>
      </c>
      <c r="H2271" s="1" t="str">
        <f>IFERROR(__xludf.DUMMYFUNCTION("""COMPUTED_VALUE"""),"comment")</f>
        <v>comment</v>
      </c>
      <c r="I2271" s="2" t="str">
        <f>IFERROR(__xludf.DUMMYFUNCTION("""COMPUTED_VALUE"""),"https://www.facebook.com/rapplerdotcom/photos/a.317154781638645/5594954703858600/")</f>
        <v>https://www.facebook.com/rapplerdotcom/photos/a.317154781638645/5594954703858600/</v>
      </c>
      <c r="J2271" s="1" t="str">
        <f>IFERROR(__xludf.DUMMYFUNCTION("""COMPUTED_VALUE"""),"2022-07-04T15:48:35.886Z")</f>
        <v>2022-07-04T15:48:35.886Z</v>
      </c>
      <c r="K2271" s="1"/>
    </row>
    <row r="2272">
      <c r="A2272" s="2" t="str">
        <f>IFERROR(__xludf.DUMMYFUNCTION("""COMPUTED_VALUE"""),"https://www.facebook.com/joshybanez")</f>
        <v>https://www.facebook.com/joshybanez</v>
      </c>
      <c r="B2272" s="1" t="str">
        <f>IFERROR(__xludf.DUMMYFUNCTION("""COMPUTED_VALUE"""),"Josh Ybañez")</f>
        <v>Josh Ybañez</v>
      </c>
      <c r="C2272" s="1" t="str">
        <f>IFERROR(__xludf.DUMMYFUNCTION("""COMPUTED_VALUE"""),"Josh")</f>
        <v>Josh</v>
      </c>
      <c r="D2272" s="1" t="str">
        <f>IFERROR(__xludf.DUMMYFUNCTION("""COMPUTED_VALUE"""),"Ybañez")</f>
        <v>Ybañez</v>
      </c>
      <c r="E2272" s="1" t="str">
        <f>IFERROR(__xludf.DUMMYFUNCTION("""COMPUTED_VALUE"""),"#LeniKiko2022")</f>
        <v>#LeniKiko2022</v>
      </c>
      <c r="F2272" s="1"/>
      <c r="G2272" s="1" t="str">
        <f>IFERROR(__xludf.DUMMYFUNCTION("""COMPUTED_VALUE"""),"3 mos")</f>
        <v>3 mos</v>
      </c>
      <c r="H2272" s="1" t="str">
        <f>IFERROR(__xludf.DUMMYFUNCTION("""COMPUTED_VALUE"""),"comment")</f>
        <v>comment</v>
      </c>
      <c r="I2272" s="2" t="str">
        <f>IFERROR(__xludf.DUMMYFUNCTION("""COMPUTED_VALUE"""),"https://www.facebook.com/rapplerdotcom/photos/a.317154781638645/5594954703858600/")</f>
        <v>https://www.facebook.com/rapplerdotcom/photos/a.317154781638645/5594954703858600/</v>
      </c>
      <c r="J2272" s="1" t="str">
        <f>IFERROR(__xludf.DUMMYFUNCTION("""COMPUTED_VALUE"""),"2022-07-04T15:48:35.886Z")</f>
        <v>2022-07-04T15:48:35.886Z</v>
      </c>
      <c r="K2272" s="1"/>
    </row>
    <row r="2273">
      <c r="A2273" s="2" t="str">
        <f>IFERROR(__xludf.DUMMYFUNCTION("""COMPUTED_VALUE"""),"https://www.facebook.com/dr.julius.uy")</f>
        <v>https://www.facebook.com/dr.julius.uy</v>
      </c>
      <c r="B2273" s="1" t="str">
        <f>IFERROR(__xludf.DUMMYFUNCTION("""COMPUTED_VALUE"""),"Julius Uy")</f>
        <v>Julius Uy</v>
      </c>
      <c r="C2273" s="1" t="str">
        <f>IFERROR(__xludf.DUMMYFUNCTION("""COMPUTED_VALUE"""),"Julius")</f>
        <v>Julius</v>
      </c>
      <c r="D2273" s="1" t="str">
        <f>IFERROR(__xludf.DUMMYFUNCTION("""COMPUTED_VALUE"""),"Uy")</f>
        <v>Uy</v>
      </c>
      <c r="E2273" s="1" t="str">
        <f>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2273" s="1">
        <f>IFERROR(__xludf.DUMMYFUNCTION("""COMPUTED_VALUE"""),2.0)</f>
        <v>2</v>
      </c>
      <c r="G2273" s="1" t="str">
        <f>IFERROR(__xludf.DUMMYFUNCTION("""COMPUTED_VALUE"""),"3 mos")</f>
        <v>3 mos</v>
      </c>
      <c r="H2273" s="1" t="str">
        <f>IFERROR(__xludf.DUMMYFUNCTION("""COMPUTED_VALUE"""),"comment")</f>
        <v>comment</v>
      </c>
      <c r="I2273" s="2" t="str">
        <f>IFERROR(__xludf.DUMMYFUNCTION("""COMPUTED_VALUE"""),"https://www.facebook.com/rapplerdotcom/photos/a.317154781638645/5594954703858600/")</f>
        <v>https://www.facebook.com/rapplerdotcom/photos/a.317154781638645/5594954703858600/</v>
      </c>
      <c r="J2273" s="1" t="str">
        <f>IFERROR(__xludf.DUMMYFUNCTION("""COMPUTED_VALUE"""),"2022-07-04T15:48:35.886Z")</f>
        <v>2022-07-04T15:48:35.886Z</v>
      </c>
      <c r="K2273" s="1"/>
    </row>
    <row r="2274">
      <c r="A2274" s="2" t="str">
        <f>IFERROR(__xludf.DUMMYFUNCTION("""COMPUTED_VALUE"""),"https://www.facebook.com/pepe.ledesma.7140")</f>
        <v>https://www.facebook.com/pepe.ledesma.7140</v>
      </c>
      <c r="B2274" s="1" t="str">
        <f>IFERROR(__xludf.DUMMYFUNCTION("""COMPUTED_VALUE"""),"Pepe Ledesma")</f>
        <v>Pepe Ledesma</v>
      </c>
      <c r="C2274" s="1" t="str">
        <f>IFERROR(__xludf.DUMMYFUNCTION("""COMPUTED_VALUE"""),"Pepe")</f>
        <v>Pepe</v>
      </c>
      <c r="D2274" s="1" t="str">
        <f>IFERROR(__xludf.DUMMYFUNCTION("""COMPUTED_VALUE"""),"Ledesma")</f>
        <v>Ledesma</v>
      </c>
      <c r="E2274" s="1" t="str">
        <f>IFERROR(__xludf.DUMMYFUNCTION("""COMPUTED_VALUE"""),"#GobyernongTapatAngatBuhayLahat #RosasAngKulayNgBukas #KayLeniKikoPanaloAngPilipino #BangonPilipinas #TaraIpanaloNaNa10To")</f>
        <v>#GobyernongTapatAngatBuhayLahat #RosasAngKulayNgBukas #KayLeniKikoPanaloAngPilipino #BangonPilipinas #TaraIpanaloNaNa10To</v>
      </c>
      <c r="F2274" s="1">
        <f>IFERROR(__xludf.DUMMYFUNCTION("""COMPUTED_VALUE"""),2.0)</f>
        <v>2</v>
      </c>
      <c r="G2274" s="1" t="str">
        <f>IFERROR(__xludf.DUMMYFUNCTION("""COMPUTED_VALUE"""),"3 mos")</f>
        <v>3 mos</v>
      </c>
      <c r="H2274" s="1" t="str">
        <f>IFERROR(__xludf.DUMMYFUNCTION("""COMPUTED_VALUE"""),"comment")</f>
        <v>comment</v>
      </c>
      <c r="I2274" s="2" t="str">
        <f>IFERROR(__xludf.DUMMYFUNCTION("""COMPUTED_VALUE"""),"https://www.facebook.com/rapplerdotcom/photos/a.317154781638645/5594954703858600/")</f>
        <v>https://www.facebook.com/rapplerdotcom/photos/a.317154781638645/5594954703858600/</v>
      </c>
      <c r="J2274" s="1" t="str">
        <f>IFERROR(__xludf.DUMMYFUNCTION("""COMPUTED_VALUE"""),"2022-07-04T15:48:35.886Z")</f>
        <v>2022-07-04T15:48:35.886Z</v>
      </c>
      <c r="K2274" s="1"/>
    </row>
    <row r="2275">
      <c r="A2275" s="2" t="str">
        <f>IFERROR(__xludf.DUMMYFUNCTION("""COMPUTED_VALUE"""),"https://www.facebook.com/acsaudi")</f>
        <v>https://www.facebook.com/acsaudi</v>
      </c>
      <c r="B2275" s="1" t="str">
        <f>IFERROR(__xludf.DUMMYFUNCTION("""COMPUTED_VALUE"""),"Arlene Saudi")</f>
        <v>Arlene Saudi</v>
      </c>
      <c r="C2275" s="1" t="str">
        <f>IFERROR(__xludf.DUMMYFUNCTION("""COMPUTED_VALUE"""),"Arlene")</f>
        <v>Arlene</v>
      </c>
      <c r="D2275" s="1" t="str">
        <f>IFERROR(__xludf.DUMMYFUNCTION("""COMPUTED_VALUE"""),"Saudi")</f>
        <v>Saudi</v>
      </c>
      <c r="E2275" s="1" t="str">
        <f>IFERROR(__xludf.DUMMYFUNCTION("""COMPUTED_VALUE"""),"#LeniKiko2022  #LeniKikoTeam2022  #KulayRosasAngBukas  #AngatBuhayLahatKayLeniKiko")</f>
        <v>#LeniKiko2022  #LeniKikoTeam2022  #KulayRosasAngBukas  #AngatBuhayLahatKayLeniKiko</v>
      </c>
      <c r="F2275" s="1">
        <f>IFERROR(__xludf.DUMMYFUNCTION("""COMPUTED_VALUE"""),6.0)</f>
        <v>6</v>
      </c>
      <c r="G2275" s="1" t="str">
        <f>IFERROR(__xludf.DUMMYFUNCTION("""COMPUTED_VALUE"""),"3 mos")</f>
        <v>3 mos</v>
      </c>
      <c r="H2275" s="1" t="str">
        <f>IFERROR(__xludf.DUMMYFUNCTION("""COMPUTED_VALUE"""),"comment")</f>
        <v>comment</v>
      </c>
      <c r="I2275" s="2" t="str">
        <f>IFERROR(__xludf.DUMMYFUNCTION("""COMPUTED_VALUE"""),"https://www.facebook.com/rapplerdotcom/photos/a.317154781638645/5594954703858600/")</f>
        <v>https://www.facebook.com/rapplerdotcom/photos/a.317154781638645/5594954703858600/</v>
      </c>
      <c r="J2275" s="1" t="str">
        <f>IFERROR(__xludf.DUMMYFUNCTION("""COMPUTED_VALUE"""),"2022-07-04T15:48:35.886Z")</f>
        <v>2022-07-04T15:48:35.886Z</v>
      </c>
      <c r="K2275" s="1"/>
    </row>
    <row r="2276">
      <c r="A2276" s="2" t="str">
        <f>IFERROR(__xludf.DUMMYFUNCTION("""COMPUTED_VALUE"""),"https://www.facebook.com/camilabayenyap")</f>
        <v>https://www.facebook.com/camilabayenyap</v>
      </c>
      <c r="B2276" s="1" t="str">
        <f>IFERROR(__xludf.DUMMYFUNCTION("""COMPUTED_VALUE"""),"Camille Labayen-Yap")</f>
        <v>Camille Labayen-Yap</v>
      </c>
      <c r="C2276" s="1" t="str">
        <f>IFERROR(__xludf.DUMMYFUNCTION("""COMPUTED_VALUE"""),"Camille")</f>
        <v>Camille</v>
      </c>
      <c r="D2276" s="1" t="str">
        <f>IFERROR(__xludf.DUMMYFUNCTION("""COMPUTED_VALUE"""),"Labayen-Yap")</f>
        <v>Labayen-Yap</v>
      </c>
      <c r="E2276" s="1" t="str">
        <f>IFERROR(__xludf.DUMMYFUNCTION("""COMPUTED_VALUE"""),"#LeniKiko2022  #LeniKikoTeam2022  #KulayRosasAngBukas  #AngatBuhayLahatKayLeniKiko")</f>
        <v>#LeniKiko2022  #LeniKikoTeam2022  #KulayRosasAngBukas  #AngatBuhayLahatKayLeniKiko</v>
      </c>
      <c r="F2276" s="1">
        <f>IFERROR(__xludf.DUMMYFUNCTION("""COMPUTED_VALUE"""),4.0)</f>
        <v>4</v>
      </c>
      <c r="G2276" s="1" t="str">
        <f>IFERROR(__xludf.DUMMYFUNCTION("""COMPUTED_VALUE"""),"3 mos")</f>
        <v>3 mos</v>
      </c>
      <c r="H2276" s="1" t="str">
        <f>IFERROR(__xludf.DUMMYFUNCTION("""COMPUTED_VALUE"""),"comment")</f>
        <v>comment</v>
      </c>
      <c r="I2276" s="2" t="str">
        <f>IFERROR(__xludf.DUMMYFUNCTION("""COMPUTED_VALUE"""),"https://www.facebook.com/rapplerdotcom/photos/a.317154781638645/5594954703858600/")</f>
        <v>https://www.facebook.com/rapplerdotcom/photos/a.317154781638645/5594954703858600/</v>
      </c>
      <c r="J2276" s="1" t="str">
        <f>IFERROR(__xludf.DUMMYFUNCTION("""COMPUTED_VALUE"""),"2022-07-04T15:48:35.886Z")</f>
        <v>2022-07-04T15:48:35.886Z</v>
      </c>
      <c r="K2276" s="1"/>
    </row>
    <row r="2277">
      <c r="A2277" s="2" t="str">
        <f>IFERROR(__xludf.DUMMYFUNCTION("""COMPUTED_VALUE"""),"https://www.facebook.com/johndiazcortez")</f>
        <v>https://www.facebook.com/johndiazcortez</v>
      </c>
      <c r="B2277" s="1" t="str">
        <f>IFERROR(__xludf.DUMMYFUNCTION("""COMPUTED_VALUE"""),"John Diaz Cortez")</f>
        <v>John Diaz Cortez</v>
      </c>
      <c r="C2277" s="1" t="str">
        <f>IFERROR(__xludf.DUMMYFUNCTION("""COMPUTED_VALUE"""),"John")</f>
        <v>John</v>
      </c>
      <c r="D2277" s="1" t="str">
        <f>IFERROR(__xludf.DUMMYFUNCTION("""COMPUTED_VALUE"""),"Diaz Cortez")</f>
        <v>Diaz Cortez</v>
      </c>
      <c r="E2277" s="1" t="str">
        <f>IFERROR(__xludf.DUMMYFUNCTION("""COMPUTED_VALUE"""),"#PinkRevolution  #KakamPINK #LetLeniLead #LeniKiko2022 #AngatBuhayLahat #KulayRosasAngBukas")</f>
        <v>#PinkRevolution  #KakamPINK #LetLeniLead #LeniKiko2022 #AngatBuhayLahat #KulayRosasAngBukas</v>
      </c>
      <c r="F2277" s="1">
        <f>IFERROR(__xludf.DUMMYFUNCTION("""COMPUTED_VALUE"""),17.0)</f>
        <v>17</v>
      </c>
      <c r="G2277" s="1" t="str">
        <f>IFERROR(__xludf.DUMMYFUNCTION("""COMPUTED_VALUE"""),"3 mos")</f>
        <v>3 mos</v>
      </c>
      <c r="H2277" s="1" t="str">
        <f>IFERROR(__xludf.DUMMYFUNCTION("""COMPUTED_VALUE"""),"comment")</f>
        <v>comment</v>
      </c>
      <c r="I2277" s="2" t="str">
        <f>IFERROR(__xludf.DUMMYFUNCTION("""COMPUTED_VALUE"""),"https://www.facebook.com/rapplerdotcom/photos/a.317154781638645/5594954703858600/")</f>
        <v>https://www.facebook.com/rapplerdotcom/photos/a.317154781638645/5594954703858600/</v>
      </c>
      <c r="J2277" s="1" t="str">
        <f>IFERROR(__xludf.DUMMYFUNCTION("""COMPUTED_VALUE"""),"2022-07-04T15:48:35.886Z")</f>
        <v>2022-07-04T15:48:35.886Z</v>
      </c>
      <c r="K2277" s="1"/>
    </row>
    <row r="2278">
      <c r="A2278" s="2" t="str">
        <f>IFERROR(__xludf.DUMMYFUNCTION("""COMPUTED_VALUE"""),"https://www.facebook.com/emmanuel.villarba")</f>
        <v>https://www.facebook.com/emmanuel.villarba</v>
      </c>
      <c r="B2278" s="1" t="str">
        <f>IFERROR(__xludf.DUMMYFUNCTION("""COMPUTED_VALUE"""),"Emmanuel Villarba")</f>
        <v>Emmanuel Villarba</v>
      </c>
      <c r="C2278" s="1" t="str">
        <f>IFERROR(__xludf.DUMMYFUNCTION("""COMPUTED_VALUE"""),"Emmanuel")</f>
        <v>Emmanuel</v>
      </c>
      <c r="D2278" s="1" t="str">
        <f>IFERROR(__xludf.DUMMYFUNCTION("""COMPUTED_VALUE"""),"Villarba")</f>
        <v>Villarba</v>
      </c>
      <c r="E2278" s="1" t="str">
        <f>IFERROR(__xludf.DUMMYFUNCTION("""COMPUTED_VALUE"""),"Isko, a certified Manchurian candidate na iniwan sa ere ang Manileños, better evaporate. You ca never fool all the people all the time.")</f>
        <v>Isko, a certified Manchurian candidate na iniwan sa ere ang Manileños, better evaporate. You ca never fool all the people all the time.</v>
      </c>
      <c r="F2278" s="1">
        <f>IFERROR(__xludf.DUMMYFUNCTION("""COMPUTED_VALUE"""),33.0)</f>
        <v>33</v>
      </c>
      <c r="G2278" s="1" t="str">
        <f>IFERROR(__xludf.DUMMYFUNCTION("""COMPUTED_VALUE"""),"3 mos")</f>
        <v>3 mos</v>
      </c>
      <c r="H2278" s="1" t="str">
        <f>IFERROR(__xludf.DUMMYFUNCTION("""COMPUTED_VALUE"""),"comment")</f>
        <v>comment</v>
      </c>
      <c r="I2278" s="2" t="str">
        <f>IFERROR(__xludf.DUMMYFUNCTION("""COMPUTED_VALUE"""),"https://www.facebook.com/watch/live/?ref=watch_permalink&amp;v=923735834984653")</f>
        <v>https://www.facebook.com/watch/live/?ref=watch_permalink&amp;v=923735834984653</v>
      </c>
      <c r="J2278" s="1" t="str">
        <f>IFERROR(__xludf.DUMMYFUNCTION("""COMPUTED_VALUE"""),"2022-07-04T15:49:26.533Z")</f>
        <v>2022-07-04T15:49:26.533Z</v>
      </c>
      <c r="K2278" s="1"/>
    </row>
    <row r="2279">
      <c r="A2279" s="2" t="str">
        <f>IFERROR(__xludf.DUMMYFUNCTION("""COMPUTED_VALUE"""),"https://www.facebook.com/nosgnoilaluap")</f>
        <v>https://www.facebook.com/nosgnoilaluap</v>
      </c>
      <c r="B2279" s="1" t="str">
        <f>IFERROR(__xludf.DUMMYFUNCTION("""COMPUTED_VALUE"""),"Paula Liongson")</f>
        <v>Paula Liongson</v>
      </c>
      <c r="C2279" s="1" t="str">
        <f>IFERROR(__xludf.DUMMYFUNCTION("""COMPUTED_VALUE"""),"Paula")</f>
        <v>Paula</v>
      </c>
      <c r="D2279" s="1" t="str">
        <f>IFERROR(__xludf.DUMMYFUNCTION("""COMPUTED_VALUE"""),"Liongson")</f>
        <v>Liongson</v>
      </c>
      <c r="E2279" s="1" t="str">
        <f>IFERROR(__xludf.DUMMYFUNCTION("""COMPUTED_VALUE"""),"Manchurian candidate nino? So you'd rather vote for the mastermind? Aren't they all a representative of a certain sector?")</f>
        <v>Manchurian candidate nino? So you'd rather vote for the mastermind? Aren't they all a representative of a certain sector?</v>
      </c>
      <c r="F2279" s="1">
        <f>IFERROR(__xludf.DUMMYFUNCTION("""COMPUTED_VALUE"""),1.0)</f>
        <v>1</v>
      </c>
      <c r="G2279" s="1" t="str">
        <f>IFERROR(__xludf.DUMMYFUNCTION("""COMPUTED_VALUE"""),"3 mos")</f>
        <v>3 mos</v>
      </c>
      <c r="H2279" s="1" t="str">
        <f>IFERROR(__xludf.DUMMYFUNCTION("""COMPUTED_VALUE"""),"reply")</f>
        <v>reply</v>
      </c>
      <c r="I2279" s="2" t="str">
        <f>IFERROR(__xludf.DUMMYFUNCTION("""COMPUTED_VALUE"""),"https://www.facebook.com/watch/live/?ref=watch_permalink&amp;v=923735834984653")</f>
        <v>https://www.facebook.com/watch/live/?ref=watch_permalink&amp;v=923735834984653</v>
      </c>
      <c r="J2279" s="1" t="str">
        <f>IFERROR(__xludf.DUMMYFUNCTION("""COMPUTED_VALUE"""),"2022-07-04T15:49:26.533Z")</f>
        <v>2022-07-04T15:49:26.533Z</v>
      </c>
      <c r="K2279" s="1"/>
    </row>
    <row r="2280">
      <c r="A2280" s="2" t="str">
        <f>IFERROR(__xludf.DUMMYFUNCTION("""COMPUTED_VALUE"""),"https://www.facebook.com/olive63")</f>
        <v>https://www.facebook.com/olive63</v>
      </c>
      <c r="B2280" s="1" t="str">
        <f>IFERROR(__xludf.DUMMYFUNCTION("""COMPUTED_VALUE"""),"Olivia P. Carlos")</f>
        <v>Olivia P. Carlos</v>
      </c>
      <c r="C2280" s="1" t="str">
        <f>IFERROR(__xludf.DUMMYFUNCTION("""COMPUTED_VALUE"""),"Olivia")</f>
        <v>Olivia</v>
      </c>
      <c r="D2280" s="1" t="str">
        <f>IFERROR(__xludf.DUMMYFUNCTION("""COMPUTED_VALUE"""),"P. Carlos")</f>
        <v>P. Carlos</v>
      </c>
      <c r="E2280" s="1" t="str">
        <f>IFERROR(__xludf.DUMMYFUNCTION("""COMPUTED_VALUE"""),"Emmanuel Villarba whatever u said di kami malabo ang paningin dun ka s manok mo dito kami. Bk gusto mo switch to isko ur welcome.💙💙💙☝️☝️☝️")</f>
        <v>Emmanuel Villarba whatever u said di kami malabo ang paningin dun ka s manok mo dito kami. Bk gusto mo switch to isko ur welcome.💙💙💙☝️☝️☝️</v>
      </c>
      <c r="F2280" s="1">
        <f>IFERROR(__xludf.DUMMYFUNCTION("""COMPUTED_VALUE"""),1.0)</f>
        <v>1</v>
      </c>
      <c r="G2280" s="1" t="str">
        <f>IFERROR(__xludf.DUMMYFUNCTION("""COMPUTED_VALUE"""),"3 mos")</f>
        <v>3 mos</v>
      </c>
      <c r="H2280" s="1" t="str">
        <f>IFERROR(__xludf.DUMMYFUNCTION("""COMPUTED_VALUE"""),"reply")</f>
        <v>reply</v>
      </c>
      <c r="I2280" s="2" t="str">
        <f>IFERROR(__xludf.DUMMYFUNCTION("""COMPUTED_VALUE"""),"https://www.facebook.com/watch/live/?ref=watch_permalink&amp;v=923735834984653")</f>
        <v>https://www.facebook.com/watch/live/?ref=watch_permalink&amp;v=923735834984653</v>
      </c>
      <c r="J2280" s="1" t="str">
        <f>IFERROR(__xludf.DUMMYFUNCTION("""COMPUTED_VALUE"""),"2022-07-04T15:49:26.533Z")</f>
        <v>2022-07-04T15:49:26.533Z</v>
      </c>
      <c r="K2280" s="1"/>
    </row>
    <row r="2281">
      <c r="A2281" s="2" t="str">
        <f>IFERROR(__xludf.DUMMYFUNCTION("""COMPUTED_VALUE"""),"https://www.facebook.com/julia.evangelista.18488")</f>
        <v>https://www.facebook.com/julia.evangelista.18488</v>
      </c>
      <c r="B2281" s="1" t="str">
        <f>IFERROR(__xludf.DUMMYFUNCTION("""COMPUTED_VALUE"""),"Julia Evangelista")</f>
        <v>Julia Evangelista</v>
      </c>
      <c r="C2281" s="1" t="str">
        <f>IFERROR(__xludf.DUMMYFUNCTION("""COMPUTED_VALUE"""),"Julia")</f>
        <v>Julia</v>
      </c>
      <c r="D2281" s="1" t="str">
        <f>IFERROR(__xludf.DUMMYFUNCTION("""COMPUTED_VALUE"""),"Evangelista")</f>
        <v>Evangelista</v>
      </c>
      <c r="E2281" s="1" t="str">
        <f>IFERROR(__xludf.DUMMYFUNCTION("""COMPUTED_VALUE"""),"Emmanuel Villarba Sorry but win or lose  we will support mayor Isko Moreno for president po. Godbless 💙")</f>
        <v>Emmanuel Villarba Sorry but win or lose  we will support mayor Isko Moreno for president po. Godbless 💙</v>
      </c>
      <c r="F2281" s="1">
        <f>IFERROR(__xludf.DUMMYFUNCTION("""COMPUTED_VALUE"""),8.0)</f>
        <v>8</v>
      </c>
      <c r="G2281" s="1" t="str">
        <f>IFERROR(__xludf.DUMMYFUNCTION("""COMPUTED_VALUE"""),"3 mos")</f>
        <v>3 mos</v>
      </c>
      <c r="H2281" s="1" t="str">
        <f>IFERROR(__xludf.DUMMYFUNCTION("""COMPUTED_VALUE"""),"reply")</f>
        <v>reply</v>
      </c>
      <c r="I2281" s="2" t="str">
        <f>IFERROR(__xludf.DUMMYFUNCTION("""COMPUTED_VALUE"""),"https://www.facebook.com/watch/live/?ref=watch_permalink&amp;v=923735834984653")</f>
        <v>https://www.facebook.com/watch/live/?ref=watch_permalink&amp;v=923735834984653</v>
      </c>
      <c r="J2281" s="1" t="str">
        <f>IFERROR(__xludf.DUMMYFUNCTION("""COMPUTED_VALUE"""),"2022-07-04T15:49:26.533Z")</f>
        <v>2022-07-04T15:49:26.533Z</v>
      </c>
      <c r="K2281" s="1"/>
    </row>
    <row r="2282">
      <c r="A2282" s="2" t="str">
        <f>IFERROR(__xludf.DUMMYFUNCTION("""COMPUTED_VALUE"""),"https://www.facebook.com/wahpakels.baguinang")</f>
        <v>https://www.facebook.com/wahpakels.baguinang</v>
      </c>
      <c r="B2282" s="1" t="str">
        <f>IFERROR(__xludf.DUMMYFUNCTION("""COMPUTED_VALUE"""),"Wahpakels Baguinang")</f>
        <v>Wahpakels Baguinang</v>
      </c>
      <c r="C2282" s="1" t="str">
        <f>IFERROR(__xludf.DUMMYFUNCTION("""COMPUTED_VALUE"""),"Wahpakels")</f>
        <v>Wahpakels</v>
      </c>
      <c r="D2282" s="1" t="str">
        <f>IFERROR(__xludf.DUMMYFUNCTION("""COMPUTED_VALUE"""),"Baguinang")</f>
        <v>Baguinang</v>
      </c>
      <c r="E2282" s="1" t="str">
        <f>IFERROR(__xludf.DUMMYFUNCTION("""COMPUTED_VALUE"""),"Emmanuel Villarba nd ka nmin kaylangan dto dhil wl kang ambag.")</f>
        <v>Emmanuel Villarba nd ka nmin kaylangan dto dhil wl kang ambag.</v>
      </c>
      <c r="F2282" s="1"/>
      <c r="G2282" s="1" t="str">
        <f>IFERROR(__xludf.DUMMYFUNCTION("""COMPUTED_VALUE"""),"3 mos")</f>
        <v>3 mos</v>
      </c>
      <c r="H2282" s="1" t="str">
        <f>IFERROR(__xludf.DUMMYFUNCTION("""COMPUTED_VALUE"""),"reply")</f>
        <v>reply</v>
      </c>
      <c r="I2282" s="2" t="str">
        <f>IFERROR(__xludf.DUMMYFUNCTION("""COMPUTED_VALUE"""),"https://www.facebook.com/watch/live/?ref=watch_permalink&amp;v=923735834984653")</f>
        <v>https://www.facebook.com/watch/live/?ref=watch_permalink&amp;v=923735834984653</v>
      </c>
      <c r="J2282" s="1" t="str">
        <f>IFERROR(__xludf.DUMMYFUNCTION("""COMPUTED_VALUE"""),"2022-07-04T15:49:26.533Z")</f>
        <v>2022-07-04T15:49:26.533Z</v>
      </c>
      <c r="K2282" s="1"/>
    </row>
    <row r="2283">
      <c r="A2283" s="2" t="str">
        <f>IFERROR(__xludf.DUMMYFUNCTION("""COMPUTED_VALUE"""),"https://www.facebook.com/nabinagnap.seyer")</f>
        <v>https://www.facebook.com/nabinagnap.seyer</v>
      </c>
      <c r="B2283" s="1" t="str">
        <f>IFERROR(__xludf.DUMMYFUNCTION("""COMPUTED_VALUE"""),"Lam Henrick")</f>
        <v>Lam Henrick</v>
      </c>
      <c r="C2283" s="1" t="str">
        <f>IFERROR(__xludf.DUMMYFUNCTION("""COMPUTED_VALUE"""),"Lam")</f>
        <v>Lam</v>
      </c>
      <c r="D2283" s="1" t="str">
        <f>IFERROR(__xludf.DUMMYFUNCTION("""COMPUTED_VALUE"""),"Henrick")</f>
        <v>Henrick</v>
      </c>
      <c r="E2283" s="1" t="str">
        <f>IFERROR(__xludf.DUMMYFUNCTION("""COMPUTED_VALUE"""),"Lita Soriano ka yorme binenta ang divisoria. sabi ng mga kawawang tindera sa divisoria magkakaso kami, sabi ni yorme good luck sa inyo. magaling bgyan ng jacket yan.")</f>
        <v>Lita Soriano ka yorme binenta ang divisoria. sabi ng mga kawawang tindera sa divisoria magkakaso kami, sabi ni yorme good luck sa inyo. magaling bgyan ng jacket yan.</v>
      </c>
      <c r="F2283" s="1"/>
      <c r="G2283" s="1" t="str">
        <f>IFERROR(__xludf.DUMMYFUNCTION("""COMPUTED_VALUE"""),"3 mos")</f>
        <v>3 mos</v>
      </c>
      <c r="H2283" s="1" t="str">
        <f>IFERROR(__xludf.DUMMYFUNCTION("""COMPUTED_VALUE"""),"reply")</f>
        <v>reply</v>
      </c>
      <c r="I2283" s="2" t="str">
        <f>IFERROR(__xludf.DUMMYFUNCTION("""COMPUTED_VALUE"""),"https://www.facebook.com/watch/live/?ref=watch_permalink&amp;v=923735834984653")</f>
        <v>https://www.facebook.com/watch/live/?ref=watch_permalink&amp;v=923735834984653</v>
      </c>
      <c r="J2283" s="1" t="str">
        <f>IFERROR(__xludf.DUMMYFUNCTION("""COMPUTED_VALUE"""),"2022-07-04T15:49:26.533Z")</f>
        <v>2022-07-04T15:49:26.533Z</v>
      </c>
      <c r="K2283" s="1"/>
    </row>
    <row r="2284">
      <c r="A2284" s="2" t="str">
        <f>IFERROR(__xludf.DUMMYFUNCTION("""COMPUTED_VALUE"""),"https://www.facebook.com/daphne.baula")</f>
        <v>https://www.facebook.com/daphne.baula</v>
      </c>
      <c r="B2284" s="1" t="str">
        <f>IFERROR(__xludf.DUMMYFUNCTION("""COMPUTED_VALUE"""),"Daphne Baula")</f>
        <v>Daphne Baula</v>
      </c>
      <c r="C2284" s="1" t="str">
        <f>IFERROR(__xludf.DUMMYFUNCTION("""COMPUTED_VALUE"""),"Daphne")</f>
        <v>Daphne</v>
      </c>
      <c r="D2284" s="1" t="str">
        <f>IFERROR(__xludf.DUMMYFUNCTION("""COMPUTED_VALUE"""),"Baula")</f>
        <v>Baula</v>
      </c>
      <c r="E2284" s="1" t="str">
        <f>IFERROR(__xludf.DUMMYFUNCTION("""COMPUTED_VALUE"""),"Emmanuel Villarba  basher  d na papatulan untog na ulo 😂😂😂😂😂")</f>
        <v>Emmanuel Villarba  basher  d na papatulan untog na ulo 😂😂😂😂😂</v>
      </c>
      <c r="F2284" s="1">
        <f>IFERROR(__xludf.DUMMYFUNCTION("""COMPUTED_VALUE"""),1.0)</f>
        <v>1</v>
      </c>
      <c r="G2284" s="1" t="str">
        <f>IFERROR(__xludf.DUMMYFUNCTION("""COMPUTED_VALUE"""),"3 mos")</f>
        <v>3 mos</v>
      </c>
      <c r="H2284" s="1" t="str">
        <f>IFERROR(__xludf.DUMMYFUNCTION("""COMPUTED_VALUE"""),"reply")</f>
        <v>reply</v>
      </c>
      <c r="I2284" s="2" t="str">
        <f>IFERROR(__xludf.DUMMYFUNCTION("""COMPUTED_VALUE"""),"https://www.facebook.com/watch/live/?ref=watch_permalink&amp;v=923735834984653")</f>
        <v>https://www.facebook.com/watch/live/?ref=watch_permalink&amp;v=923735834984653</v>
      </c>
      <c r="J2284" s="1" t="str">
        <f>IFERROR(__xludf.DUMMYFUNCTION("""COMPUTED_VALUE"""),"2022-07-04T15:49:26.533Z")</f>
        <v>2022-07-04T15:49:26.533Z</v>
      </c>
      <c r="K2284" s="1"/>
    </row>
    <row r="2285">
      <c r="A2285" s="2" t="str">
        <f>IFERROR(__xludf.DUMMYFUNCTION("""COMPUTED_VALUE"""),"https://www.facebook.com/tess.reyes.58958")</f>
        <v>https://www.facebook.com/tess.reyes.58958</v>
      </c>
      <c r="B2285" s="1" t="str">
        <f>IFERROR(__xludf.DUMMYFUNCTION("""COMPUTED_VALUE"""),"Tess Reyes")</f>
        <v>Tess Reyes</v>
      </c>
      <c r="C2285" s="1" t="str">
        <f>IFERROR(__xludf.DUMMYFUNCTION("""COMPUTED_VALUE"""),"Tess")</f>
        <v>Tess</v>
      </c>
      <c r="D2285" s="1" t="str">
        <f>IFERROR(__xludf.DUMMYFUNCTION("""COMPUTED_VALUE"""),"Reyes")</f>
        <v>Reyes</v>
      </c>
      <c r="E2285" s="1" t="str">
        <f>IFERROR(__xludf.DUMMYFUNCTION("""COMPUTED_VALUE"""),"Emmanuel Villarba Opinyon ng mkitid ang utak, qung ayw mo s knya maupo kn lng at d yong marami kp  cnsabi. The way to talk alm n qung cno ang gusto.mo at nirerespeto nmin yon. Sna alm mo ang slitang RESPETO.")</f>
        <v>Emmanuel Villarba Opinyon ng mkitid ang utak, qung ayw mo s knya maupo kn lng at d yong marami kp  cnsabi. The way to talk alm n qung cno ang gusto.mo at nirerespeto nmin yon. Sna alm mo ang slitang RESPETO.</v>
      </c>
      <c r="F2285" s="1">
        <f>IFERROR(__xludf.DUMMYFUNCTION("""COMPUTED_VALUE"""),3.0)</f>
        <v>3</v>
      </c>
      <c r="G2285" s="1" t="str">
        <f>IFERROR(__xludf.DUMMYFUNCTION("""COMPUTED_VALUE"""),"3 mos")</f>
        <v>3 mos</v>
      </c>
      <c r="H2285" s="1" t="str">
        <f>IFERROR(__xludf.DUMMYFUNCTION("""COMPUTED_VALUE"""),"reply")</f>
        <v>reply</v>
      </c>
      <c r="I2285" s="2" t="str">
        <f>IFERROR(__xludf.DUMMYFUNCTION("""COMPUTED_VALUE"""),"https://www.facebook.com/watch/live/?ref=watch_permalink&amp;v=923735834984653")</f>
        <v>https://www.facebook.com/watch/live/?ref=watch_permalink&amp;v=923735834984653</v>
      </c>
      <c r="J2285" s="1" t="str">
        <f>IFERROR(__xludf.DUMMYFUNCTION("""COMPUTED_VALUE"""),"2022-07-04T15:49:26.533Z")</f>
        <v>2022-07-04T15:49:26.533Z</v>
      </c>
      <c r="K2285" s="1"/>
    </row>
    <row r="2286">
      <c r="A2286" s="2" t="str">
        <f>IFERROR(__xludf.DUMMYFUNCTION("""COMPUTED_VALUE"""),"https://www.facebook.com/menchie.delrosario")</f>
        <v>https://www.facebook.com/menchie.delrosario</v>
      </c>
      <c r="B2286" s="1" t="str">
        <f>IFERROR(__xludf.DUMMYFUNCTION("""COMPUTED_VALUE"""),"Cuttie Chinny")</f>
        <v>Cuttie Chinny</v>
      </c>
      <c r="C2286" s="1" t="str">
        <f>IFERROR(__xludf.DUMMYFUNCTION("""COMPUTED_VALUE"""),"Cuttie")</f>
        <v>Cuttie</v>
      </c>
      <c r="D2286" s="1" t="str">
        <f>IFERROR(__xludf.DUMMYFUNCTION("""COMPUTED_VALUE"""),"Chinny")</f>
        <v>Chinny</v>
      </c>
      <c r="E2286" s="1" t="str">
        <f>IFERROR(__xludf.DUMMYFUNCTION("""COMPUTED_VALUE"""),"Lita Soriano d nila naiisip yan kasi wla sila nun..kung may mga isip yan hindi sila boboto ng unithieves...realtalk lng...")</f>
        <v>Lita Soriano d nila naiisip yan kasi wla sila nun..kung may mga isip yan hindi sila boboto ng unithieves...realtalk lng...</v>
      </c>
      <c r="F2286" s="1">
        <f>IFERROR(__xludf.DUMMYFUNCTION("""COMPUTED_VALUE"""),2.0)</f>
        <v>2</v>
      </c>
      <c r="G2286" s="1" t="str">
        <f>IFERROR(__xludf.DUMMYFUNCTION("""COMPUTED_VALUE"""),"3 mos")</f>
        <v>3 mos</v>
      </c>
      <c r="H2286" s="1" t="str">
        <f>IFERROR(__xludf.DUMMYFUNCTION("""COMPUTED_VALUE"""),"reply")</f>
        <v>reply</v>
      </c>
      <c r="I2286" s="2" t="str">
        <f>IFERROR(__xludf.DUMMYFUNCTION("""COMPUTED_VALUE"""),"https://www.facebook.com/watch/live/?ref=watch_permalink&amp;v=923735834984653")</f>
        <v>https://www.facebook.com/watch/live/?ref=watch_permalink&amp;v=923735834984653</v>
      </c>
      <c r="J2286" s="1" t="str">
        <f>IFERROR(__xludf.DUMMYFUNCTION("""COMPUTED_VALUE"""),"2022-07-04T15:49:26.533Z")</f>
        <v>2022-07-04T15:49:26.533Z</v>
      </c>
      <c r="K2286" s="1"/>
    </row>
    <row r="2287">
      <c r="A2287" s="2" t="str">
        <f>IFERROR(__xludf.DUMMYFUNCTION("""COMPUTED_VALUE"""),"https://www.facebook.com/menchie.delrosario")</f>
        <v>https://www.facebook.com/menchie.delrosario</v>
      </c>
      <c r="B2287" s="1" t="str">
        <f>IFERROR(__xludf.DUMMYFUNCTION("""COMPUTED_VALUE"""),"Cuttie Chinny")</f>
        <v>Cuttie Chinny</v>
      </c>
      <c r="C2287" s="1" t="str">
        <f>IFERROR(__xludf.DUMMYFUNCTION("""COMPUTED_VALUE"""),"Cuttie")</f>
        <v>Cuttie</v>
      </c>
      <c r="D2287" s="1" t="str">
        <f>IFERROR(__xludf.DUMMYFUNCTION("""COMPUTED_VALUE"""),"Chinny")</f>
        <v>Chinny</v>
      </c>
      <c r="E2287" s="1" t="str">
        <f>IFERROR(__xludf.DUMMYFUNCTION("""COMPUTED_VALUE"""),"Lam Henrick ililipat po ung mga vendors s maayos na pwesto..ayaw nyong malinis ang divi? Isa pa daanan ng tao un mga motorista mga gumagamit ng vehicles...ung divisoria mall nmn irerenovate palalakihin private po un mas maraming vendors makakakuha ng pwes"&amp;"to dun nasa maayos na lugar p sila diba...kumita pa maynila mas maraming manilenyo makikinabangan hindi lng ng iilan..sana naiintndhan nyo..hndi lng dahil inudyukan k ng kalaban...")</f>
        <v>Lam Henrick ililipat po ung mga vendors s maayos na pwesto..ayaw nyong malinis ang divi? Isa pa daanan ng tao un mga motorista mga gumagamit ng vehicles...ung divisoria mall nmn irerenovate palalakihin private po un mas maraming vendors makakakuha ng pwesto dun nasa maayos na lugar p sila diba...kumita pa maynila mas maraming manilenyo makikinabangan hindi lng ng iilan..sana naiintndhan nyo..hndi lng dahil inudyukan k ng kalaban...</v>
      </c>
      <c r="F2287" s="1">
        <f>IFERROR(__xludf.DUMMYFUNCTION("""COMPUTED_VALUE"""),11.0)</f>
        <v>11</v>
      </c>
      <c r="G2287" s="1" t="str">
        <f>IFERROR(__xludf.DUMMYFUNCTION("""COMPUTED_VALUE"""),"3 mos")</f>
        <v>3 mos</v>
      </c>
      <c r="H2287" s="1" t="str">
        <f>IFERROR(__xludf.DUMMYFUNCTION("""COMPUTED_VALUE"""),"reply")</f>
        <v>reply</v>
      </c>
      <c r="I2287" s="2" t="str">
        <f>IFERROR(__xludf.DUMMYFUNCTION("""COMPUTED_VALUE"""),"https://www.facebook.com/watch/live/?ref=watch_permalink&amp;v=923735834984653")</f>
        <v>https://www.facebook.com/watch/live/?ref=watch_permalink&amp;v=923735834984653</v>
      </c>
      <c r="J2287" s="1" t="str">
        <f>IFERROR(__xludf.DUMMYFUNCTION("""COMPUTED_VALUE"""),"2022-07-04T15:49:26.533Z")</f>
        <v>2022-07-04T15:49:26.533Z</v>
      </c>
      <c r="K2287" s="1"/>
    </row>
    <row r="2288">
      <c r="A2288" s="2" t="str">
        <f>IFERROR(__xludf.DUMMYFUNCTION("""COMPUTED_VALUE"""),"https://www.facebook.com/menchie.delrosario")</f>
        <v>https://www.facebook.com/menchie.delrosario</v>
      </c>
      <c r="B2288" s="1" t="str">
        <f>IFERROR(__xludf.DUMMYFUNCTION("""COMPUTED_VALUE"""),"Cuttie Chinny")</f>
        <v>Cuttie Chinny</v>
      </c>
      <c r="C2288" s="1" t="str">
        <f>IFERROR(__xludf.DUMMYFUNCTION("""COMPUTED_VALUE"""),"Cuttie")</f>
        <v>Cuttie</v>
      </c>
      <c r="D2288" s="1" t="str">
        <f>IFERROR(__xludf.DUMMYFUNCTION("""COMPUTED_VALUE"""),"Chinny")</f>
        <v>Chinny</v>
      </c>
      <c r="E2288" s="1" t="str">
        <f>IFERROR(__xludf.DUMMYFUNCTION("""COMPUTED_VALUE"""),"Julia Evangelista yes...we support all the way...d kawalan ni yorme pag natalo siya kung hindi kawalan nating mga mahihirap...dahil s knya sana giginhawa buhay natin, ung pag nagkasakit ka iisipin mo pampagamot..kay yorme libre na, ung iisipin ng mga nagp"&amp;"apakahirap kumita may maiuwi lng n malaking pera para s pamilya, kay yorme matutulungan tayo mas mababang krudo mas malaki maiuuwi s pamilya...more jobs, livelihood and health...")</f>
        <v>Julia Evangelista yes...we support all the way...d kawalan ni yorme pag natalo siya kung hindi kawalan nating mga mahihirap...dahil s knya sana giginhawa buhay natin, ung pag nagkasakit ka iisipin mo pampagamot..kay yorme libre na, ung iisipin ng mga nagpapakahirap kumita may maiuwi lng n malaking pera para s pamilya, kay yorme matutulungan tayo mas mababang krudo mas malaki maiuuwi s pamilya...more jobs, livelihood and health...</v>
      </c>
      <c r="F2288" s="1">
        <f>IFERROR(__xludf.DUMMYFUNCTION("""COMPUTED_VALUE"""),8.0)</f>
        <v>8</v>
      </c>
      <c r="G2288" s="1" t="str">
        <f>IFERROR(__xludf.DUMMYFUNCTION("""COMPUTED_VALUE"""),"3 mos")</f>
        <v>3 mos</v>
      </c>
      <c r="H2288" s="1" t="str">
        <f>IFERROR(__xludf.DUMMYFUNCTION("""COMPUTED_VALUE"""),"reply")</f>
        <v>reply</v>
      </c>
      <c r="I2288" s="2" t="str">
        <f>IFERROR(__xludf.DUMMYFUNCTION("""COMPUTED_VALUE"""),"https://www.facebook.com/watch/live/?ref=watch_permalink&amp;v=923735834984653")</f>
        <v>https://www.facebook.com/watch/live/?ref=watch_permalink&amp;v=923735834984653</v>
      </c>
      <c r="J2288" s="1" t="str">
        <f>IFERROR(__xludf.DUMMYFUNCTION("""COMPUTED_VALUE"""),"2022-07-04T15:49:26.533Z")</f>
        <v>2022-07-04T15:49:26.533Z</v>
      </c>
      <c r="K2288" s="1"/>
    </row>
    <row r="2289">
      <c r="A2289" s="2" t="str">
        <f>IFERROR(__xludf.DUMMYFUNCTION("""COMPUTED_VALUE"""),"https://www.facebook.com/marie.diot1")</f>
        <v>https://www.facebook.com/marie.diot1</v>
      </c>
      <c r="B2289" s="1" t="str">
        <f>IFERROR(__xludf.DUMMYFUNCTION("""COMPUTED_VALUE"""),"Marie Sischo")</f>
        <v>Marie Sischo</v>
      </c>
      <c r="C2289" s="1" t="str">
        <f>IFERROR(__xludf.DUMMYFUNCTION("""COMPUTED_VALUE"""),"Marie")</f>
        <v>Marie</v>
      </c>
      <c r="D2289" s="1" t="str">
        <f>IFERROR(__xludf.DUMMYFUNCTION("""COMPUTED_VALUE"""),"Sischo")</f>
        <v>Sischo</v>
      </c>
      <c r="E2289" s="1" t="str">
        <f>IFERROR(__xludf.DUMMYFUNCTION("""COMPUTED_VALUE"""),"Jocelyn Retuerma uu nga haist...😢")</f>
        <v>Jocelyn Retuerma uu nga haist...😢</v>
      </c>
      <c r="F2289" s="1">
        <f>IFERROR(__xludf.DUMMYFUNCTION("""COMPUTED_VALUE"""),1.0)</f>
        <v>1</v>
      </c>
      <c r="G2289" s="1" t="str">
        <f>IFERROR(__xludf.DUMMYFUNCTION("""COMPUTED_VALUE"""),"3 mos")</f>
        <v>3 mos</v>
      </c>
      <c r="H2289" s="1" t="str">
        <f>IFERROR(__xludf.DUMMYFUNCTION("""COMPUTED_VALUE"""),"reply")</f>
        <v>reply</v>
      </c>
      <c r="I2289" s="2" t="str">
        <f>IFERROR(__xludf.DUMMYFUNCTION("""COMPUTED_VALUE"""),"https://www.facebook.com/watch/live/?ref=watch_permalink&amp;v=923735834984653")</f>
        <v>https://www.facebook.com/watch/live/?ref=watch_permalink&amp;v=923735834984653</v>
      </c>
      <c r="J2289" s="1" t="str">
        <f>IFERROR(__xludf.DUMMYFUNCTION("""COMPUTED_VALUE"""),"2022-07-04T15:49:26.533Z")</f>
        <v>2022-07-04T15:49:26.533Z</v>
      </c>
      <c r="K2289" s="1"/>
    </row>
    <row r="2290">
      <c r="A2290" s="2" t="str">
        <f>IFERROR(__xludf.DUMMYFUNCTION("""COMPUTED_VALUE"""),"https://www.facebook.com/profile.php?id=100015856993797")</f>
        <v>https://www.facebook.com/profile.php?id=100015856993797</v>
      </c>
      <c r="B2290" s="1" t="str">
        <f>IFERROR(__xludf.DUMMYFUNCTION("""COMPUTED_VALUE"""),"Dominador C Dumaraos Jr.")</f>
        <v>Dominador C Dumaraos Jr.</v>
      </c>
      <c r="C2290" s="1" t="str">
        <f>IFERROR(__xludf.DUMMYFUNCTION("""COMPUTED_VALUE"""),"Dominador")</f>
        <v>Dominador</v>
      </c>
      <c r="D2290" s="1" t="str">
        <f>IFERROR(__xludf.DUMMYFUNCTION("""COMPUTED_VALUE"""),"C Dumaraos Jr.")</f>
        <v>C Dumaraos Jr.</v>
      </c>
      <c r="E2290" s="1" t="str">
        <f>IFERROR(__xludf.DUMMYFUNCTION("""COMPUTED_VALUE"""),"Emmanuel Villarba  ILLOGICAL PO. di ba po pag nanalo siya,,, pres po siya ng Pilipinas????? kASAMA ang maynila???? Mukhang di mo po napagisipan mabuti bro. Good luck po")</f>
        <v>Emmanuel Villarba  ILLOGICAL PO. di ba po pag nanalo siya,,, pres po siya ng Pilipinas????? kASAMA ang maynila???? Mukhang di mo po napagisipan mabuti bro. Good luck po</v>
      </c>
      <c r="F2290" s="1">
        <f>IFERROR(__xludf.DUMMYFUNCTION("""COMPUTED_VALUE"""),3.0)</f>
        <v>3</v>
      </c>
      <c r="G2290" s="1" t="str">
        <f>IFERROR(__xludf.DUMMYFUNCTION("""COMPUTED_VALUE"""),"3 mos")</f>
        <v>3 mos</v>
      </c>
      <c r="H2290" s="1" t="str">
        <f>IFERROR(__xludf.DUMMYFUNCTION("""COMPUTED_VALUE"""),"reply")</f>
        <v>reply</v>
      </c>
      <c r="I2290" s="2" t="str">
        <f>IFERROR(__xludf.DUMMYFUNCTION("""COMPUTED_VALUE"""),"https://www.facebook.com/watch/live/?ref=watch_permalink&amp;v=923735834984653")</f>
        <v>https://www.facebook.com/watch/live/?ref=watch_permalink&amp;v=923735834984653</v>
      </c>
      <c r="J2290" s="1" t="str">
        <f>IFERROR(__xludf.DUMMYFUNCTION("""COMPUTED_VALUE"""),"2022-07-04T15:49:26.534Z")</f>
        <v>2022-07-04T15:49:26.534Z</v>
      </c>
      <c r="K2290" s="1"/>
    </row>
    <row r="2291">
      <c r="A2291" s="2" t="str">
        <f>IFERROR(__xludf.DUMMYFUNCTION("""COMPUTED_VALUE"""),"https://www.facebook.com/tisay.quevedo")</f>
        <v>https://www.facebook.com/tisay.quevedo</v>
      </c>
      <c r="B2291" s="1" t="str">
        <f>IFERROR(__xludf.DUMMYFUNCTION("""COMPUTED_VALUE"""),"Imee R. Quevedo")</f>
        <v>Imee R. Quevedo</v>
      </c>
      <c r="C2291" s="1" t="str">
        <f>IFERROR(__xludf.DUMMYFUNCTION("""COMPUTED_VALUE"""),"Imee")</f>
        <v>Imee</v>
      </c>
      <c r="D2291" s="1" t="str">
        <f>IFERROR(__xludf.DUMMYFUNCTION("""COMPUTED_VALUE"""),"R. Quevedo")</f>
        <v>R. Quevedo</v>
      </c>
      <c r="E2291" s="1" t="str">
        <f>IFERROR(__xludf.DUMMYFUNCTION("""COMPUTED_VALUE"""),"what?")</f>
        <v>what?</v>
      </c>
      <c r="F2291" s="1"/>
      <c r="G2291" s="1" t="str">
        <f>IFERROR(__xludf.DUMMYFUNCTION("""COMPUTED_VALUE"""),"3 mos")</f>
        <v>3 mos</v>
      </c>
      <c r="H2291" s="1" t="str">
        <f>IFERROR(__xludf.DUMMYFUNCTION("""COMPUTED_VALUE"""),"reply")</f>
        <v>reply</v>
      </c>
      <c r="I2291" s="2" t="str">
        <f>IFERROR(__xludf.DUMMYFUNCTION("""COMPUTED_VALUE"""),"https://www.facebook.com/watch/live/?ref=watch_permalink&amp;v=923735834984653")</f>
        <v>https://www.facebook.com/watch/live/?ref=watch_permalink&amp;v=923735834984653</v>
      </c>
      <c r="J2291" s="1" t="str">
        <f>IFERROR(__xludf.DUMMYFUNCTION("""COMPUTED_VALUE"""),"2022-07-04T15:49:26.534Z")</f>
        <v>2022-07-04T15:49:26.534Z</v>
      </c>
      <c r="K2291" s="1"/>
    </row>
    <row r="2292">
      <c r="A2292" s="2" t="str">
        <f>IFERROR(__xludf.DUMMYFUNCTION("""COMPUTED_VALUE"""),"https://www.facebook.com/gloria.adams.948")</f>
        <v>https://www.facebook.com/gloria.adams.948</v>
      </c>
      <c r="B2292" s="1" t="str">
        <f>IFERROR(__xludf.DUMMYFUNCTION("""COMPUTED_VALUE"""),"Gloria Adams")</f>
        <v>Gloria Adams</v>
      </c>
      <c r="C2292" s="1" t="str">
        <f>IFERROR(__xludf.DUMMYFUNCTION("""COMPUTED_VALUE"""),"Gloria")</f>
        <v>Gloria</v>
      </c>
      <c r="D2292" s="1" t="str">
        <f>IFERROR(__xludf.DUMMYFUNCTION("""COMPUTED_VALUE"""),"Adams")</f>
        <v>Adams</v>
      </c>
      <c r="E2292" s="1" t="str">
        <f>IFERROR(__xludf.DUMMYFUNCTION("""COMPUTED_VALUE"""),"Emmanuel Villarba  WOW KUYA KAILAN KA PA IPINANGANAK? KAHIT KAILAN HINDI INIWAN NI ISKO ANG MANILA. SA KATUNAYAN YAN TATAWID LANG SYA AT ANG MALACANANG AY NASA LOOB DIN NG MANILA.. YUNG MGA PANGAKO NYA SA MANILENYO NG 10 YEARS PROJECTS  NAGAWA NYA PO  SA "&amp;"LOOB LANG NG HALOS 3 YEARS. ACCOMPLISHED AT MAY MGA BONUS PA...MAY RESIBO PO YAN AT HINDI MAIPAG KAKAILA SA MADLANG PEOPLE...REAL TALK LANG PO TAYO....#BILISKILOS  #GODFIRST #ISKOMORENODOMAGOSO")</f>
        <v>Emmanuel Villarba  WOW KUYA KAILAN KA PA IPINANGANAK? KAHIT KAILAN HINDI INIWAN NI ISKO ANG MANILA. SA KATUNAYAN YAN TATAWID LANG SYA AT ANG MALACANANG AY NASA LOOB DIN NG MANILA.. YUNG MGA PANGAKO NYA SA MANILENYO NG 10 YEARS PROJECTS  NAGAWA NYA PO  SA LOOB LANG NG HALOS 3 YEARS. ACCOMPLISHED AT MAY MGA BONUS PA...MAY RESIBO PO YAN AT HINDI MAIPAG KAKAILA SA MADLANG PEOPLE...REAL TALK LANG PO TAYO....#BILISKILOS  #GODFIRST #ISKOMORENODOMAGOSO</v>
      </c>
      <c r="F2292" s="1">
        <f>IFERROR(__xludf.DUMMYFUNCTION("""COMPUTED_VALUE"""),6.0)</f>
        <v>6</v>
      </c>
      <c r="G2292" s="1" t="str">
        <f>IFERROR(__xludf.DUMMYFUNCTION("""COMPUTED_VALUE"""),"3 mos")</f>
        <v>3 mos</v>
      </c>
      <c r="H2292" s="1" t="str">
        <f>IFERROR(__xludf.DUMMYFUNCTION("""COMPUTED_VALUE"""),"reply")</f>
        <v>reply</v>
      </c>
      <c r="I2292" s="2" t="str">
        <f>IFERROR(__xludf.DUMMYFUNCTION("""COMPUTED_VALUE"""),"https://www.facebook.com/watch/live/?ref=watch_permalink&amp;v=923735834984653")</f>
        <v>https://www.facebook.com/watch/live/?ref=watch_permalink&amp;v=923735834984653</v>
      </c>
      <c r="J2292" s="1" t="str">
        <f>IFERROR(__xludf.DUMMYFUNCTION("""COMPUTED_VALUE"""),"2022-07-04T15:49:26.534Z")</f>
        <v>2022-07-04T15:49:26.534Z</v>
      </c>
      <c r="K2292" s="1"/>
    </row>
    <row r="2293">
      <c r="A2293" s="2" t="str">
        <f>IFERROR(__xludf.DUMMYFUNCTION("""COMPUTED_VALUE"""),"https://www.facebook.com/ariane.alejado.5")</f>
        <v>https://www.facebook.com/ariane.alejado.5</v>
      </c>
      <c r="B2293" s="1" t="str">
        <f>IFERROR(__xludf.DUMMYFUNCTION("""COMPUTED_VALUE"""),"Mari Tes")</f>
        <v>Mari Tes</v>
      </c>
      <c r="C2293" s="1" t="str">
        <f>IFERROR(__xludf.DUMMYFUNCTION("""COMPUTED_VALUE"""),"Mari")</f>
        <v>Mari</v>
      </c>
      <c r="D2293" s="1" t="str">
        <f>IFERROR(__xludf.DUMMYFUNCTION("""COMPUTED_VALUE"""),"Tes")</f>
        <v>Tes</v>
      </c>
      <c r="E2293" s="1" t="str">
        <f>IFERROR(__xludf.DUMMYFUNCTION("""COMPUTED_VALUE"""),"Emmanuel Villarba haha sorry kuya solid IskoDock po kmi☝️💙")</f>
        <v>Emmanuel Villarba haha sorry kuya solid IskoDock po kmi☝️💙</v>
      </c>
      <c r="F2293" s="1">
        <f>IFERROR(__xludf.DUMMYFUNCTION("""COMPUTED_VALUE"""),1.0)</f>
        <v>1</v>
      </c>
      <c r="G2293" s="1" t="str">
        <f>IFERROR(__xludf.DUMMYFUNCTION("""COMPUTED_VALUE"""),"3 mos")</f>
        <v>3 mos</v>
      </c>
      <c r="H2293" s="1" t="str">
        <f>IFERROR(__xludf.DUMMYFUNCTION("""COMPUTED_VALUE"""),"reply")</f>
        <v>reply</v>
      </c>
      <c r="I2293" s="2" t="str">
        <f>IFERROR(__xludf.DUMMYFUNCTION("""COMPUTED_VALUE"""),"https://www.facebook.com/watch/live/?ref=watch_permalink&amp;v=923735834984653")</f>
        <v>https://www.facebook.com/watch/live/?ref=watch_permalink&amp;v=923735834984653</v>
      </c>
      <c r="J2293" s="1" t="str">
        <f>IFERROR(__xludf.DUMMYFUNCTION("""COMPUTED_VALUE"""),"2022-07-04T15:49:26.534Z")</f>
        <v>2022-07-04T15:49:26.534Z</v>
      </c>
      <c r="K2293" s="1"/>
    </row>
    <row r="2294">
      <c r="A2294" s="2" t="str">
        <f>IFERROR(__xludf.DUMMYFUNCTION("""COMPUTED_VALUE"""),"https://www.facebook.com/crispina.pin.35")</f>
        <v>https://www.facebook.com/crispina.pin.35</v>
      </c>
      <c r="B2294" s="1" t="str">
        <f>IFERROR(__xludf.DUMMYFUNCTION("""COMPUTED_VALUE"""),"Pin G. Baniqued")</f>
        <v>Pin G. Baniqued</v>
      </c>
      <c r="C2294" s="1" t="str">
        <f>IFERROR(__xludf.DUMMYFUNCTION("""COMPUTED_VALUE"""),"Pin")</f>
        <v>Pin</v>
      </c>
      <c r="D2294" s="1" t="str">
        <f>IFERROR(__xludf.DUMMYFUNCTION("""COMPUTED_VALUE"""),"G. Baniqued")</f>
        <v>G. Baniqued</v>
      </c>
      <c r="E2294" s="1" t="str">
        <f>IFERROR(__xludf.DUMMYFUNCTION("""COMPUTED_VALUE"""),"Lam Henrick san ang kaso? Nakita nyo na ba divisoria ngayon? Masama loob nong mga nawAlan ng kotong.")</f>
        <v>Lam Henrick san ang kaso? Nakita nyo na ba divisoria ngayon? Masama loob nong mga nawAlan ng kotong.</v>
      </c>
      <c r="F2294" s="1">
        <f>IFERROR(__xludf.DUMMYFUNCTION("""COMPUTED_VALUE"""),1.0)</f>
        <v>1</v>
      </c>
      <c r="G2294" s="1" t="str">
        <f>IFERROR(__xludf.DUMMYFUNCTION("""COMPUTED_VALUE"""),"3 mos")</f>
        <v>3 mos</v>
      </c>
      <c r="H2294" s="1" t="str">
        <f>IFERROR(__xludf.DUMMYFUNCTION("""COMPUTED_VALUE"""),"reply")</f>
        <v>reply</v>
      </c>
      <c r="I2294" s="2" t="str">
        <f>IFERROR(__xludf.DUMMYFUNCTION("""COMPUTED_VALUE"""),"https://www.facebook.com/watch/live/?ref=watch_permalink&amp;v=923735834984653")</f>
        <v>https://www.facebook.com/watch/live/?ref=watch_permalink&amp;v=923735834984653</v>
      </c>
      <c r="J2294" s="1" t="str">
        <f>IFERROR(__xludf.DUMMYFUNCTION("""COMPUTED_VALUE"""),"2022-07-04T15:49:26.534Z")</f>
        <v>2022-07-04T15:49:26.534Z</v>
      </c>
      <c r="K2294" s="1"/>
    </row>
    <row r="2295">
      <c r="A2295" s="2" t="str">
        <f>IFERROR(__xludf.DUMMYFUNCTION("""COMPUTED_VALUE"""),"https://www.facebook.com/crispina.pin.35")</f>
        <v>https://www.facebook.com/crispina.pin.35</v>
      </c>
      <c r="B2295" s="1" t="str">
        <f>IFERROR(__xludf.DUMMYFUNCTION("""COMPUTED_VALUE"""),"Pin G. Baniqued")</f>
        <v>Pin G. Baniqued</v>
      </c>
      <c r="C2295" s="1" t="str">
        <f>IFERROR(__xludf.DUMMYFUNCTION("""COMPUTED_VALUE"""),"Pin")</f>
        <v>Pin</v>
      </c>
      <c r="D2295" s="1" t="str">
        <f>IFERROR(__xludf.DUMMYFUNCTION("""COMPUTED_VALUE"""),"G. Baniqued")</f>
        <v>G. Baniqued</v>
      </c>
      <c r="E2295" s="1" t="str">
        <f>IFERROR(__xludf.DUMMYFUNCTION("""COMPUTED_VALUE"""),"Emmanuel Villarba paano mong sinabi na iniwan sa ere? Jusco makapang husga lng.... Wagas... Hindi nagutom ang Manilenyo habang pandemic.. May allowance mga estudyante... Mabilis na ngbakuna... Ilang libong pabahay napagawa... Sariling pera nya binigay sa "&amp;"nangangailangan...")</f>
        <v>Emmanuel Villarba paano mong sinabi na iniwan sa ere? Jusco makapang husga lng.... Wagas... Hindi nagutom ang Manilenyo habang pandemic.. May allowance mga estudyante... Mabilis na ngbakuna... Ilang libong pabahay napagawa... Sariling pera nya binigay sa nangangailangan...</v>
      </c>
      <c r="F2295" s="1">
        <f>IFERROR(__xludf.DUMMYFUNCTION("""COMPUTED_VALUE"""),4.0)</f>
        <v>4</v>
      </c>
      <c r="G2295" s="1" t="str">
        <f>IFERROR(__xludf.DUMMYFUNCTION("""COMPUTED_VALUE"""),"3 mos")</f>
        <v>3 mos</v>
      </c>
      <c r="H2295" s="1" t="str">
        <f>IFERROR(__xludf.DUMMYFUNCTION("""COMPUTED_VALUE"""),"reply")</f>
        <v>reply</v>
      </c>
      <c r="I2295" s="2" t="str">
        <f>IFERROR(__xludf.DUMMYFUNCTION("""COMPUTED_VALUE"""),"https://www.facebook.com/watch/live/?ref=watch_permalink&amp;v=923735834984653")</f>
        <v>https://www.facebook.com/watch/live/?ref=watch_permalink&amp;v=923735834984653</v>
      </c>
      <c r="J2295" s="1" t="str">
        <f>IFERROR(__xludf.DUMMYFUNCTION("""COMPUTED_VALUE"""),"2022-07-04T15:49:26.534Z")</f>
        <v>2022-07-04T15:49:26.534Z</v>
      </c>
      <c r="K2295" s="1"/>
    </row>
    <row r="2296">
      <c r="A2296" s="2" t="str">
        <f>IFERROR(__xludf.DUMMYFUNCTION("""COMPUTED_VALUE"""),"https://www.facebook.com/ram.bagsic")</f>
        <v>https://www.facebook.com/ram.bagsic</v>
      </c>
      <c r="B2296" s="1" t="str">
        <f>IFERROR(__xludf.DUMMYFUNCTION("""COMPUTED_VALUE"""),"Ram Bagsic")</f>
        <v>Ram Bagsic</v>
      </c>
      <c r="C2296" s="1" t="str">
        <f>IFERROR(__xludf.DUMMYFUNCTION("""COMPUTED_VALUE"""),"Ram")</f>
        <v>Ram</v>
      </c>
      <c r="D2296" s="1" t="str">
        <f>IFERROR(__xludf.DUMMYFUNCTION("""COMPUTED_VALUE"""),"Bagsic")</f>
        <v>Bagsic</v>
      </c>
      <c r="E2296" s="1" t="str">
        <f>IFERROR(__xludf.DUMMYFUNCTION("""COMPUTED_VALUE"""),"Julia Evangelista totoo kaya nga yun balita sa divisoria .. nkakapagdalawang isip na kung iboboto pa")</f>
        <v>Julia Evangelista totoo kaya nga yun balita sa divisoria .. nkakapagdalawang isip na kung iboboto pa</v>
      </c>
      <c r="F2296" s="1"/>
      <c r="G2296" s="1" t="str">
        <f>IFERROR(__xludf.DUMMYFUNCTION("""COMPUTED_VALUE"""),"3 mos")</f>
        <v>3 mos</v>
      </c>
      <c r="H2296" s="1" t="str">
        <f>IFERROR(__xludf.DUMMYFUNCTION("""COMPUTED_VALUE"""),"reply")</f>
        <v>reply</v>
      </c>
      <c r="I2296" s="2" t="str">
        <f>IFERROR(__xludf.DUMMYFUNCTION("""COMPUTED_VALUE"""),"https://www.facebook.com/watch/live/?ref=watch_permalink&amp;v=923735834984653")</f>
        <v>https://www.facebook.com/watch/live/?ref=watch_permalink&amp;v=923735834984653</v>
      </c>
      <c r="J2296" s="1" t="str">
        <f>IFERROR(__xludf.DUMMYFUNCTION("""COMPUTED_VALUE"""),"2022-07-04T15:49:26.534Z")</f>
        <v>2022-07-04T15:49:26.534Z</v>
      </c>
      <c r="K2296" s="1"/>
    </row>
    <row r="2297">
      <c r="A2297" s="2" t="str">
        <f>IFERROR(__xludf.DUMMYFUNCTION("""COMPUTED_VALUE"""),"https://www.facebook.com/megzkristofer.roblo")</f>
        <v>https://www.facebook.com/megzkristofer.roblo</v>
      </c>
      <c r="B2297" s="1" t="str">
        <f>IFERROR(__xludf.DUMMYFUNCTION("""COMPUTED_VALUE"""),"Meg'z Kristofer Roblo")</f>
        <v>Meg'z Kristofer Roblo</v>
      </c>
      <c r="C2297" s="1" t="str">
        <f>IFERROR(__xludf.DUMMYFUNCTION("""COMPUTED_VALUE"""),"Meg'z")</f>
        <v>Meg'z</v>
      </c>
      <c r="D2297" s="1" t="str">
        <f>IFERROR(__xludf.DUMMYFUNCTION("""COMPUTED_VALUE"""),"Kristofer Roblo")</f>
        <v>Kristofer Roblo</v>
      </c>
      <c r="E2297" s="1" t="str">
        <f>IFERROR(__xludf.DUMMYFUNCTION("""COMPUTED_VALUE"""),"Emmanuel Villarba manood ka Ng proclamation rally nila may, sa manila Kung talagang iniwan sya,.")</f>
        <v>Emmanuel Villarba manood ka Ng proclamation rally nila may, sa manila Kung talagang iniwan sya,.</v>
      </c>
      <c r="F2297" s="1">
        <f>IFERROR(__xludf.DUMMYFUNCTION("""COMPUTED_VALUE"""),2.0)</f>
        <v>2</v>
      </c>
      <c r="G2297" s="1" t="str">
        <f>IFERROR(__xludf.DUMMYFUNCTION("""COMPUTED_VALUE"""),"3 mos")</f>
        <v>3 mos</v>
      </c>
      <c r="H2297" s="1" t="str">
        <f>IFERROR(__xludf.DUMMYFUNCTION("""COMPUTED_VALUE"""),"reply")</f>
        <v>reply</v>
      </c>
      <c r="I2297" s="2" t="str">
        <f>IFERROR(__xludf.DUMMYFUNCTION("""COMPUTED_VALUE"""),"https://www.facebook.com/watch/live/?ref=watch_permalink&amp;v=923735834984653")</f>
        <v>https://www.facebook.com/watch/live/?ref=watch_permalink&amp;v=923735834984653</v>
      </c>
      <c r="J2297" s="1" t="str">
        <f>IFERROR(__xludf.DUMMYFUNCTION("""COMPUTED_VALUE"""),"2022-07-04T15:49:26.534Z")</f>
        <v>2022-07-04T15:49:26.534Z</v>
      </c>
      <c r="K2297" s="1"/>
    </row>
    <row r="2298">
      <c r="A2298" s="2" t="str">
        <f>IFERROR(__xludf.DUMMYFUNCTION("""COMPUTED_VALUE"""),"https://www.facebook.com/lariza.francisco")</f>
        <v>https://www.facebook.com/lariza.francisco</v>
      </c>
      <c r="B2298" s="1" t="str">
        <f>IFERROR(__xludf.DUMMYFUNCTION("""COMPUTED_VALUE"""),"Lariza Francisco")</f>
        <v>Lariza Francisco</v>
      </c>
      <c r="C2298" s="1" t="str">
        <f>IFERROR(__xludf.DUMMYFUNCTION("""COMPUTED_VALUE"""),"Lariza")</f>
        <v>Lariza</v>
      </c>
      <c r="D2298" s="1" t="str">
        <f>IFERROR(__xludf.DUMMYFUNCTION("""COMPUTED_VALUE"""),"Francisco")</f>
        <v>Francisco</v>
      </c>
      <c r="E2298" s="1" t="str">
        <f>IFERROR(__xludf.DUMMYFUNCTION("""COMPUTED_VALUE"""),"Cuttie Chinny tama sa lahat ng mayor na umupo jan sa maynila si yorme lang Nakapag alis Ng nangongotong sa mga vendor grabe Nung Kay Lim at erap babayaran mo sa pwesto para sa city hall sa pulis sa kapitan Ultimo tanod naniningil pati nga mag wawalis eh h"&amp;"ay grabe kawawa mga vendor noon Ngayon nalang naging maayos at malinis dhl sa magandang pamamalakad ni yorme")</f>
        <v>Cuttie Chinny tama sa lahat ng mayor na umupo jan sa maynila si yorme lang Nakapag alis Ng nangongotong sa mga vendor grabe Nung Kay Lim at erap babayaran mo sa pwesto para sa city hall sa pulis sa kapitan Ultimo tanod naniningil pati nga mag wawalis eh hay grabe kawawa mga vendor noon Ngayon nalang naging maayos at malinis dhl sa magandang pamamalakad ni yorme</v>
      </c>
      <c r="F2298" s="1">
        <f>IFERROR(__xludf.DUMMYFUNCTION("""COMPUTED_VALUE"""),3.0)</f>
        <v>3</v>
      </c>
      <c r="G2298" s="1" t="str">
        <f>IFERROR(__xludf.DUMMYFUNCTION("""COMPUTED_VALUE"""),"3 mos")</f>
        <v>3 mos</v>
      </c>
      <c r="H2298" s="1" t="str">
        <f>IFERROR(__xludf.DUMMYFUNCTION("""COMPUTED_VALUE"""),"reply")</f>
        <v>reply</v>
      </c>
      <c r="I2298" s="2" t="str">
        <f>IFERROR(__xludf.DUMMYFUNCTION("""COMPUTED_VALUE"""),"https://www.facebook.com/watch/live/?ref=watch_permalink&amp;v=923735834984653")</f>
        <v>https://www.facebook.com/watch/live/?ref=watch_permalink&amp;v=923735834984653</v>
      </c>
      <c r="J2298" s="1" t="str">
        <f>IFERROR(__xludf.DUMMYFUNCTION("""COMPUTED_VALUE"""),"2022-07-04T15:49:26.534Z")</f>
        <v>2022-07-04T15:49:26.534Z</v>
      </c>
      <c r="K2298" s="1"/>
    </row>
    <row r="2299">
      <c r="A2299" s="2" t="str">
        <f>IFERROR(__xludf.DUMMYFUNCTION("""COMPUTED_VALUE"""),"https://www.facebook.com/lariza.francisco")</f>
        <v>https://www.facebook.com/lariza.francisco</v>
      </c>
      <c r="B2299" s="1" t="str">
        <f>IFERROR(__xludf.DUMMYFUNCTION("""COMPUTED_VALUE"""),"Lariza Francisco")</f>
        <v>Lariza Francisco</v>
      </c>
      <c r="C2299" s="1" t="str">
        <f>IFERROR(__xludf.DUMMYFUNCTION("""COMPUTED_VALUE"""),"Lariza")</f>
        <v>Lariza</v>
      </c>
      <c r="D2299" s="1" t="str">
        <f>IFERROR(__xludf.DUMMYFUNCTION("""COMPUTED_VALUE"""),"Francisco")</f>
        <v>Francisco</v>
      </c>
      <c r="E2299" s="1" t="str">
        <f>IFERROR(__xludf.DUMMYFUNCTION("""COMPUTED_VALUE"""),"Cuttie Chinny Yes Kay yorme kht nd ka taga maynila makaka hingi ka Ng tulong at suporta sa gamot subok na subok na namin yan kht konsehal pang sya nun at talagang door to door Ang pag hahatid Ng tulong bukod tangi sya lang nakagawa nun kaya solid isko ako"&amp;" ikaw Ang nais ko #3")</f>
        <v>Cuttie Chinny Yes Kay yorme kht nd ka taga maynila makaka hingi ka Ng tulong at suporta sa gamot subok na subok na namin yan kht konsehal pang sya nun at talagang door to door Ang pag hahatid Ng tulong bukod tangi sya lang nakagawa nun kaya solid isko ako ikaw Ang nais ko #3</v>
      </c>
      <c r="F2299" s="1">
        <f>IFERROR(__xludf.DUMMYFUNCTION("""COMPUTED_VALUE"""),1.0)</f>
        <v>1</v>
      </c>
      <c r="G2299" s="1" t="str">
        <f>IFERROR(__xludf.DUMMYFUNCTION("""COMPUTED_VALUE"""),"3 mos")</f>
        <v>3 mos</v>
      </c>
      <c r="H2299" s="1" t="str">
        <f>IFERROR(__xludf.DUMMYFUNCTION("""COMPUTED_VALUE"""),"reply")</f>
        <v>reply</v>
      </c>
      <c r="I2299" s="2" t="str">
        <f>IFERROR(__xludf.DUMMYFUNCTION("""COMPUTED_VALUE"""),"https://www.facebook.com/watch/live/?ref=watch_permalink&amp;v=923735834984653")</f>
        <v>https://www.facebook.com/watch/live/?ref=watch_permalink&amp;v=923735834984653</v>
      </c>
      <c r="J2299" s="1" t="str">
        <f>IFERROR(__xludf.DUMMYFUNCTION("""COMPUTED_VALUE"""),"2022-07-04T15:49:26.534Z")</f>
        <v>2022-07-04T15:49:26.534Z</v>
      </c>
      <c r="K2299" s="1"/>
    </row>
    <row r="2300">
      <c r="A2300" s="2" t="str">
        <f>IFERROR(__xludf.DUMMYFUNCTION("""COMPUTED_VALUE"""),"https://www.facebook.com/julia.evangelista.18488")</f>
        <v>https://www.facebook.com/julia.evangelista.18488</v>
      </c>
      <c r="B2300" s="1" t="str">
        <f>IFERROR(__xludf.DUMMYFUNCTION("""COMPUTED_VALUE"""),"Julia Evangelista")</f>
        <v>Julia Evangelista</v>
      </c>
      <c r="C2300" s="1" t="str">
        <f>IFERROR(__xludf.DUMMYFUNCTION("""COMPUTED_VALUE"""),"Julia")</f>
        <v>Julia</v>
      </c>
      <c r="D2300" s="1" t="str">
        <f>IFERROR(__xludf.DUMMYFUNCTION("""COMPUTED_VALUE"""),"Evangelista")</f>
        <v>Evangelista</v>
      </c>
      <c r="E2300" s="1" t="str">
        <f>IFERROR(__xludf.DUMMYFUNCTION("""COMPUTED_VALUE"""),"Ram Bagsic  ha ? punta ka divisoria, tpos tanong mo sa manila city hall , tpos tanongin mo narin pl kay lopez , ganon pala oo , …. tpos tanungin mo yung bantay nmin sa pilipinas kase bska na ibenta na rin ni isko.  oo gnon ang proseso, bago k pla magtanon"&amp;"g inum ka tubig mlamig . kase baka na ibenta kanarin… o , cge .. goodlunck nalang !!!God first solid ☝🏻💙")</f>
        <v>Ram Bagsic  ha ? punta ka divisoria, tpos tanong mo sa manila city hall , tpos tanongin mo narin pl kay lopez , ganon pala oo , …. tpos tanungin mo yung bantay nmin sa pilipinas kase bska na ibenta na rin ni isko.  oo gnon ang proseso, bago k pla magtanong inum ka tubig mlamig . kase baka na ibenta kanarin… o , cge .. goodlunck nalang !!!God first solid ☝🏻💙</v>
      </c>
      <c r="F2300" s="1">
        <f>IFERROR(__xludf.DUMMYFUNCTION("""COMPUTED_VALUE"""),1.0)</f>
        <v>1</v>
      </c>
      <c r="G2300" s="1" t="str">
        <f>IFERROR(__xludf.DUMMYFUNCTION("""COMPUTED_VALUE"""),"3 mos")</f>
        <v>3 mos</v>
      </c>
      <c r="H2300" s="1" t="str">
        <f>IFERROR(__xludf.DUMMYFUNCTION("""COMPUTED_VALUE"""),"reply")</f>
        <v>reply</v>
      </c>
      <c r="I2300" s="2" t="str">
        <f>IFERROR(__xludf.DUMMYFUNCTION("""COMPUTED_VALUE"""),"https://www.facebook.com/watch/live/?ref=watch_permalink&amp;v=923735834984653")</f>
        <v>https://www.facebook.com/watch/live/?ref=watch_permalink&amp;v=923735834984653</v>
      </c>
      <c r="J2300" s="1" t="str">
        <f>IFERROR(__xludf.DUMMYFUNCTION("""COMPUTED_VALUE"""),"2022-07-04T15:49:26.534Z")</f>
        <v>2022-07-04T15:49:26.534Z</v>
      </c>
      <c r="K2300" s="1"/>
    </row>
    <row r="2301">
      <c r="A2301" s="2" t="str">
        <f>IFERROR(__xludf.DUMMYFUNCTION("""COMPUTED_VALUE"""),"https://www.facebook.com/sharelle.mamerto.5")</f>
        <v>https://www.facebook.com/sharelle.mamerto.5</v>
      </c>
      <c r="B2301" s="1" t="str">
        <f>IFERROR(__xludf.DUMMYFUNCTION("""COMPUTED_VALUE"""),"Eushee Reyn")</f>
        <v>Eushee Reyn</v>
      </c>
      <c r="C2301" s="1" t="str">
        <f>IFERROR(__xludf.DUMMYFUNCTION("""COMPUTED_VALUE"""),"Eushee")</f>
        <v>Eushee</v>
      </c>
      <c r="D2301" s="1" t="str">
        <f>IFERROR(__xludf.DUMMYFUNCTION("""COMPUTED_VALUE"""),"Reyn")</f>
        <v>Reyn</v>
      </c>
      <c r="E2301" s="1" t="str">
        <f>IFERROR(__xludf.DUMMYFUNCTION("""COMPUTED_VALUE"""),"Emmanuel Villarba kows!!!!yorme lng dpat mnalo🙏🙏mlakas sya  kwa2 ang pinas pg iba nanalo")</f>
        <v>Emmanuel Villarba kows!!!!yorme lng dpat mnalo🙏🙏mlakas sya  kwa2 ang pinas pg iba nanalo</v>
      </c>
      <c r="F2301" s="1"/>
      <c r="G2301" s="1" t="str">
        <f>IFERROR(__xludf.DUMMYFUNCTION("""COMPUTED_VALUE"""),"3 mos")</f>
        <v>3 mos</v>
      </c>
      <c r="H2301" s="1" t="str">
        <f>IFERROR(__xludf.DUMMYFUNCTION("""COMPUTED_VALUE"""),"reply")</f>
        <v>reply</v>
      </c>
      <c r="I2301" s="2" t="str">
        <f>IFERROR(__xludf.DUMMYFUNCTION("""COMPUTED_VALUE"""),"https://www.facebook.com/watch/live/?ref=watch_permalink&amp;v=923735834984653")</f>
        <v>https://www.facebook.com/watch/live/?ref=watch_permalink&amp;v=923735834984653</v>
      </c>
      <c r="J2301" s="1" t="str">
        <f>IFERROR(__xludf.DUMMYFUNCTION("""COMPUTED_VALUE"""),"2022-07-04T15:49:26.534Z")</f>
        <v>2022-07-04T15:49:26.534Z</v>
      </c>
      <c r="K2301" s="1"/>
    </row>
    <row r="2302">
      <c r="A2302" s="2" t="str">
        <f>IFERROR(__xludf.DUMMYFUNCTION("""COMPUTED_VALUE"""),"https://www.facebook.com/rsvillarama")</f>
        <v>https://www.facebook.com/rsvillarama</v>
      </c>
      <c r="B2302" s="1" t="str">
        <f>IFERROR(__xludf.DUMMYFUNCTION("""COMPUTED_VALUE"""),"Rosa Villa")</f>
        <v>Rosa Villa</v>
      </c>
      <c r="C2302" s="1" t="str">
        <f>IFERROR(__xludf.DUMMYFUNCTION("""COMPUTED_VALUE"""),"Rosa")</f>
        <v>Rosa</v>
      </c>
      <c r="D2302" s="1" t="str">
        <f>IFERROR(__xludf.DUMMYFUNCTION("""COMPUTED_VALUE"""),"Villa")</f>
        <v>Villa</v>
      </c>
      <c r="E2302" s="1" t="str">
        <f>IFERROR(__xludf.DUMMYFUNCTION("""COMPUTED_VALUE"""),"Emmanuel Villarba ano gusto mo magpa baby sit kay Yorme? Kailangan sya ng buong Pilipinas !")</f>
        <v>Emmanuel Villarba ano gusto mo magpa baby sit kay Yorme? Kailangan sya ng buong Pilipinas !</v>
      </c>
      <c r="F2302" s="1">
        <f>IFERROR(__xludf.DUMMYFUNCTION("""COMPUTED_VALUE"""),2.0)</f>
        <v>2</v>
      </c>
      <c r="G2302" s="1" t="str">
        <f>IFERROR(__xludf.DUMMYFUNCTION("""COMPUTED_VALUE"""),"3 mos")</f>
        <v>3 mos</v>
      </c>
      <c r="H2302" s="1" t="str">
        <f>IFERROR(__xludf.DUMMYFUNCTION("""COMPUTED_VALUE"""),"reply")</f>
        <v>reply</v>
      </c>
      <c r="I2302" s="2" t="str">
        <f>IFERROR(__xludf.DUMMYFUNCTION("""COMPUTED_VALUE"""),"https://www.facebook.com/watch/live/?ref=watch_permalink&amp;v=923735834984653")</f>
        <v>https://www.facebook.com/watch/live/?ref=watch_permalink&amp;v=923735834984653</v>
      </c>
      <c r="J2302" s="1" t="str">
        <f>IFERROR(__xludf.DUMMYFUNCTION("""COMPUTED_VALUE"""),"2022-07-04T15:49:26.534Z")</f>
        <v>2022-07-04T15:49:26.534Z</v>
      </c>
      <c r="K2302" s="1"/>
    </row>
    <row r="2303">
      <c r="A2303" s="2" t="str">
        <f>IFERROR(__xludf.DUMMYFUNCTION("""COMPUTED_VALUE"""),"https://www.facebook.com/totie.balce")</f>
        <v>https://www.facebook.com/totie.balce</v>
      </c>
      <c r="B2303" s="1" t="str">
        <f>IFERROR(__xludf.DUMMYFUNCTION("""COMPUTED_VALUE"""),"Totie Balce")</f>
        <v>Totie Balce</v>
      </c>
      <c r="C2303" s="1" t="str">
        <f>IFERROR(__xludf.DUMMYFUNCTION("""COMPUTED_VALUE"""),"Totie")</f>
        <v>Totie</v>
      </c>
      <c r="D2303" s="1" t="str">
        <f>IFERROR(__xludf.DUMMYFUNCTION("""COMPUTED_VALUE"""),"Balce")</f>
        <v>Balce</v>
      </c>
      <c r="E2303" s="1" t="str">
        <f>IFERROR(__xludf.DUMMYFUNCTION("""COMPUTED_VALUE"""),"Ano yun nababalita na ipinagbili ni Yorme ang DIVISORIA MARKET?")</f>
        <v>Ano yun nababalita na ipinagbili ni Yorme ang DIVISORIA MARKET?</v>
      </c>
      <c r="F2303" s="1"/>
      <c r="G2303" s="1" t="str">
        <f>IFERROR(__xludf.DUMMYFUNCTION("""COMPUTED_VALUE"""),"3 mos")</f>
        <v>3 mos</v>
      </c>
      <c r="H2303" s="1" t="str">
        <f>IFERROR(__xludf.DUMMYFUNCTION("""COMPUTED_VALUE"""),"reply")</f>
        <v>reply</v>
      </c>
      <c r="I2303" s="2" t="str">
        <f>IFERROR(__xludf.DUMMYFUNCTION("""COMPUTED_VALUE"""),"https://www.facebook.com/watch/live/?ref=watch_permalink&amp;v=923735834984653")</f>
        <v>https://www.facebook.com/watch/live/?ref=watch_permalink&amp;v=923735834984653</v>
      </c>
      <c r="J2303" s="1" t="str">
        <f>IFERROR(__xludf.DUMMYFUNCTION("""COMPUTED_VALUE"""),"2022-07-04T15:49:26.534Z")</f>
        <v>2022-07-04T15:49:26.534Z</v>
      </c>
      <c r="K2303" s="1"/>
    </row>
    <row r="2304">
      <c r="A2304" s="2" t="str">
        <f>IFERROR(__xludf.DUMMYFUNCTION("""COMPUTED_VALUE"""),"https://www.facebook.com/reesecolmenares")</f>
        <v>https://www.facebook.com/reesecolmenares</v>
      </c>
      <c r="B2304" s="1" t="str">
        <f>IFERROR(__xludf.DUMMYFUNCTION("""COMPUTED_VALUE"""),"Reese Colmenares")</f>
        <v>Reese Colmenares</v>
      </c>
      <c r="C2304" s="1" t="str">
        <f>IFERROR(__xludf.DUMMYFUNCTION("""COMPUTED_VALUE"""),"Reese")</f>
        <v>Reese</v>
      </c>
      <c r="D2304" s="1" t="str">
        <f>IFERROR(__xludf.DUMMYFUNCTION("""COMPUTED_VALUE"""),"Colmenares")</f>
        <v>Colmenares</v>
      </c>
      <c r="E2304" s="1" t="str">
        <f>IFERROR(__xludf.DUMMYFUNCTION("""COMPUTED_VALUE"""),"Whattt? 65people but  i can only hear maybe 10???  Pangako na impossible naman. Be real- thats the secret.")</f>
        <v>Whattt? 65people but  i can only hear maybe 10???  Pangako na impossible naman. Be real- thats the secret.</v>
      </c>
      <c r="F2304" s="1">
        <f>IFERROR(__xludf.DUMMYFUNCTION("""COMPUTED_VALUE"""),15.0)</f>
        <v>15</v>
      </c>
      <c r="G2304" s="1" t="str">
        <f>IFERROR(__xludf.DUMMYFUNCTION("""COMPUTED_VALUE"""),"3 mos")</f>
        <v>3 mos</v>
      </c>
      <c r="H2304" s="1" t="str">
        <f>IFERROR(__xludf.DUMMYFUNCTION("""COMPUTED_VALUE"""),"comment")</f>
        <v>comment</v>
      </c>
      <c r="I2304" s="2" t="str">
        <f>IFERROR(__xludf.DUMMYFUNCTION("""COMPUTED_VALUE"""),"https://www.facebook.com/watch/live/?ref=watch_permalink&amp;v=923735834984653")</f>
        <v>https://www.facebook.com/watch/live/?ref=watch_permalink&amp;v=923735834984653</v>
      </c>
      <c r="J2304" s="1" t="str">
        <f>IFERROR(__xludf.DUMMYFUNCTION("""COMPUTED_VALUE"""),"2022-07-04T15:49:26.534Z")</f>
        <v>2022-07-04T15:49:26.534Z</v>
      </c>
      <c r="K2304" s="1"/>
    </row>
    <row r="2305">
      <c r="A2305" s="2" t="str">
        <f>IFERROR(__xludf.DUMMYFUNCTION("""COMPUTED_VALUE"""),"https://www.facebook.com/profile.php?id=100068675928336")</f>
        <v>https://www.facebook.com/profile.php?id=100068675928336</v>
      </c>
      <c r="B2305" s="1" t="str">
        <f>IFERROR(__xludf.DUMMYFUNCTION("""COMPUTED_VALUE"""),"Isko Tayo")</f>
        <v>Isko Tayo</v>
      </c>
      <c r="C2305" s="1" t="str">
        <f>IFERROR(__xludf.DUMMYFUNCTION("""COMPUTED_VALUE"""),"Isko")</f>
        <v>Isko</v>
      </c>
      <c r="D2305" s="1" t="str">
        <f>IFERROR(__xludf.DUMMYFUNCTION("""COMPUTED_VALUE"""),"Tayo")</f>
        <v>Tayo</v>
      </c>
      <c r="E2305" s="1" t="str">
        <f>IFERROR(__xludf.DUMMYFUNCTION("""COMPUTED_VALUE"""),"Reese Colmenares expand your knowledge lol")</f>
        <v>Reese Colmenares expand your knowledge lol</v>
      </c>
      <c r="F2305" s="1">
        <f>IFERROR(__xludf.DUMMYFUNCTION("""COMPUTED_VALUE"""),2.0)</f>
        <v>2</v>
      </c>
      <c r="G2305" s="1" t="str">
        <f>IFERROR(__xludf.DUMMYFUNCTION("""COMPUTED_VALUE"""),"3 mos")</f>
        <v>3 mos</v>
      </c>
      <c r="H2305" s="1" t="str">
        <f>IFERROR(__xludf.DUMMYFUNCTION("""COMPUTED_VALUE"""),"reply")</f>
        <v>reply</v>
      </c>
      <c r="I2305" s="2" t="str">
        <f>IFERROR(__xludf.DUMMYFUNCTION("""COMPUTED_VALUE"""),"https://www.facebook.com/watch/live/?ref=watch_permalink&amp;v=923735834984653")</f>
        <v>https://www.facebook.com/watch/live/?ref=watch_permalink&amp;v=923735834984653</v>
      </c>
      <c r="J2305" s="1" t="str">
        <f>IFERROR(__xludf.DUMMYFUNCTION("""COMPUTED_VALUE"""),"2022-07-04T15:49:26.534Z")</f>
        <v>2022-07-04T15:49:26.534Z</v>
      </c>
      <c r="K2305" s="1"/>
    </row>
    <row r="2306">
      <c r="A2306" s="2" t="str">
        <f>IFERROR(__xludf.DUMMYFUNCTION("""COMPUTED_VALUE"""),"https://www.facebook.com/carlos.lavidez")</f>
        <v>https://www.facebook.com/carlos.lavidez</v>
      </c>
      <c r="B2306" s="1" t="str">
        <f>IFERROR(__xludf.DUMMYFUNCTION("""COMPUTED_VALUE"""),"Carlos Lavidez")</f>
        <v>Carlos Lavidez</v>
      </c>
      <c r="C2306" s="1" t="str">
        <f>IFERROR(__xludf.DUMMYFUNCTION("""COMPUTED_VALUE"""),"Carlos")</f>
        <v>Carlos</v>
      </c>
      <c r="D2306" s="1" t="str">
        <f>IFERROR(__xludf.DUMMYFUNCTION("""COMPUTED_VALUE"""),"Lavidez")</f>
        <v>Lavidez</v>
      </c>
      <c r="E2306" s="1" t="str">
        <f>IFERROR(__xludf.DUMMYFUNCTION("""COMPUTED_VALUE"""),"Reese Colmenares bulag ka at binge")</f>
        <v>Reese Colmenares bulag ka at binge</v>
      </c>
      <c r="F2306" s="1">
        <f>IFERROR(__xludf.DUMMYFUNCTION("""COMPUTED_VALUE"""),2.0)</f>
        <v>2</v>
      </c>
      <c r="G2306" s="1" t="str">
        <f>IFERROR(__xludf.DUMMYFUNCTION("""COMPUTED_VALUE"""),"3 mos")</f>
        <v>3 mos</v>
      </c>
      <c r="H2306" s="1" t="str">
        <f>IFERROR(__xludf.DUMMYFUNCTION("""COMPUTED_VALUE"""),"reply")</f>
        <v>reply</v>
      </c>
      <c r="I2306" s="2" t="str">
        <f>IFERROR(__xludf.DUMMYFUNCTION("""COMPUTED_VALUE"""),"https://www.facebook.com/watch/live/?ref=watch_permalink&amp;v=923735834984653")</f>
        <v>https://www.facebook.com/watch/live/?ref=watch_permalink&amp;v=923735834984653</v>
      </c>
      <c r="J2306" s="1" t="str">
        <f>IFERROR(__xludf.DUMMYFUNCTION("""COMPUTED_VALUE"""),"2022-07-04T15:49:26.534Z")</f>
        <v>2022-07-04T15:49:26.534Z</v>
      </c>
      <c r="K2306" s="1"/>
    </row>
    <row r="2307">
      <c r="A2307" s="2" t="str">
        <f>IFERROR(__xludf.DUMMYFUNCTION("""COMPUTED_VALUE"""),"https://www.facebook.com/nosgnoilaluap")</f>
        <v>https://www.facebook.com/nosgnoilaluap</v>
      </c>
      <c r="B2307" s="1" t="str">
        <f>IFERROR(__xludf.DUMMYFUNCTION("""COMPUTED_VALUE"""),"Paula Liongson")</f>
        <v>Paula Liongson</v>
      </c>
      <c r="C2307" s="1" t="str">
        <f>IFERROR(__xludf.DUMMYFUNCTION("""COMPUTED_VALUE"""),"Paula")</f>
        <v>Paula</v>
      </c>
      <c r="D2307" s="1" t="str">
        <f>IFERROR(__xludf.DUMMYFUNCTION("""COMPUTED_VALUE"""),"Liongson")</f>
        <v>Liongson</v>
      </c>
      <c r="E2307" s="1" t="str">
        <f>IFERROR(__xludf.DUMMYFUNCTION("""COMPUTED_VALUE"""),"Isn't there such thing as noise cancellation?")</f>
        <v>Isn't there such thing as noise cancellation?</v>
      </c>
      <c r="F2307" s="1"/>
      <c r="G2307" s="1" t="str">
        <f>IFERROR(__xludf.DUMMYFUNCTION("""COMPUTED_VALUE"""),"3 mos")</f>
        <v>3 mos</v>
      </c>
      <c r="H2307" s="1" t="str">
        <f>IFERROR(__xludf.DUMMYFUNCTION("""COMPUTED_VALUE"""),"reply")</f>
        <v>reply</v>
      </c>
      <c r="I2307" s="2" t="str">
        <f>IFERROR(__xludf.DUMMYFUNCTION("""COMPUTED_VALUE"""),"https://www.facebook.com/watch/live/?ref=watch_permalink&amp;v=923735834984653")</f>
        <v>https://www.facebook.com/watch/live/?ref=watch_permalink&amp;v=923735834984653</v>
      </c>
      <c r="J2307" s="1" t="str">
        <f>IFERROR(__xludf.DUMMYFUNCTION("""COMPUTED_VALUE"""),"2022-07-04T15:49:26.534Z")</f>
        <v>2022-07-04T15:49:26.534Z</v>
      </c>
      <c r="K2307" s="1"/>
    </row>
    <row r="2308">
      <c r="A2308" s="2" t="str">
        <f>IFERROR(__xludf.DUMMYFUNCTION("""COMPUTED_VALUE"""),"https://www.facebook.com/materesa.balean")</f>
        <v>https://www.facebook.com/materesa.balean</v>
      </c>
      <c r="B2308" s="1" t="str">
        <f>IFERROR(__xludf.DUMMYFUNCTION("""COMPUTED_VALUE"""),"Maria Balean - Exelby")</f>
        <v>Maria Balean - Exelby</v>
      </c>
      <c r="C2308" s="1" t="str">
        <f>IFERROR(__xludf.DUMMYFUNCTION("""COMPUTED_VALUE"""),"Maria")</f>
        <v>Maria</v>
      </c>
      <c r="D2308" s="1" t="str">
        <f>IFERROR(__xludf.DUMMYFUNCTION("""COMPUTED_VALUE"""),"Balean - Exelby")</f>
        <v>Balean - Exelby</v>
      </c>
      <c r="E2308" s="1" t="str">
        <f>IFERROR(__xludf.DUMMYFUNCTION("""COMPUTED_VALUE"""),"Paula Liongson manila is from dugyot to amazing place now 👍👍👍🥰 because of mayor Isko Moreno! !!!")</f>
        <v>Paula Liongson manila is from dugyot to amazing place now 👍👍👍🥰 because of mayor Isko Moreno! !!!</v>
      </c>
      <c r="F2308" s="1">
        <f>IFERROR(__xludf.DUMMYFUNCTION("""COMPUTED_VALUE"""),7.0)</f>
        <v>7</v>
      </c>
      <c r="G2308" s="1" t="str">
        <f>IFERROR(__xludf.DUMMYFUNCTION("""COMPUTED_VALUE"""),"3 mos")</f>
        <v>3 mos</v>
      </c>
      <c r="H2308" s="1" t="str">
        <f>IFERROR(__xludf.DUMMYFUNCTION("""COMPUTED_VALUE"""),"reply")</f>
        <v>reply</v>
      </c>
      <c r="I2308" s="2" t="str">
        <f>IFERROR(__xludf.DUMMYFUNCTION("""COMPUTED_VALUE"""),"https://www.facebook.com/watch/live/?ref=watch_permalink&amp;v=923735834984653")</f>
        <v>https://www.facebook.com/watch/live/?ref=watch_permalink&amp;v=923735834984653</v>
      </c>
      <c r="J2308" s="1" t="str">
        <f>IFERROR(__xludf.DUMMYFUNCTION("""COMPUTED_VALUE"""),"2022-07-04T15:49:26.534Z")</f>
        <v>2022-07-04T15:49:26.534Z</v>
      </c>
      <c r="K2308" s="1"/>
    </row>
    <row r="2309">
      <c r="A2309" s="2" t="str">
        <f>IFERROR(__xludf.DUMMYFUNCTION("""COMPUTED_VALUE"""),"https://www.facebook.com/daphne.baula")</f>
        <v>https://www.facebook.com/daphne.baula</v>
      </c>
      <c r="B2309" s="1" t="str">
        <f>IFERROR(__xludf.DUMMYFUNCTION("""COMPUTED_VALUE"""),"Daphne Baula")</f>
        <v>Daphne Baula</v>
      </c>
      <c r="C2309" s="1" t="str">
        <f>IFERROR(__xludf.DUMMYFUNCTION("""COMPUTED_VALUE"""),"Daphne")</f>
        <v>Daphne</v>
      </c>
      <c r="D2309" s="1" t="str">
        <f>IFERROR(__xludf.DUMMYFUNCTION("""COMPUTED_VALUE"""),"Baula")</f>
        <v>Baula</v>
      </c>
      <c r="E2309" s="1" t="str">
        <f>IFERROR(__xludf.DUMMYFUNCTION("""COMPUTED_VALUE"""),"Reese Colmenares   ang  dapat  proweba ka   😂😂😂😂 GOD FIRST")</f>
        <v>Reese Colmenares   ang  dapat  proweba ka   😂😂😂😂 GOD FIRST</v>
      </c>
      <c r="F2309" s="1">
        <f>IFERROR(__xludf.DUMMYFUNCTION("""COMPUTED_VALUE"""),1.0)</f>
        <v>1</v>
      </c>
      <c r="G2309" s="1" t="str">
        <f>IFERROR(__xludf.DUMMYFUNCTION("""COMPUTED_VALUE"""),"3 mos")</f>
        <v>3 mos</v>
      </c>
      <c r="H2309" s="1" t="str">
        <f>IFERROR(__xludf.DUMMYFUNCTION("""COMPUTED_VALUE"""),"reply")</f>
        <v>reply</v>
      </c>
      <c r="I2309" s="2" t="str">
        <f>IFERROR(__xludf.DUMMYFUNCTION("""COMPUTED_VALUE"""),"https://www.facebook.com/watch/live/?ref=watch_permalink&amp;v=923735834984653")</f>
        <v>https://www.facebook.com/watch/live/?ref=watch_permalink&amp;v=923735834984653</v>
      </c>
      <c r="J2309" s="1" t="str">
        <f>IFERROR(__xludf.DUMMYFUNCTION("""COMPUTED_VALUE"""),"2022-07-04T15:49:26.534Z")</f>
        <v>2022-07-04T15:49:26.534Z</v>
      </c>
      <c r="K2309" s="1"/>
    </row>
    <row r="2310">
      <c r="A2310" s="2" t="str">
        <f>IFERROR(__xludf.DUMMYFUNCTION("""COMPUTED_VALUE"""),"https://www.facebook.com/menchie.delrosario")</f>
        <v>https://www.facebook.com/menchie.delrosario</v>
      </c>
      <c r="B2310" s="1" t="str">
        <f>IFERROR(__xludf.DUMMYFUNCTION("""COMPUTED_VALUE"""),"Cuttie Chinny")</f>
        <v>Cuttie Chinny</v>
      </c>
      <c r="C2310" s="1" t="str">
        <f>IFERROR(__xludf.DUMMYFUNCTION("""COMPUTED_VALUE"""),"Cuttie")</f>
        <v>Cuttie</v>
      </c>
      <c r="D2310" s="1" t="str">
        <f>IFERROR(__xludf.DUMMYFUNCTION("""COMPUTED_VALUE"""),"Chinny")</f>
        <v>Chinny</v>
      </c>
      <c r="E2310" s="1" t="str">
        <f>IFERROR(__xludf.DUMMYFUNCTION("""COMPUTED_VALUE"""),"Daphne Baula may prweba na si yorme kaya lng mga bulag ung mga kababayan natin..gusto nla ung may ggwin plng na wala man lng kplano plano..ayaw s sigurado gusto pang maghintay...kung ung mga plano ni tanzo dpt nagawa n nya dati pa tgal nilang nasa pwesto "&amp;"eh..")</f>
        <v>Daphne Baula may prweba na si yorme kaya lng mga bulag ung mga kababayan natin..gusto nla ung may ggwin plng na wala man lng kplano plano..ayaw s sigurado gusto pang maghintay...kung ung mga plano ni tanzo dpt nagawa n nya dati pa tgal nilang nasa pwesto eh..</v>
      </c>
      <c r="F2310" s="1">
        <f>IFERROR(__xludf.DUMMYFUNCTION("""COMPUTED_VALUE"""),4.0)</f>
        <v>4</v>
      </c>
      <c r="G2310" s="1" t="str">
        <f>IFERROR(__xludf.DUMMYFUNCTION("""COMPUTED_VALUE"""),"3 mos")</f>
        <v>3 mos</v>
      </c>
      <c r="H2310" s="1" t="str">
        <f>IFERROR(__xludf.DUMMYFUNCTION("""COMPUTED_VALUE"""),"reply")</f>
        <v>reply</v>
      </c>
      <c r="I2310" s="2" t="str">
        <f>IFERROR(__xludf.DUMMYFUNCTION("""COMPUTED_VALUE"""),"https://www.facebook.com/watch/live/?ref=watch_permalink&amp;v=923735834984653")</f>
        <v>https://www.facebook.com/watch/live/?ref=watch_permalink&amp;v=923735834984653</v>
      </c>
      <c r="J2310" s="1" t="str">
        <f>IFERROR(__xludf.DUMMYFUNCTION("""COMPUTED_VALUE"""),"2022-07-04T15:49:26.534Z")</f>
        <v>2022-07-04T15:49:26.534Z</v>
      </c>
      <c r="K2310" s="1"/>
    </row>
    <row r="2311">
      <c r="A2311" s="2" t="str">
        <f>IFERROR(__xludf.DUMMYFUNCTION("""COMPUTED_VALUE"""),"https://www.facebook.com/profile.php?id=100070655991563")</f>
        <v>https://www.facebook.com/profile.php?id=100070655991563</v>
      </c>
      <c r="B2311" s="1" t="str">
        <f>IFERROR(__xludf.DUMMYFUNCTION("""COMPUTED_VALUE"""),"Amadeng Montefalcon")</f>
        <v>Amadeng Montefalcon</v>
      </c>
      <c r="C2311" s="1" t="str">
        <f>IFERROR(__xludf.DUMMYFUNCTION("""COMPUTED_VALUE"""),"Amadeng")</f>
        <v>Amadeng</v>
      </c>
      <c r="D2311" s="1" t="str">
        <f>IFERROR(__xludf.DUMMYFUNCTION("""COMPUTED_VALUE"""),"Montefalcon")</f>
        <v>Montefalcon</v>
      </c>
      <c r="E2311" s="1" t="str">
        <f>IFERROR(__xludf.DUMMYFUNCTION("""COMPUTED_VALUE"""),"Reese Colmenares hirap kasi sayo nasanay ka sa mga pangako ng mga manok mo kung sino man un at dahil nakasanayan mo na you get used to it na na wala Kang nakikita dun sa mga pangako na naririnig mo na mga natupad so ibahin mo so yorme nangangako din siya "&amp;"pero siguradong matutupad ngaun kung me pagpapahalaga ka sa kinabukasan ng mga anak mo aba panahon na at eto na Yung pagkakataon I adobo mo na ung mga manok mo ng mapakinabangan mo naman at subukan mo itong manok namin na si yorme tintiyak ko sayo manging"&amp;"itlog ng ginto to at Yun ang magbibigay sa mga anak natin ng malinaw na kinabukasan")</f>
        <v>Reese Colmenares hirap kasi sayo nasanay ka sa mga pangako ng mga manok mo kung sino man un at dahil nakasanayan mo na you get used to it na na wala Kang nakikita dun sa mga pangako na naririnig mo na mga natupad so ibahin mo so yorme nangangako din siya pero siguradong matutupad ngaun kung me pagpapahalaga ka sa kinabukasan ng mga anak mo aba panahon na at eto na Yung pagkakataon I adobo mo na ung mga manok mo ng mapakinabangan mo naman at subukan mo itong manok namin na si yorme tintiyak ko sayo mangingitlog ng ginto to at Yun ang magbibigay sa mga anak natin ng malinaw na kinabukasan</v>
      </c>
      <c r="F2311" s="1">
        <f>IFERROR(__xludf.DUMMYFUNCTION("""COMPUTED_VALUE"""),3.0)</f>
        <v>3</v>
      </c>
      <c r="G2311" s="1" t="str">
        <f>IFERROR(__xludf.DUMMYFUNCTION("""COMPUTED_VALUE"""),"3 mos")</f>
        <v>3 mos</v>
      </c>
      <c r="H2311" s="1" t="str">
        <f>IFERROR(__xludf.DUMMYFUNCTION("""COMPUTED_VALUE"""),"reply")</f>
        <v>reply</v>
      </c>
      <c r="I2311" s="2" t="str">
        <f>IFERROR(__xludf.DUMMYFUNCTION("""COMPUTED_VALUE"""),"https://www.facebook.com/watch/live/?ref=watch_permalink&amp;v=923735834984653")</f>
        <v>https://www.facebook.com/watch/live/?ref=watch_permalink&amp;v=923735834984653</v>
      </c>
      <c r="J2311" s="1" t="str">
        <f>IFERROR(__xludf.DUMMYFUNCTION("""COMPUTED_VALUE"""),"2022-07-04T15:49:26.534Z")</f>
        <v>2022-07-04T15:49:26.534Z</v>
      </c>
      <c r="K2311" s="1"/>
    </row>
    <row r="2312">
      <c r="A2312" s="2" t="str">
        <f>IFERROR(__xludf.DUMMYFUNCTION("""COMPUTED_VALUE"""),"https://www.facebook.com/profile.php?id=100074038491420")</f>
        <v>https://www.facebook.com/profile.php?id=100074038491420</v>
      </c>
      <c r="B2312" s="1" t="str">
        <f>IFERROR(__xludf.DUMMYFUNCTION("""COMPUTED_VALUE"""),"Jean Montibon")</f>
        <v>Jean Montibon</v>
      </c>
      <c r="C2312" s="1" t="str">
        <f>IFERROR(__xludf.DUMMYFUNCTION("""COMPUTED_VALUE"""),"Jean")</f>
        <v>Jean</v>
      </c>
      <c r="D2312" s="1" t="str">
        <f>IFERROR(__xludf.DUMMYFUNCTION("""COMPUTED_VALUE"""),"Montibon")</f>
        <v>Montibon</v>
      </c>
      <c r="E2312" s="1" t="str">
        <f>IFERROR(__xludf.DUMMYFUNCTION("""COMPUTED_VALUE"""),"Reese Colmenares kaya nga up to now lugmok Ang pilipinas s mga tulad nyo bupol mg icip,tanda na!!😠😠😠")</f>
        <v>Reese Colmenares kaya nga up to now lugmok Ang pilipinas s mga tulad nyo bupol mg icip,tanda na!!😠😠😠</v>
      </c>
      <c r="F2312" s="1"/>
      <c r="G2312" s="1" t="str">
        <f>IFERROR(__xludf.DUMMYFUNCTION("""COMPUTED_VALUE"""),"3 mos")</f>
        <v>3 mos</v>
      </c>
      <c r="H2312" s="1" t="str">
        <f>IFERROR(__xludf.DUMMYFUNCTION("""COMPUTED_VALUE"""),"reply")</f>
        <v>reply</v>
      </c>
      <c r="I2312" s="2" t="str">
        <f>IFERROR(__xludf.DUMMYFUNCTION("""COMPUTED_VALUE"""),"https://www.facebook.com/watch/live/?ref=watch_permalink&amp;v=923735834984653")</f>
        <v>https://www.facebook.com/watch/live/?ref=watch_permalink&amp;v=923735834984653</v>
      </c>
      <c r="J2312" s="1" t="str">
        <f>IFERROR(__xludf.DUMMYFUNCTION("""COMPUTED_VALUE"""),"2022-07-04T15:49:26.534Z")</f>
        <v>2022-07-04T15:49:26.534Z</v>
      </c>
      <c r="K2312" s="1"/>
    </row>
    <row r="2313">
      <c r="A2313" s="2" t="str">
        <f>IFERROR(__xludf.DUMMYFUNCTION("""COMPUTED_VALUE"""),"https://www.facebook.com/francisca.bundalian.3")</f>
        <v>https://www.facebook.com/francisca.bundalian.3</v>
      </c>
      <c r="B2313" s="1" t="str">
        <f>IFERROR(__xludf.DUMMYFUNCTION("""COMPUTED_VALUE"""),"Francisca Bundalian")</f>
        <v>Francisca Bundalian</v>
      </c>
      <c r="C2313" s="1" t="str">
        <f>IFERROR(__xludf.DUMMYFUNCTION("""COMPUTED_VALUE"""),"Francisca")</f>
        <v>Francisca</v>
      </c>
      <c r="D2313" s="1" t="str">
        <f>IFERROR(__xludf.DUMMYFUNCTION("""COMPUTED_VALUE"""),"Bundalian")</f>
        <v>Bundalian</v>
      </c>
      <c r="E2313" s="1" t="str">
        <f>IFERROR(__xludf.DUMMYFUNCTION("""COMPUTED_VALUE"""),"#TheFilipinoVotes  #TunayNaSolusyonMabilisUmaksyon  #IskoTayo  #IskoParasaBayan  #BilisKilos  #KayIskoPosible  #SwitchToIsko   YORME ISKO IS MY PRESIDENT GOD ☝️  FIRST")</f>
        <v>#TheFilipinoVotes  #TunayNaSolusyonMabilisUmaksyon  #IskoTayo  #IskoParasaBayan  #BilisKilos  #KayIskoPosible  #SwitchToIsko   YORME ISKO IS MY PRESIDENT GOD ☝️  FIRST</v>
      </c>
      <c r="F2313" s="1">
        <f>IFERROR(__xludf.DUMMYFUNCTION("""COMPUTED_VALUE"""),17.0)</f>
        <v>17</v>
      </c>
      <c r="G2313" s="1" t="str">
        <f>IFERROR(__xludf.DUMMYFUNCTION("""COMPUTED_VALUE"""),"3 mos")</f>
        <v>3 mos</v>
      </c>
      <c r="H2313" s="1" t="str">
        <f>IFERROR(__xludf.DUMMYFUNCTION("""COMPUTED_VALUE"""),"comment")</f>
        <v>comment</v>
      </c>
      <c r="I2313" s="2" t="str">
        <f>IFERROR(__xludf.DUMMYFUNCTION("""COMPUTED_VALUE"""),"https://www.facebook.com/watch/live/?ref=watch_permalink&amp;v=923735834984653")</f>
        <v>https://www.facebook.com/watch/live/?ref=watch_permalink&amp;v=923735834984653</v>
      </c>
      <c r="J2313" s="1" t="str">
        <f>IFERROR(__xludf.DUMMYFUNCTION("""COMPUTED_VALUE"""),"2022-07-04T15:49:26.534Z")</f>
        <v>2022-07-04T15:49:26.534Z</v>
      </c>
      <c r="K2313" s="1"/>
    </row>
    <row r="2314">
      <c r="A2314" s="2" t="str">
        <f>IFERROR(__xludf.DUMMYFUNCTION("""COMPUTED_VALUE"""),"https://www.facebook.com/profile.php?id=100078330409843")</f>
        <v>https://www.facebook.com/profile.php?id=100078330409843</v>
      </c>
      <c r="B2314" s="1" t="str">
        <f>IFERROR(__xludf.DUMMYFUNCTION("""COMPUTED_VALUE"""),"J Ar Daban")</f>
        <v>J Ar Daban</v>
      </c>
      <c r="C2314" s="1" t="str">
        <f>IFERROR(__xludf.DUMMYFUNCTION("""COMPUTED_VALUE"""),"J")</f>
        <v>J</v>
      </c>
      <c r="D2314" s="1" t="str">
        <f>IFERROR(__xludf.DUMMYFUNCTION("""COMPUTED_VALUE"""),"Ar Daban")</f>
        <v>Ar Daban</v>
      </c>
      <c r="E2314" s="1" t="str">
        <f>IFERROR(__xludf.DUMMYFUNCTION("""COMPUTED_VALUE"""),"Francisca Bundalian Kau n lng bka pati pilipinas ibenta nyan Ina mo!!isko🤣🤣")</f>
        <v>Francisca Bundalian Kau n lng bka pati pilipinas ibenta nyan Ina mo!!isko🤣🤣</v>
      </c>
      <c r="F2314" s="1"/>
      <c r="G2314" s="1" t="str">
        <f>IFERROR(__xludf.DUMMYFUNCTION("""COMPUTED_VALUE"""),"3 mos")</f>
        <v>3 mos</v>
      </c>
      <c r="H2314" s="1" t="str">
        <f>IFERROR(__xludf.DUMMYFUNCTION("""COMPUTED_VALUE"""),"reply")</f>
        <v>reply</v>
      </c>
      <c r="I2314" s="2" t="str">
        <f>IFERROR(__xludf.DUMMYFUNCTION("""COMPUTED_VALUE"""),"https://www.facebook.com/watch/live/?ref=watch_permalink&amp;v=923735834984653")</f>
        <v>https://www.facebook.com/watch/live/?ref=watch_permalink&amp;v=923735834984653</v>
      </c>
      <c r="J2314" s="1" t="str">
        <f>IFERROR(__xludf.DUMMYFUNCTION("""COMPUTED_VALUE"""),"2022-07-04T15:49:26.535Z")</f>
        <v>2022-07-04T15:49:26.535Z</v>
      </c>
      <c r="K2314" s="1"/>
    </row>
    <row r="2315">
      <c r="A2315" s="2" t="str">
        <f>IFERROR(__xludf.DUMMYFUNCTION("""COMPUTED_VALUE"""),"https://www.facebook.com/javier.inanoria")</f>
        <v>https://www.facebook.com/javier.inanoria</v>
      </c>
      <c r="B2315" s="1" t="str">
        <f>IFERROR(__xludf.DUMMYFUNCTION("""COMPUTED_VALUE"""),"Inanoria Javier")</f>
        <v>Inanoria Javier</v>
      </c>
      <c r="C2315" s="1" t="str">
        <f>IFERROR(__xludf.DUMMYFUNCTION("""COMPUTED_VALUE"""),"Inanoria")</f>
        <v>Inanoria</v>
      </c>
      <c r="D2315" s="1" t="str">
        <f>IFERROR(__xludf.DUMMYFUNCTION("""COMPUTED_VALUE"""),"Javier")</f>
        <v>Javier</v>
      </c>
      <c r="E2315" s="1" t="str">
        <f>IFERROR(__xludf.DUMMYFUNCTION("""COMPUTED_VALUE"""),"Francisca Bundalian Boy binta Divisoria market")</f>
        <v>Francisca Bundalian Boy binta Divisoria market</v>
      </c>
      <c r="F2315" s="1"/>
      <c r="G2315" s="1" t="str">
        <f>IFERROR(__xludf.DUMMYFUNCTION("""COMPUTED_VALUE"""),"3 mos")</f>
        <v>3 mos</v>
      </c>
      <c r="H2315" s="1" t="str">
        <f>IFERROR(__xludf.DUMMYFUNCTION("""COMPUTED_VALUE"""),"reply")</f>
        <v>reply</v>
      </c>
      <c r="I2315" s="2" t="str">
        <f>IFERROR(__xludf.DUMMYFUNCTION("""COMPUTED_VALUE"""),"https://www.facebook.com/watch/live/?ref=watch_permalink&amp;v=923735834984653")</f>
        <v>https://www.facebook.com/watch/live/?ref=watch_permalink&amp;v=923735834984653</v>
      </c>
      <c r="J2315" s="1" t="str">
        <f>IFERROR(__xludf.DUMMYFUNCTION("""COMPUTED_VALUE"""),"2022-07-04T15:49:26.535Z")</f>
        <v>2022-07-04T15:49:26.535Z</v>
      </c>
      <c r="K2315" s="1"/>
    </row>
    <row r="2316">
      <c r="A2316" s="2" t="str">
        <f>IFERROR(__xludf.DUMMYFUNCTION("""COMPUTED_VALUE"""),"https://www.facebook.com/millet.a.uy")</f>
        <v>https://www.facebook.com/millet.a.uy</v>
      </c>
      <c r="B2316" s="1" t="str">
        <f>IFERROR(__xludf.DUMMYFUNCTION("""COMPUTED_VALUE"""),"Millet Alip Uy")</f>
        <v>Millet Alip Uy</v>
      </c>
      <c r="C2316" s="1" t="str">
        <f>IFERROR(__xludf.DUMMYFUNCTION("""COMPUTED_VALUE"""),"Millet")</f>
        <v>Millet</v>
      </c>
      <c r="D2316" s="1" t="str">
        <f>IFERROR(__xludf.DUMMYFUNCTION("""COMPUTED_VALUE"""),"Alip Uy")</f>
        <v>Alip Uy</v>
      </c>
      <c r="E2316" s="1" t="str">
        <f>IFERROR(__xludf.DUMMYFUNCTION("""COMPUTED_VALUE"""),"Kung halimbawang binenta anong pinagpuputok ng butse mo. Manahimik ka. Kung gusto mo tumakbo ka din.")</f>
        <v>Kung halimbawang binenta anong pinagpuputok ng butse mo. Manahimik ka. Kung gusto mo tumakbo ka din.</v>
      </c>
      <c r="F2316" s="1">
        <f>IFERROR(__xludf.DUMMYFUNCTION("""COMPUTED_VALUE"""),9.0)</f>
        <v>9</v>
      </c>
      <c r="G2316" s="1" t="str">
        <f>IFERROR(__xludf.DUMMYFUNCTION("""COMPUTED_VALUE"""),"3 mos")</f>
        <v>3 mos</v>
      </c>
      <c r="H2316" s="1" t="str">
        <f>IFERROR(__xludf.DUMMYFUNCTION("""COMPUTED_VALUE"""),"comment")</f>
        <v>comment</v>
      </c>
      <c r="I2316" s="2" t="str">
        <f>IFERROR(__xludf.DUMMYFUNCTION("""COMPUTED_VALUE"""),"https://www.facebook.com/watch/live/?ref=watch_permalink&amp;v=923735834984653")</f>
        <v>https://www.facebook.com/watch/live/?ref=watch_permalink&amp;v=923735834984653</v>
      </c>
      <c r="J2316" s="1" t="str">
        <f>IFERROR(__xludf.DUMMYFUNCTION("""COMPUTED_VALUE"""),"2022-07-04T15:49:26.535Z")</f>
        <v>2022-07-04T15:49:26.535Z</v>
      </c>
      <c r="K2316" s="1"/>
    </row>
    <row r="2317">
      <c r="A2317" s="2" t="str">
        <f>IFERROR(__xludf.DUMMYFUNCTION("""COMPUTED_VALUE"""),"https://www.facebook.com/ester.rodrigo.75")</f>
        <v>https://www.facebook.com/ester.rodrigo.75</v>
      </c>
      <c r="B2317" s="1" t="str">
        <f>IFERROR(__xludf.DUMMYFUNCTION("""COMPUTED_VALUE"""),"Ester Macarse")</f>
        <v>Ester Macarse</v>
      </c>
      <c r="C2317" s="1" t="str">
        <f>IFERROR(__xludf.DUMMYFUNCTION("""COMPUTED_VALUE"""),"Ester")</f>
        <v>Ester</v>
      </c>
      <c r="D2317" s="1" t="str">
        <f>IFERROR(__xludf.DUMMYFUNCTION("""COMPUTED_VALUE"""),"Macarse")</f>
        <v>Macarse</v>
      </c>
      <c r="E2317" s="1" t="str">
        <f>IFERROR(__xludf.DUMMYFUNCTION("""COMPUTED_VALUE"""),"Korek ka madam")</f>
        <v>Korek ka madam</v>
      </c>
      <c r="F2317" s="1"/>
      <c r="G2317" s="1" t="str">
        <f>IFERROR(__xludf.DUMMYFUNCTION("""COMPUTED_VALUE"""),"3 mos")</f>
        <v>3 mos</v>
      </c>
      <c r="H2317" s="1" t="str">
        <f>IFERROR(__xludf.DUMMYFUNCTION("""COMPUTED_VALUE"""),"reply")</f>
        <v>reply</v>
      </c>
      <c r="I2317" s="2" t="str">
        <f>IFERROR(__xludf.DUMMYFUNCTION("""COMPUTED_VALUE"""),"https://www.facebook.com/watch/live/?ref=watch_permalink&amp;v=923735834984653")</f>
        <v>https://www.facebook.com/watch/live/?ref=watch_permalink&amp;v=923735834984653</v>
      </c>
      <c r="J2317" s="1" t="str">
        <f>IFERROR(__xludf.DUMMYFUNCTION("""COMPUTED_VALUE"""),"2022-07-04T15:49:26.535Z")</f>
        <v>2022-07-04T15:49:26.535Z</v>
      </c>
      <c r="K2317" s="1"/>
    </row>
    <row r="2318">
      <c r="A2318" s="2" t="str">
        <f>IFERROR(__xludf.DUMMYFUNCTION("""COMPUTED_VALUE"""),"https://www.facebook.com/marcelyn.arcellano")</f>
        <v>https://www.facebook.com/marcelyn.arcellano</v>
      </c>
      <c r="B2318" s="1" t="str">
        <f>IFERROR(__xludf.DUMMYFUNCTION("""COMPUTED_VALUE"""),"Marcelyn M. Arcellano")</f>
        <v>Marcelyn M. Arcellano</v>
      </c>
      <c r="C2318" s="1" t="str">
        <f>IFERROR(__xludf.DUMMYFUNCTION("""COMPUTED_VALUE"""),"Marcelyn")</f>
        <v>Marcelyn</v>
      </c>
      <c r="D2318" s="1" t="str">
        <f>IFERROR(__xludf.DUMMYFUNCTION("""COMPUTED_VALUE"""),"M. Arcellano")</f>
        <v>M. Arcellano</v>
      </c>
      <c r="E2318" s="1" t="str">
        <f>IFERROR(__xludf.DUMMYFUNCTION("""COMPUTED_VALUE"""),"Kapiranggot kasi ang pag unawa ng mga yan. ✌️☝️")</f>
        <v>Kapiranggot kasi ang pag unawa ng mga yan. ✌️☝️</v>
      </c>
      <c r="F2318" s="1">
        <f>IFERROR(__xludf.DUMMYFUNCTION("""COMPUTED_VALUE"""),1.0)</f>
        <v>1</v>
      </c>
      <c r="G2318" s="1" t="str">
        <f>IFERROR(__xludf.DUMMYFUNCTION("""COMPUTED_VALUE"""),"3 mos")</f>
        <v>3 mos</v>
      </c>
      <c r="H2318" s="1" t="str">
        <f>IFERROR(__xludf.DUMMYFUNCTION("""COMPUTED_VALUE"""),"reply")</f>
        <v>reply</v>
      </c>
      <c r="I2318" s="2" t="str">
        <f>IFERROR(__xludf.DUMMYFUNCTION("""COMPUTED_VALUE"""),"https://www.facebook.com/watch/live/?ref=watch_permalink&amp;v=923735834984653")</f>
        <v>https://www.facebook.com/watch/live/?ref=watch_permalink&amp;v=923735834984653</v>
      </c>
      <c r="J2318" s="1" t="str">
        <f>IFERROR(__xludf.DUMMYFUNCTION("""COMPUTED_VALUE"""),"2022-07-04T15:49:26.535Z")</f>
        <v>2022-07-04T15:49:26.535Z</v>
      </c>
      <c r="K2318" s="1"/>
    </row>
    <row r="2319">
      <c r="A2319" s="2" t="str">
        <f>IFERROR(__xludf.DUMMYFUNCTION("""COMPUTED_VALUE"""),"https://www.facebook.com/profile.php?id=100012611887000")</f>
        <v>https://www.facebook.com/profile.php?id=100012611887000</v>
      </c>
      <c r="B2319" s="1" t="str">
        <f>IFERROR(__xludf.DUMMYFUNCTION("""COMPUTED_VALUE"""),"Jocelyn Retuerma")</f>
        <v>Jocelyn Retuerma</v>
      </c>
      <c r="C2319" s="1" t="str">
        <f>IFERROR(__xludf.DUMMYFUNCTION("""COMPUTED_VALUE"""),"Jocelyn")</f>
        <v>Jocelyn</v>
      </c>
      <c r="D2319" s="1" t="str">
        <f>IFERROR(__xludf.DUMMYFUNCTION("""COMPUTED_VALUE"""),"Retuerma")</f>
        <v>Retuerma</v>
      </c>
      <c r="E2319" s="1" t="str">
        <f>IFERROR(__xludf.DUMMYFUNCTION("""COMPUTED_VALUE"""),"Makikitid ang utak. May narinig at nakita lang, totoo na agad sknila. Mga tanzo.")</f>
        <v>Makikitid ang utak. May narinig at nakita lang, totoo na agad sknila. Mga tanzo.</v>
      </c>
      <c r="F2319" s="1">
        <f>IFERROR(__xludf.DUMMYFUNCTION("""COMPUTED_VALUE"""),1.0)</f>
        <v>1</v>
      </c>
      <c r="G2319" s="1" t="str">
        <f>IFERROR(__xludf.DUMMYFUNCTION("""COMPUTED_VALUE"""),"3 mos")</f>
        <v>3 mos</v>
      </c>
      <c r="H2319" s="1" t="str">
        <f>IFERROR(__xludf.DUMMYFUNCTION("""COMPUTED_VALUE"""),"reply")</f>
        <v>reply</v>
      </c>
      <c r="I2319" s="2" t="str">
        <f>IFERROR(__xludf.DUMMYFUNCTION("""COMPUTED_VALUE"""),"https://www.facebook.com/watch/live/?ref=watch_permalink&amp;v=923735834984653")</f>
        <v>https://www.facebook.com/watch/live/?ref=watch_permalink&amp;v=923735834984653</v>
      </c>
      <c r="J2319" s="1" t="str">
        <f>IFERROR(__xludf.DUMMYFUNCTION("""COMPUTED_VALUE"""),"2022-07-04T15:49:26.535Z")</f>
        <v>2022-07-04T15:49:26.535Z</v>
      </c>
      <c r="K2319" s="1"/>
    </row>
    <row r="2320">
      <c r="A2320" s="2" t="str">
        <f>IFERROR(__xludf.DUMMYFUNCTION("""COMPUTED_VALUE"""),"https://www.facebook.com/ricardo.cadiang")</f>
        <v>https://www.facebook.com/ricardo.cadiang</v>
      </c>
      <c r="B2320" s="1" t="str">
        <f>IFERROR(__xludf.DUMMYFUNCTION("""COMPUTED_VALUE"""),"Ricardo Cadiang")</f>
        <v>Ricardo Cadiang</v>
      </c>
      <c r="C2320" s="1" t="str">
        <f>IFERROR(__xludf.DUMMYFUNCTION("""COMPUTED_VALUE"""),"Ricardo")</f>
        <v>Ricardo</v>
      </c>
      <c r="D2320" s="1" t="str">
        <f>IFERROR(__xludf.DUMMYFUNCTION("""COMPUTED_VALUE"""),"Cadiang")</f>
        <v>Cadiang</v>
      </c>
      <c r="E2320" s="1" t="str">
        <f>IFERROR(__xludf.DUMMYFUNCTION("""COMPUTED_VALUE"""),"Millet Alip Uy magkno po binigay sa inyo ganyan kau mgsalita hindi k kasi ngttinda kya d mo nauunwaan ang sitwasyon ng mga vendor d kba na aawa umiiyak sila bulag kba wla kba puso tulad ng amo mo. hindi n ito sa pulitika ito ay tungkol sa kabuhayan ng tao"&amp;" yang market n yan minana p nila sa ninuno nila sana maintindihan mo. halimbawa ikaw kinuha pinagkkuhanan mo ng pangkbuhayan pra sa anak mo apo mo at pgtanda mo at pgkain sa araw araw hindi kba maggalit.")</f>
        <v>Millet Alip Uy magkno po binigay sa inyo ganyan kau mgsalita hindi k kasi ngttinda kya d mo nauunwaan ang sitwasyon ng mga vendor d kba na aawa umiiyak sila bulag kba wla kba puso tulad ng amo mo. hindi n ito sa pulitika ito ay tungkol sa kabuhayan ng tao yang market n yan minana p nila sa ninuno nila sana maintindihan mo. halimbawa ikaw kinuha pinagkkuhanan mo ng pangkbuhayan pra sa anak mo apo mo at pgtanda mo at pgkain sa araw araw hindi kba maggalit.</v>
      </c>
      <c r="F2320" s="1">
        <f>IFERROR(__xludf.DUMMYFUNCTION("""COMPUTED_VALUE"""),5.0)</f>
        <v>5</v>
      </c>
      <c r="G2320" s="1" t="str">
        <f>IFERROR(__xludf.DUMMYFUNCTION("""COMPUTED_VALUE"""),"3 mos")</f>
        <v>3 mos</v>
      </c>
      <c r="H2320" s="1" t="str">
        <f>IFERROR(__xludf.DUMMYFUNCTION("""COMPUTED_VALUE"""),"reply")</f>
        <v>reply</v>
      </c>
      <c r="I2320" s="2" t="str">
        <f>IFERROR(__xludf.DUMMYFUNCTION("""COMPUTED_VALUE"""),"https://www.facebook.com/watch/live/?ref=watch_permalink&amp;v=923735834984653")</f>
        <v>https://www.facebook.com/watch/live/?ref=watch_permalink&amp;v=923735834984653</v>
      </c>
      <c r="J2320" s="1" t="str">
        <f>IFERROR(__xludf.DUMMYFUNCTION("""COMPUTED_VALUE"""),"2022-07-04T15:49:26.535Z")</f>
        <v>2022-07-04T15:49:26.535Z</v>
      </c>
      <c r="K2320" s="1"/>
    </row>
    <row r="2321">
      <c r="A2321" s="2" t="str">
        <f>IFERROR(__xludf.DUMMYFUNCTION("""COMPUTED_VALUE"""),"https://www.facebook.com/briggite.pineda.9")</f>
        <v>https://www.facebook.com/briggite.pineda.9</v>
      </c>
      <c r="B2321" s="1" t="str">
        <f>IFERROR(__xludf.DUMMYFUNCTION("""COMPUTED_VALUE"""),"Briggite Pineda")</f>
        <v>Briggite Pineda</v>
      </c>
      <c r="C2321" s="1" t="str">
        <f>IFERROR(__xludf.DUMMYFUNCTION("""COMPUTED_VALUE"""),"Briggite")</f>
        <v>Briggite</v>
      </c>
      <c r="D2321" s="1" t="str">
        <f>IFERROR(__xludf.DUMMYFUNCTION("""COMPUTED_VALUE"""),"Pineda")</f>
        <v>Pineda</v>
      </c>
      <c r="E2321" s="1" t="str">
        <f>IFERROR(__xludf.DUMMYFUNCTION("""COMPUTED_VALUE"""),"Ricardo Cadiang ndi lng kc kau marunong umintindi at umunawa ung 100 na tao na nag rereklamo kung katumbas nman Ng libolibong tao Ang matutulungan dhil Ng pandemia kunting ikot nman Ng utak at research muna kau bago putak Ng putak na parang manok")</f>
        <v>Ricardo Cadiang ndi lng kc kau marunong umintindi at umunawa ung 100 na tao na nag rereklamo kung katumbas nman Ng libolibong tao Ang matutulungan dhil Ng pandemia kunting ikot nman Ng utak at research muna kau bago putak Ng putak na parang manok</v>
      </c>
      <c r="F2321" s="1">
        <f>IFERROR(__xludf.DUMMYFUNCTION("""COMPUTED_VALUE"""),1.0)</f>
        <v>1</v>
      </c>
      <c r="G2321" s="1" t="str">
        <f>IFERROR(__xludf.DUMMYFUNCTION("""COMPUTED_VALUE"""),"3 mos")</f>
        <v>3 mos</v>
      </c>
      <c r="H2321" s="1" t="str">
        <f>IFERROR(__xludf.DUMMYFUNCTION("""COMPUTED_VALUE"""),"reply")</f>
        <v>reply</v>
      </c>
      <c r="I2321" s="2" t="str">
        <f>IFERROR(__xludf.DUMMYFUNCTION("""COMPUTED_VALUE"""),"https://www.facebook.com/watch/live/?ref=watch_permalink&amp;v=923735834984653")</f>
        <v>https://www.facebook.com/watch/live/?ref=watch_permalink&amp;v=923735834984653</v>
      </c>
      <c r="J2321" s="1" t="str">
        <f>IFERROR(__xludf.DUMMYFUNCTION("""COMPUTED_VALUE"""),"2022-07-04T15:49:26.535Z")</f>
        <v>2022-07-04T15:49:26.535Z</v>
      </c>
      <c r="K2321" s="1"/>
    </row>
    <row r="2322">
      <c r="A2322" s="2" t="str">
        <f>IFERROR(__xludf.DUMMYFUNCTION("""COMPUTED_VALUE"""),"https://www.facebook.com/menchie.delrosario")</f>
        <v>https://www.facebook.com/menchie.delrosario</v>
      </c>
      <c r="B2322" s="1" t="str">
        <f>IFERROR(__xludf.DUMMYFUNCTION("""COMPUTED_VALUE"""),"Cuttie Chinny")</f>
        <v>Cuttie Chinny</v>
      </c>
      <c r="C2322" s="1" t="str">
        <f>IFERROR(__xludf.DUMMYFUNCTION("""COMPUTED_VALUE"""),"Cuttie")</f>
        <v>Cuttie</v>
      </c>
      <c r="D2322" s="1" t="str">
        <f>IFERROR(__xludf.DUMMYFUNCTION("""COMPUTED_VALUE"""),"Chinny")</f>
        <v>Chinny</v>
      </c>
      <c r="E2322" s="1" t="str">
        <f>IFERROR(__xludf.DUMMYFUNCTION("""COMPUTED_VALUE"""),"Ricardo Cadiang ayaw nla ng maayos na pwesto...")</f>
        <v>Ricardo Cadiang ayaw nla ng maayos na pwesto...</v>
      </c>
      <c r="F2322" s="1"/>
      <c r="G2322" s="1" t="str">
        <f>IFERROR(__xludf.DUMMYFUNCTION("""COMPUTED_VALUE"""),"3 mos")</f>
        <v>3 mos</v>
      </c>
      <c r="H2322" s="1" t="str">
        <f>IFERROR(__xludf.DUMMYFUNCTION("""COMPUTED_VALUE"""),"reply")</f>
        <v>reply</v>
      </c>
      <c r="I2322" s="2" t="str">
        <f>IFERROR(__xludf.DUMMYFUNCTION("""COMPUTED_VALUE"""),"https://www.facebook.com/watch/live/?ref=watch_permalink&amp;v=923735834984653")</f>
        <v>https://www.facebook.com/watch/live/?ref=watch_permalink&amp;v=923735834984653</v>
      </c>
      <c r="J2322" s="1" t="str">
        <f>IFERROR(__xludf.DUMMYFUNCTION("""COMPUTED_VALUE"""),"2022-07-04T15:49:26.535Z")</f>
        <v>2022-07-04T15:49:26.535Z</v>
      </c>
      <c r="K2322" s="1"/>
    </row>
    <row r="2323">
      <c r="A2323" s="2" t="str">
        <f>IFERROR(__xludf.DUMMYFUNCTION("""COMPUTED_VALUE"""),"https://www.facebook.com/menchie.delrosario")</f>
        <v>https://www.facebook.com/menchie.delrosario</v>
      </c>
      <c r="B2323" s="1" t="str">
        <f>IFERROR(__xludf.DUMMYFUNCTION("""COMPUTED_VALUE"""),"Cuttie Chinny")</f>
        <v>Cuttie Chinny</v>
      </c>
      <c r="C2323" s="1" t="str">
        <f>IFERROR(__xludf.DUMMYFUNCTION("""COMPUTED_VALUE"""),"Cuttie")</f>
        <v>Cuttie</v>
      </c>
      <c r="D2323" s="1" t="str">
        <f>IFERROR(__xludf.DUMMYFUNCTION("""COMPUTED_VALUE"""),"Chinny")</f>
        <v>Chinny</v>
      </c>
      <c r="E2323" s="1" t="str">
        <f>IFERROR(__xludf.DUMMYFUNCTION("""COMPUTED_VALUE"""),"Briggite Pineda wla sila nyan..nagagamit lng ng ibang politiko..mga nagpapagamit naman...bobobo")</f>
        <v>Briggite Pineda wla sila nyan..nagagamit lng ng ibang politiko..mga nagpapagamit naman...bobobo</v>
      </c>
      <c r="F2323" s="1"/>
      <c r="G2323" s="1" t="str">
        <f>IFERROR(__xludf.DUMMYFUNCTION("""COMPUTED_VALUE"""),"3 mos")</f>
        <v>3 mos</v>
      </c>
      <c r="H2323" s="1" t="str">
        <f>IFERROR(__xludf.DUMMYFUNCTION("""COMPUTED_VALUE"""),"reply")</f>
        <v>reply</v>
      </c>
      <c r="I2323" s="2" t="str">
        <f>IFERROR(__xludf.DUMMYFUNCTION("""COMPUTED_VALUE"""),"https://www.facebook.com/watch/live/?ref=watch_permalink&amp;v=923735834984653")</f>
        <v>https://www.facebook.com/watch/live/?ref=watch_permalink&amp;v=923735834984653</v>
      </c>
      <c r="J2323" s="1" t="str">
        <f>IFERROR(__xludf.DUMMYFUNCTION("""COMPUTED_VALUE"""),"2022-07-04T15:49:26.535Z")</f>
        <v>2022-07-04T15:49:26.535Z</v>
      </c>
      <c r="K2323" s="1"/>
    </row>
    <row r="2324">
      <c r="A2324" s="2" t="str">
        <f>IFERROR(__xludf.DUMMYFUNCTION("""COMPUTED_VALUE"""),"https://www.facebook.com/michaeljhon.dulay.5")</f>
        <v>https://www.facebook.com/michaeljhon.dulay.5</v>
      </c>
      <c r="B2324" s="1" t="str">
        <f>IFERROR(__xludf.DUMMYFUNCTION("""COMPUTED_VALUE"""),"Jhoan Deguzman")</f>
        <v>Jhoan Deguzman</v>
      </c>
      <c r="C2324" s="1" t="str">
        <f>IFERROR(__xludf.DUMMYFUNCTION("""COMPUTED_VALUE"""),"Jhoan")</f>
        <v>Jhoan</v>
      </c>
      <c r="D2324" s="1" t="str">
        <f>IFERROR(__xludf.DUMMYFUNCTION("""COMPUTED_VALUE"""),"Deguzman")</f>
        <v>Deguzman</v>
      </c>
      <c r="E2324" s="1" t="str">
        <f>IFERROR(__xludf.DUMMYFUNCTION("""COMPUTED_VALUE"""),"Ricardo Cadiang ciguro pinanganak cxa n may gintong kutsara sa bunganga kaya hindi nya alam ang hirap ng buhay...sa aming mga vendor ang laki ng ginawa nyang pahirap ...maraming may ari ng mga pwesto ang nangamatay dahil sa hirap n ginawa nya tinanggalan "&amp;"nya ng kabuhayan ang mga tao. Yun pla simpleng kuraot din pla c yorme isko....swerte nlng kung mkalusot k bilang predidente🤣🤣🤣🤣🤣")</f>
        <v>Ricardo Cadiang ciguro pinanganak cxa n may gintong kutsara sa bunganga kaya hindi nya alam ang hirap ng buhay...sa aming mga vendor ang laki ng ginawa nyang pahirap ...maraming may ari ng mga pwesto ang nangamatay dahil sa hirap n ginawa nya tinanggalan nya ng kabuhayan ang mga tao. Yun pla simpleng kuraot din pla c yorme isko....swerte nlng kung mkalusot k bilang predidente🤣🤣🤣🤣🤣</v>
      </c>
      <c r="F2324" s="1">
        <f>IFERROR(__xludf.DUMMYFUNCTION("""COMPUTED_VALUE"""),1.0)</f>
        <v>1</v>
      </c>
      <c r="G2324" s="1" t="str">
        <f>IFERROR(__xludf.DUMMYFUNCTION("""COMPUTED_VALUE"""),"3 mos")</f>
        <v>3 mos</v>
      </c>
      <c r="H2324" s="1" t="str">
        <f>IFERROR(__xludf.DUMMYFUNCTION("""COMPUTED_VALUE"""),"reply")</f>
        <v>reply</v>
      </c>
      <c r="I2324" s="2" t="str">
        <f>IFERROR(__xludf.DUMMYFUNCTION("""COMPUTED_VALUE"""),"https://www.facebook.com/watch/live/?ref=watch_permalink&amp;v=923735834984653")</f>
        <v>https://www.facebook.com/watch/live/?ref=watch_permalink&amp;v=923735834984653</v>
      </c>
      <c r="J2324" s="1" t="str">
        <f>IFERROR(__xludf.DUMMYFUNCTION("""COMPUTED_VALUE"""),"2022-07-04T15:49:26.535Z")</f>
        <v>2022-07-04T15:49:26.535Z</v>
      </c>
      <c r="K2324" s="1"/>
    </row>
    <row r="2325">
      <c r="A2325" s="2" t="str">
        <f>IFERROR(__xludf.DUMMYFUNCTION("""COMPUTED_VALUE"""),"https://www.facebook.com/alhen.zafe")</f>
        <v>https://www.facebook.com/alhen.zafe</v>
      </c>
      <c r="B2325" s="1" t="str">
        <f>IFERROR(__xludf.DUMMYFUNCTION("""COMPUTED_VALUE"""),"Nehla Azef")</f>
        <v>Nehla Azef</v>
      </c>
      <c r="C2325" s="1" t="str">
        <f>IFERROR(__xludf.DUMMYFUNCTION("""COMPUTED_VALUE"""),"Nehla")</f>
        <v>Nehla</v>
      </c>
      <c r="D2325" s="1" t="str">
        <f>IFERROR(__xludf.DUMMYFUNCTION("""COMPUTED_VALUE"""),"Azef")</f>
        <v>Azef</v>
      </c>
      <c r="E2325" s="1" t="str">
        <f>IFERROR(__xludf.DUMMYFUNCTION("""COMPUTED_VALUE"""),"Jhoan Deguzman baka kayo yung mga vendor na kahit san nagtitinda? Kung kurakot si yorme di na sana inalis ang mga nagtitinda dyan sa kalye.5m daily ang bribe money na inaalok sa kanya. tinanggap ba nya, kasi kung tinanggap nya di sana walang pagbabago kat"&amp;"ulad dati. From Recto pa lang kahit daanan ng mga tao nakabalandra paninda. illlegal vendor ka yata e kaya ganyan na lang ang galit mo")</f>
        <v>Jhoan Deguzman baka kayo yung mga vendor na kahit san nagtitinda? Kung kurakot si yorme di na sana inalis ang mga nagtitinda dyan sa kalye.5m daily ang bribe money na inaalok sa kanya. tinanggap ba nya, kasi kung tinanggap nya di sana walang pagbabago katulad dati. From Recto pa lang kahit daanan ng mga tao nakabalandra paninda. illlegal vendor ka yata e kaya ganyan na lang ang galit mo</v>
      </c>
      <c r="F2325" s="1"/>
      <c r="G2325" s="1" t="str">
        <f>IFERROR(__xludf.DUMMYFUNCTION("""COMPUTED_VALUE"""),"3 mos")</f>
        <v>3 mos</v>
      </c>
      <c r="H2325" s="1" t="str">
        <f>IFERROR(__xludf.DUMMYFUNCTION("""COMPUTED_VALUE"""),"reply")</f>
        <v>reply</v>
      </c>
      <c r="I2325" s="2" t="str">
        <f>IFERROR(__xludf.DUMMYFUNCTION("""COMPUTED_VALUE"""),"https://www.facebook.com/watch/live/?ref=watch_permalink&amp;v=923735834984653")</f>
        <v>https://www.facebook.com/watch/live/?ref=watch_permalink&amp;v=923735834984653</v>
      </c>
      <c r="J2325" s="1" t="str">
        <f>IFERROR(__xludf.DUMMYFUNCTION("""COMPUTED_VALUE"""),"2022-07-04T15:49:26.535Z")</f>
        <v>2022-07-04T15:49:26.535Z</v>
      </c>
      <c r="K2325" s="1"/>
    </row>
    <row r="2326">
      <c r="A2326" s="2" t="str">
        <f>IFERROR(__xludf.DUMMYFUNCTION("""COMPUTED_VALUE"""),"https://www.facebook.com/ricardo.cadiang")</f>
        <v>https://www.facebook.com/ricardo.cadiang</v>
      </c>
      <c r="B2326" s="1" t="str">
        <f>IFERROR(__xludf.DUMMYFUNCTION("""COMPUTED_VALUE"""),"Ricardo Cadiang")</f>
        <v>Ricardo Cadiang</v>
      </c>
      <c r="C2326" s="1" t="str">
        <f>IFERROR(__xludf.DUMMYFUNCTION("""COMPUTED_VALUE"""),"Ricardo")</f>
        <v>Ricardo</v>
      </c>
      <c r="D2326" s="1" t="str">
        <f>IFERROR(__xludf.DUMMYFUNCTION("""COMPUTED_VALUE"""),"Cadiang")</f>
        <v>Cadiang</v>
      </c>
      <c r="E2326" s="1" t="str">
        <f>IFERROR(__xludf.DUMMYFUNCTION("""COMPUTED_VALUE"""),"Nehla Azef mam d po bangketa binenta public market po ung mga ngttinda sa loob pra din po supermarket un andun sa loob ngttinda ang lhat ung mga vendor sa lbas ng market d rin sila magging safe dhil sigurado ggawing parking un pure gold ata ang ggawin dun"&amp;". mallaman nlang po ntin yan sa ssunod n araw o taon d kc binabalita ng media grabe mga media ngaung prang kailangan ng lagay bago k ibalita.")</f>
        <v>Nehla Azef mam d po bangketa binenta public market po ung mga ngttinda sa loob pra din po supermarket un andun sa loob ngttinda ang lhat ung mga vendor sa lbas ng market d rin sila magging safe dhil sigurado ggawing parking un pure gold ata ang ggawin dun. mallaman nlang po ntin yan sa ssunod n araw o taon d kc binabalita ng media grabe mga media ngaung prang kailangan ng lagay bago k ibalita.</v>
      </c>
      <c r="F2326" s="1"/>
      <c r="G2326" s="1" t="str">
        <f>IFERROR(__xludf.DUMMYFUNCTION("""COMPUTED_VALUE"""),"3 mos")</f>
        <v>3 mos</v>
      </c>
      <c r="H2326" s="1" t="str">
        <f>IFERROR(__xludf.DUMMYFUNCTION("""COMPUTED_VALUE"""),"reply")</f>
        <v>reply</v>
      </c>
      <c r="I2326" s="2" t="str">
        <f>IFERROR(__xludf.DUMMYFUNCTION("""COMPUTED_VALUE"""),"https://www.facebook.com/watch/live/?ref=watch_permalink&amp;v=923735834984653")</f>
        <v>https://www.facebook.com/watch/live/?ref=watch_permalink&amp;v=923735834984653</v>
      </c>
      <c r="J2326" s="1" t="str">
        <f>IFERROR(__xludf.DUMMYFUNCTION("""COMPUTED_VALUE"""),"2022-07-04T15:49:26.535Z")</f>
        <v>2022-07-04T15:49:26.535Z</v>
      </c>
      <c r="K2326" s="1"/>
    </row>
    <row r="2327">
      <c r="A2327" s="2" t="str">
        <f>IFERROR(__xludf.DUMMYFUNCTION("""COMPUTED_VALUE"""),"https://www.facebook.com/purita.johnsen.14")</f>
        <v>https://www.facebook.com/purita.johnsen.14</v>
      </c>
      <c r="B2327" s="1" t="str">
        <f>IFERROR(__xludf.DUMMYFUNCTION("""COMPUTED_VALUE"""),"Purita Johnsen")</f>
        <v>Purita Johnsen</v>
      </c>
      <c r="C2327" s="1" t="str">
        <f>IFERROR(__xludf.DUMMYFUNCTION("""COMPUTED_VALUE"""),"Purita")</f>
        <v>Purita</v>
      </c>
      <c r="D2327" s="1" t="str">
        <f>IFERROR(__xludf.DUMMYFUNCTION("""COMPUTED_VALUE"""),"Johnsen")</f>
        <v>Johnsen</v>
      </c>
      <c r="E2327" s="1" t="str">
        <f>IFERROR(__xludf.DUMMYFUNCTION("""COMPUTED_VALUE"""),"The best words i hear on my ages of 72 ,walang president nag salita ng ganyan, sana mag katutuo.")</f>
        <v>The best words i hear on my ages of 72 ,walang president nag salita ng ganyan, sana mag katutuo.</v>
      </c>
      <c r="F2327" s="1">
        <f>IFERROR(__xludf.DUMMYFUNCTION("""COMPUTED_VALUE"""),13.0)</f>
        <v>13</v>
      </c>
      <c r="G2327" s="1" t="str">
        <f>IFERROR(__xludf.DUMMYFUNCTION("""COMPUTED_VALUE"""),"3 mos")</f>
        <v>3 mos</v>
      </c>
      <c r="H2327" s="1" t="str">
        <f>IFERROR(__xludf.DUMMYFUNCTION("""COMPUTED_VALUE"""),"comment")</f>
        <v>comment</v>
      </c>
      <c r="I2327" s="2" t="str">
        <f>IFERROR(__xludf.DUMMYFUNCTION("""COMPUTED_VALUE"""),"https://www.facebook.com/watch/live/?ref=watch_permalink&amp;v=923735834984653")</f>
        <v>https://www.facebook.com/watch/live/?ref=watch_permalink&amp;v=923735834984653</v>
      </c>
      <c r="J2327" s="1" t="str">
        <f>IFERROR(__xludf.DUMMYFUNCTION("""COMPUTED_VALUE"""),"2022-07-04T15:49:26.535Z")</f>
        <v>2022-07-04T15:49:26.535Z</v>
      </c>
      <c r="K2327" s="1"/>
    </row>
    <row r="2328">
      <c r="A2328" s="2" t="str">
        <f>IFERROR(__xludf.DUMMYFUNCTION("""COMPUTED_VALUE"""),"https://www.facebook.com/maryjean.solison.5")</f>
        <v>https://www.facebook.com/maryjean.solison.5</v>
      </c>
      <c r="B2328" s="1" t="str">
        <f>IFERROR(__xludf.DUMMYFUNCTION("""COMPUTED_VALUE"""),"Mary Jean Villanueva")</f>
        <v>Mary Jean Villanueva</v>
      </c>
      <c r="C2328" s="1" t="str">
        <f>IFERROR(__xludf.DUMMYFUNCTION("""COMPUTED_VALUE"""),"Mary")</f>
        <v>Mary</v>
      </c>
      <c r="D2328" s="1" t="str">
        <f>IFERROR(__xludf.DUMMYFUNCTION("""COMPUTED_VALUE"""),"Jean Villanueva")</f>
        <v>Jean Villanueva</v>
      </c>
      <c r="E2328" s="1" t="str">
        <f>IFERROR(__xludf.DUMMYFUNCTION("""COMPUTED_VALUE"""),"Totoong totoo po yan mam. Ako bilang residente ng QC madalas ako sa Manila. Nakita ko lahat nyang sinabi.")</f>
        <v>Totoong totoo po yan mam. Ako bilang residente ng QC madalas ako sa Manila. Nakita ko lahat nyang sinabi.</v>
      </c>
      <c r="F2328" s="1">
        <f>IFERROR(__xludf.DUMMYFUNCTION("""COMPUTED_VALUE"""),5.0)</f>
        <v>5</v>
      </c>
      <c r="G2328" s="1" t="str">
        <f>IFERROR(__xludf.DUMMYFUNCTION("""COMPUTED_VALUE"""),"3 mos")</f>
        <v>3 mos</v>
      </c>
      <c r="H2328" s="1" t="str">
        <f>IFERROR(__xludf.DUMMYFUNCTION("""COMPUTED_VALUE"""),"reply")</f>
        <v>reply</v>
      </c>
      <c r="I2328" s="2" t="str">
        <f>IFERROR(__xludf.DUMMYFUNCTION("""COMPUTED_VALUE"""),"https://www.facebook.com/watch/live/?ref=watch_permalink&amp;v=923735834984653")</f>
        <v>https://www.facebook.com/watch/live/?ref=watch_permalink&amp;v=923735834984653</v>
      </c>
      <c r="J2328" s="1" t="str">
        <f>IFERROR(__xludf.DUMMYFUNCTION("""COMPUTED_VALUE"""),"2022-07-04T15:49:26.535Z")</f>
        <v>2022-07-04T15:49:26.535Z</v>
      </c>
      <c r="K2328" s="1"/>
    </row>
    <row r="2329">
      <c r="A2329" s="2" t="str">
        <f>IFERROR(__xludf.DUMMYFUNCTION("""COMPUTED_VALUE"""),"https://www.facebook.com/oreng.lam.92")</f>
        <v>https://www.facebook.com/oreng.lam.92</v>
      </c>
      <c r="B2329" s="1" t="str">
        <f>IFERROR(__xludf.DUMMYFUNCTION("""COMPUTED_VALUE"""),"Liam Lee")</f>
        <v>Liam Lee</v>
      </c>
      <c r="C2329" s="1" t="str">
        <f>IFERROR(__xludf.DUMMYFUNCTION("""COMPUTED_VALUE"""),"Liam")</f>
        <v>Liam</v>
      </c>
      <c r="D2329" s="1" t="str">
        <f>IFERROR(__xludf.DUMMYFUNCTION("""COMPUTED_VALUE"""),"Lee")</f>
        <v>Lee</v>
      </c>
      <c r="E2329" s="1" t="str">
        <f>IFERROR(__xludf.DUMMYFUNCTION("""COMPUTED_VALUE"""),"Purita Johnsen ako po tiga Manila, sa tagal na po namin dyan kay Yorme umayos luminis at naging maganda ang pamamalakad sa Maynila.  Kahit umutang siya nilagay naman sa mabuti kalalagyan ang pera sa pabahay, eskwela, ospital at mga senior citizen. Yun iba"&amp;" dyan ang dali magclaim na may nagawa pero hanapan mo panay kwento, ito sa Maynila nakikita talaga. Yun iba maayos lang magsalita, desente pero pacute lang ang alam.  Sayang nga lang sana nagtagal pa si Isko sa Manila para maging mini Singapore.  BilisKil"&amp;"os talaga at may vision,  pumusta na tayo sa kanya.  #isko 💙☝️")</f>
        <v>Purita Johnsen ako po tiga Manila, sa tagal na po namin dyan kay Yorme umayos luminis at naging maganda ang pamamalakad sa Maynila.  Kahit umutang siya nilagay naman sa mabuti kalalagyan ang pera sa pabahay, eskwela, ospital at mga senior citizen. Yun iba dyan ang dali magclaim na may nagawa pero hanapan mo panay kwento, ito sa Maynila nakikita talaga. Yun iba maayos lang magsalita, desente pero pacute lang ang alam.  Sayang nga lang sana nagtagal pa si Isko sa Manila para maging mini Singapore.  BilisKilos talaga at may vision,  pumusta na tayo sa kanya.  #isko 💙☝️</v>
      </c>
      <c r="F2329" s="1">
        <f>IFERROR(__xludf.DUMMYFUNCTION("""COMPUTED_VALUE"""),1.0)</f>
        <v>1</v>
      </c>
      <c r="G2329" s="1" t="str">
        <f>IFERROR(__xludf.DUMMYFUNCTION("""COMPUTED_VALUE"""),"3 mos")</f>
        <v>3 mos</v>
      </c>
      <c r="H2329" s="1" t="str">
        <f>IFERROR(__xludf.DUMMYFUNCTION("""COMPUTED_VALUE"""),"reply")</f>
        <v>reply</v>
      </c>
      <c r="I2329" s="2" t="str">
        <f>IFERROR(__xludf.DUMMYFUNCTION("""COMPUTED_VALUE"""),"https://www.facebook.com/watch/live/?ref=watch_permalink&amp;v=923735834984653")</f>
        <v>https://www.facebook.com/watch/live/?ref=watch_permalink&amp;v=923735834984653</v>
      </c>
      <c r="J2329" s="1" t="str">
        <f>IFERROR(__xludf.DUMMYFUNCTION("""COMPUTED_VALUE"""),"2022-07-04T15:49:26.535Z")</f>
        <v>2022-07-04T15:49:26.535Z</v>
      </c>
      <c r="K2329" s="1"/>
    </row>
    <row r="2330">
      <c r="A2330" s="2" t="str">
        <f>IFERROR(__xludf.DUMMYFUNCTION("""COMPUTED_VALUE"""),"https://www.facebook.com/profile.php?id=100055630160451")</f>
        <v>https://www.facebook.com/profile.php?id=100055630160451</v>
      </c>
      <c r="B2330" s="1" t="str">
        <f>IFERROR(__xludf.DUMMYFUNCTION("""COMPUTED_VALUE"""),"Boboy Sadullo")</f>
        <v>Boboy Sadullo</v>
      </c>
      <c r="C2330" s="1" t="str">
        <f>IFERROR(__xludf.DUMMYFUNCTION("""COMPUTED_VALUE"""),"Boboy")</f>
        <v>Boboy</v>
      </c>
      <c r="D2330" s="1" t="str">
        <f>IFERROR(__xludf.DUMMYFUNCTION("""COMPUTED_VALUE"""),"Sadullo")</f>
        <v>Sadullo</v>
      </c>
      <c r="E2330" s="1" t="str">
        <f>IFERROR(__xludf.DUMMYFUNCTION("""COMPUTED_VALUE"""),"Boy benta Jr not worth to be a president. He is crocodile.")</f>
        <v>Boy benta Jr not worth to be a president. He is crocodile.</v>
      </c>
      <c r="F2330" s="1">
        <f>IFERROR(__xludf.DUMMYFUNCTION("""COMPUTED_VALUE"""),7.0)</f>
        <v>7</v>
      </c>
      <c r="G2330" s="1" t="str">
        <f>IFERROR(__xludf.DUMMYFUNCTION("""COMPUTED_VALUE"""),"3 mos")</f>
        <v>3 mos</v>
      </c>
      <c r="H2330" s="1" t="str">
        <f>IFERROR(__xludf.DUMMYFUNCTION("""COMPUTED_VALUE"""),"comment")</f>
        <v>comment</v>
      </c>
      <c r="I2330" s="2" t="str">
        <f>IFERROR(__xludf.DUMMYFUNCTION("""COMPUTED_VALUE"""),"https://www.facebook.com/watch/live/?ref=watch_permalink&amp;v=923735834984653")</f>
        <v>https://www.facebook.com/watch/live/?ref=watch_permalink&amp;v=923735834984653</v>
      </c>
      <c r="J2330" s="1" t="str">
        <f>IFERROR(__xludf.DUMMYFUNCTION("""COMPUTED_VALUE"""),"2022-07-04T15:49:26.535Z")</f>
        <v>2022-07-04T15:49:26.535Z</v>
      </c>
      <c r="K2330" s="1"/>
    </row>
    <row r="2331">
      <c r="A2331" s="2" t="str">
        <f>IFERROR(__xludf.DUMMYFUNCTION("""COMPUTED_VALUE"""),"https://www.facebook.com/profile.php?id=100008821067610")</f>
        <v>https://www.facebook.com/profile.php?id=100008821067610</v>
      </c>
      <c r="B2331" s="1" t="str">
        <f>IFERROR(__xludf.DUMMYFUNCTION("""COMPUTED_VALUE"""),"Regina C Dela Cruz")</f>
        <v>Regina C Dela Cruz</v>
      </c>
      <c r="C2331" s="1" t="str">
        <f>IFERROR(__xludf.DUMMYFUNCTION("""COMPUTED_VALUE"""),"Regina")</f>
        <v>Regina</v>
      </c>
      <c r="D2331" s="1" t="str">
        <f>IFERROR(__xludf.DUMMYFUNCTION("""COMPUTED_VALUE"""),"C Dela Cruz")</f>
        <v>C Dela Cruz</v>
      </c>
      <c r="E2331" s="1" t="str">
        <f>IFERROR(__xludf.DUMMYFUNCTION("""COMPUTED_VALUE"""),"Boboy Sadullo nagang ngakngak k wla k nmang kaalam alam...mga nagagalit kay yorme ung ayaw ng pagbabago...")</f>
        <v>Boboy Sadullo nagang ngakngak k wla k nmang kaalam alam...mga nagagalit kay yorme ung ayaw ng pagbabago...</v>
      </c>
      <c r="F2331" s="1">
        <f>IFERROR(__xludf.DUMMYFUNCTION("""COMPUTED_VALUE"""),1.0)</f>
        <v>1</v>
      </c>
      <c r="G2331" s="1" t="str">
        <f>IFERROR(__xludf.DUMMYFUNCTION("""COMPUTED_VALUE"""),"3 mos")</f>
        <v>3 mos</v>
      </c>
      <c r="H2331" s="1" t="str">
        <f>IFERROR(__xludf.DUMMYFUNCTION("""COMPUTED_VALUE"""),"reply")</f>
        <v>reply</v>
      </c>
      <c r="I2331" s="2" t="str">
        <f>IFERROR(__xludf.DUMMYFUNCTION("""COMPUTED_VALUE"""),"https://www.facebook.com/watch/live/?ref=watch_permalink&amp;v=923735834984653")</f>
        <v>https://www.facebook.com/watch/live/?ref=watch_permalink&amp;v=923735834984653</v>
      </c>
      <c r="J2331" s="1" t="str">
        <f>IFERROR(__xludf.DUMMYFUNCTION("""COMPUTED_VALUE"""),"2022-07-04T15:49:26.535Z")</f>
        <v>2022-07-04T15:49:26.535Z</v>
      </c>
      <c r="K2331" s="1"/>
    </row>
    <row r="2332">
      <c r="A2332" s="2" t="str">
        <f>IFERROR(__xludf.DUMMYFUNCTION("""COMPUTED_VALUE"""),"https://www.facebook.com/bhoyeth.domag.3")</f>
        <v>https://www.facebook.com/bhoyeth.domag.3</v>
      </c>
      <c r="B2332" s="1" t="str">
        <f>IFERROR(__xludf.DUMMYFUNCTION("""COMPUTED_VALUE"""),"Bhoyeth Domag")</f>
        <v>Bhoyeth Domag</v>
      </c>
      <c r="C2332" s="1" t="str">
        <f>IFERROR(__xludf.DUMMYFUNCTION("""COMPUTED_VALUE"""),"Bhoyeth")</f>
        <v>Bhoyeth</v>
      </c>
      <c r="D2332" s="1" t="str">
        <f>IFERROR(__xludf.DUMMYFUNCTION("""COMPUTED_VALUE"""),"Domag")</f>
        <v>Domag</v>
      </c>
      <c r="E2332" s="1" t="str">
        <f>IFERROR(__xludf.DUMMYFUNCTION("""COMPUTED_VALUE"""),"aral ka muna ng legalities.. wala kang alam sa batas")</f>
        <v>aral ka muna ng legalities.. wala kang alam sa batas</v>
      </c>
      <c r="F2332" s="1"/>
      <c r="G2332" s="1" t="str">
        <f>IFERROR(__xludf.DUMMYFUNCTION("""COMPUTED_VALUE"""),"3 mos")</f>
        <v>3 mos</v>
      </c>
      <c r="H2332" s="1" t="str">
        <f>IFERROR(__xludf.DUMMYFUNCTION("""COMPUTED_VALUE"""),"reply")</f>
        <v>reply</v>
      </c>
      <c r="I2332" s="2" t="str">
        <f>IFERROR(__xludf.DUMMYFUNCTION("""COMPUTED_VALUE"""),"https://www.facebook.com/watch/live/?ref=watch_permalink&amp;v=923735834984653")</f>
        <v>https://www.facebook.com/watch/live/?ref=watch_permalink&amp;v=923735834984653</v>
      </c>
      <c r="J2332" s="1" t="str">
        <f>IFERROR(__xludf.DUMMYFUNCTION("""COMPUTED_VALUE"""),"2022-07-04T15:49:26.535Z")</f>
        <v>2022-07-04T15:49:26.535Z</v>
      </c>
      <c r="K2332" s="1"/>
    </row>
    <row r="2333">
      <c r="A2333" s="2" t="str">
        <f>IFERROR(__xludf.DUMMYFUNCTION("""COMPUTED_VALUE"""),"https://www.facebook.com/jeric.irangan")</f>
        <v>https://www.facebook.com/jeric.irangan</v>
      </c>
      <c r="B2333" s="1" t="str">
        <f>IFERROR(__xludf.DUMMYFUNCTION("""COMPUTED_VALUE"""),"Jerrick Orenza")</f>
        <v>Jerrick Orenza</v>
      </c>
      <c r="C2333" s="1" t="str">
        <f>IFERROR(__xludf.DUMMYFUNCTION("""COMPUTED_VALUE"""),"Jerrick")</f>
        <v>Jerrick</v>
      </c>
      <c r="D2333" s="1" t="str">
        <f>IFERROR(__xludf.DUMMYFUNCTION("""COMPUTED_VALUE"""),"Orenza")</f>
        <v>Orenza</v>
      </c>
      <c r="E2333" s="1" t="str">
        <f>IFERROR(__xludf.DUMMYFUNCTION("""COMPUTED_VALUE"""),"Boboy Sadullo hindi mo naiintindihan si yorme, hindi ka kawalan")</f>
        <v>Boboy Sadullo hindi mo naiintindihan si yorme, hindi ka kawalan</v>
      </c>
      <c r="F2333" s="1"/>
      <c r="G2333" s="1" t="str">
        <f>IFERROR(__xludf.DUMMYFUNCTION("""COMPUTED_VALUE"""),"3 mos")</f>
        <v>3 mos</v>
      </c>
      <c r="H2333" s="1" t="str">
        <f>IFERROR(__xludf.DUMMYFUNCTION("""COMPUTED_VALUE"""),"reply")</f>
        <v>reply</v>
      </c>
      <c r="I2333" s="2" t="str">
        <f>IFERROR(__xludf.DUMMYFUNCTION("""COMPUTED_VALUE"""),"https://www.facebook.com/watch/live/?ref=watch_permalink&amp;v=923735834984653")</f>
        <v>https://www.facebook.com/watch/live/?ref=watch_permalink&amp;v=923735834984653</v>
      </c>
      <c r="J2333" s="1" t="str">
        <f>IFERROR(__xludf.DUMMYFUNCTION("""COMPUTED_VALUE"""),"2022-07-04T15:49:26.536Z")</f>
        <v>2022-07-04T15:49:26.536Z</v>
      </c>
      <c r="K2333" s="1"/>
    </row>
    <row r="2334">
      <c r="A2334" s="2" t="str">
        <f>IFERROR(__xludf.DUMMYFUNCTION("""COMPUTED_VALUE"""),"https://www.facebook.com/panny.valles")</f>
        <v>https://www.facebook.com/panny.valles</v>
      </c>
      <c r="B2334" s="1" t="str">
        <f>IFERROR(__xludf.DUMMYFUNCTION("""COMPUTED_VALUE"""),"Panny Valles")</f>
        <v>Panny Valles</v>
      </c>
      <c r="C2334" s="1" t="str">
        <f>IFERROR(__xludf.DUMMYFUNCTION("""COMPUTED_VALUE"""),"Panny")</f>
        <v>Panny</v>
      </c>
      <c r="D2334" s="1" t="str">
        <f>IFERROR(__xludf.DUMMYFUNCTION("""COMPUTED_VALUE"""),"Valles")</f>
        <v>Valles</v>
      </c>
      <c r="E2334" s="1" t="str">
        <f>IFERROR(__xludf.DUMMYFUNCTION("""COMPUTED_VALUE"""),"Boboy Sadullo look who’s talking? how about you? What r u doing? R u not a crocodile too? Bka mas masahol ka pa ke isko wag kang manghusga pra di ka rin husgahan.PEACE!!!")</f>
        <v>Boboy Sadullo look who’s talking? how about you? What r u doing? R u not a crocodile too? Bka mas masahol ka pa ke isko wag kang manghusga pra di ka rin husgahan.PEACE!!!</v>
      </c>
      <c r="F2334" s="1"/>
      <c r="G2334" s="1" t="str">
        <f>IFERROR(__xludf.DUMMYFUNCTION("""COMPUTED_VALUE"""),"3 mos")</f>
        <v>3 mos</v>
      </c>
      <c r="H2334" s="1" t="str">
        <f>IFERROR(__xludf.DUMMYFUNCTION("""COMPUTED_VALUE"""),"reply")</f>
        <v>reply</v>
      </c>
      <c r="I2334" s="2" t="str">
        <f>IFERROR(__xludf.DUMMYFUNCTION("""COMPUTED_VALUE"""),"https://www.facebook.com/watch/live/?ref=watch_permalink&amp;v=923735834984653")</f>
        <v>https://www.facebook.com/watch/live/?ref=watch_permalink&amp;v=923735834984653</v>
      </c>
      <c r="J2334" s="1" t="str">
        <f>IFERROR(__xludf.DUMMYFUNCTION("""COMPUTED_VALUE"""),"2022-07-04T15:49:26.536Z")</f>
        <v>2022-07-04T15:49:26.536Z</v>
      </c>
      <c r="K2334" s="1"/>
    </row>
    <row r="2335">
      <c r="A2335" s="2" t="str">
        <f>IFERROR(__xludf.DUMMYFUNCTION("""COMPUTED_VALUE"""),"https://www.facebook.com/sally.ladatenalaunan")</f>
        <v>https://www.facebook.com/sally.ladatenalaunan</v>
      </c>
      <c r="B2335" s="1" t="str">
        <f>IFERROR(__xludf.DUMMYFUNCTION("""COMPUTED_VALUE"""),"Ylla Datela")</f>
        <v>Ylla Datela</v>
      </c>
      <c r="C2335" s="1" t="str">
        <f>IFERROR(__xludf.DUMMYFUNCTION("""COMPUTED_VALUE"""),"Ylla")</f>
        <v>Ylla</v>
      </c>
      <c r="D2335" s="1" t="str">
        <f>IFERROR(__xludf.DUMMYFUNCTION("""COMPUTED_VALUE"""),"Datela")</f>
        <v>Datela</v>
      </c>
      <c r="E2335" s="1" t="str">
        <f>IFERROR(__xludf.DUMMYFUNCTION("""COMPUTED_VALUE"""),"Boboy Sadullo at Ikaw ano ka? Isang Ahas na kuda ng kuda")</f>
        <v>Boboy Sadullo at Ikaw ano ka? Isang Ahas na kuda ng kuda</v>
      </c>
      <c r="F2335" s="1"/>
      <c r="G2335" s="1" t="str">
        <f>IFERROR(__xludf.DUMMYFUNCTION("""COMPUTED_VALUE"""),"3 mos")</f>
        <v>3 mos</v>
      </c>
      <c r="H2335" s="1" t="str">
        <f>IFERROR(__xludf.DUMMYFUNCTION("""COMPUTED_VALUE"""),"reply")</f>
        <v>reply</v>
      </c>
      <c r="I2335" s="2" t="str">
        <f>IFERROR(__xludf.DUMMYFUNCTION("""COMPUTED_VALUE"""),"https://www.facebook.com/watch/live/?ref=watch_permalink&amp;v=923735834984653")</f>
        <v>https://www.facebook.com/watch/live/?ref=watch_permalink&amp;v=923735834984653</v>
      </c>
      <c r="J2335" s="1" t="str">
        <f>IFERROR(__xludf.DUMMYFUNCTION("""COMPUTED_VALUE"""),"2022-07-04T15:49:26.536Z")</f>
        <v>2022-07-04T15:49:26.536Z</v>
      </c>
      <c r="K2335" s="1"/>
    </row>
    <row r="2336">
      <c r="A2336" s="2" t="str">
        <f>IFERROR(__xludf.DUMMYFUNCTION("""COMPUTED_VALUE"""),"https://www.facebook.com/josephine.delavin.16")</f>
        <v>https://www.facebook.com/josephine.delavin.16</v>
      </c>
      <c r="B2336" s="1" t="str">
        <f>IFERROR(__xludf.DUMMYFUNCTION("""COMPUTED_VALUE"""),"Josephine Delavin")</f>
        <v>Josephine Delavin</v>
      </c>
      <c r="C2336" s="1" t="str">
        <f>IFERROR(__xludf.DUMMYFUNCTION("""COMPUTED_VALUE"""),"Josephine")</f>
        <v>Josephine</v>
      </c>
      <c r="D2336" s="1" t="str">
        <f>IFERROR(__xludf.DUMMYFUNCTION("""COMPUTED_VALUE"""),"Delavin")</f>
        <v>Delavin</v>
      </c>
      <c r="E2336" s="1" t="str">
        <f>IFERROR(__xludf.DUMMYFUNCTION("""COMPUTED_VALUE"""),"🙏🙏🙏🙏 The strongest weapon for Election 2022 A Servant and Leader 🔵❤❤❤❤☝️☝️☝️")</f>
        <v>🙏🙏🙏🙏 The strongest weapon for Election 2022 A Servant and Leader 🔵❤❤❤❤☝️☝️☝️</v>
      </c>
      <c r="F2336" s="1">
        <f>IFERROR(__xludf.DUMMYFUNCTION("""COMPUTED_VALUE"""),10.0)</f>
        <v>10</v>
      </c>
      <c r="G2336" s="1" t="str">
        <f>IFERROR(__xludf.DUMMYFUNCTION("""COMPUTED_VALUE"""),"3 mos")</f>
        <v>3 mos</v>
      </c>
      <c r="H2336" s="1" t="str">
        <f>IFERROR(__xludf.DUMMYFUNCTION("""COMPUTED_VALUE"""),"comment")</f>
        <v>comment</v>
      </c>
      <c r="I2336" s="2" t="str">
        <f>IFERROR(__xludf.DUMMYFUNCTION("""COMPUTED_VALUE"""),"https://www.facebook.com/watch/live/?ref=watch_permalink&amp;v=923735834984653")</f>
        <v>https://www.facebook.com/watch/live/?ref=watch_permalink&amp;v=923735834984653</v>
      </c>
      <c r="J2336" s="1" t="str">
        <f>IFERROR(__xludf.DUMMYFUNCTION("""COMPUTED_VALUE"""),"2022-07-04T15:49:26.536Z")</f>
        <v>2022-07-04T15:49:26.536Z</v>
      </c>
      <c r="K2336" s="1"/>
    </row>
    <row r="2337">
      <c r="A2337" s="2" t="str">
        <f>IFERROR(__xludf.DUMMYFUNCTION("""COMPUTED_VALUE"""),"https://www.facebook.com/grcvldmr")</f>
        <v>https://www.facebook.com/grcvldmr</v>
      </c>
      <c r="B2337" s="1" t="str">
        <f>IFERROR(__xludf.DUMMYFUNCTION("""COMPUTED_VALUE"""),"Grace Valdemoro")</f>
        <v>Grace Valdemoro</v>
      </c>
      <c r="C2337" s="1" t="str">
        <f>IFERROR(__xludf.DUMMYFUNCTION("""COMPUTED_VALUE"""),"Grace")</f>
        <v>Grace</v>
      </c>
      <c r="D2337" s="1" t="str">
        <f>IFERROR(__xludf.DUMMYFUNCTION("""COMPUTED_VALUE"""),"Valdemoro")</f>
        <v>Valdemoro</v>
      </c>
      <c r="E2337" s="1" t="str">
        <f>IFERROR(__xludf.DUMMYFUNCTION("""COMPUTED_VALUE"""),"GOD BLESS YOU YORME.ALWAYS KEEP A HUMBLE HEART..GOD IS WITH YOU..🙏🙏🙏❤❤❤")</f>
        <v>GOD BLESS YOU YORME.ALWAYS KEEP A HUMBLE HEART..GOD IS WITH YOU..🙏🙏🙏❤❤❤</v>
      </c>
      <c r="F2337" s="1">
        <f>IFERROR(__xludf.DUMMYFUNCTION("""COMPUTED_VALUE"""),12.0)</f>
        <v>12</v>
      </c>
      <c r="G2337" s="1" t="str">
        <f>IFERROR(__xludf.DUMMYFUNCTION("""COMPUTED_VALUE"""),"3 mos")</f>
        <v>3 mos</v>
      </c>
      <c r="H2337" s="1" t="str">
        <f>IFERROR(__xludf.DUMMYFUNCTION("""COMPUTED_VALUE"""),"comment")</f>
        <v>comment</v>
      </c>
      <c r="I2337" s="2" t="str">
        <f>IFERROR(__xludf.DUMMYFUNCTION("""COMPUTED_VALUE"""),"https://www.facebook.com/watch/live/?ref=watch_permalink&amp;v=923735834984653")</f>
        <v>https://www.facebook.com/watch/live/?ref=watch_permalink&amp;v=923735834984653</v>
      </c>
      <c r="J2337" s="1" t="str">
        <f>IFERROR(__xludf.DUMMYFUNCTION("""COMPUTED_VALUE"""),"2022-07-04T15:49:26.536Z")</f>
        <v>2022-07-04T15:49:26.536Z</v>
      </c>
      <c r="K2337" s="1"/>
    </row>
    <row r="2338">
      <c r="A2338" s="2" t="str">
        <f>IFERROR(__xludf.DUMMYFUNCTION("""COMPUTED_VALUE"""),"https://www.facebook.com/ferrer.eva")</f>
        <v>https://www.facebook.com/ferrer.eva</v>
      </c>
      <c r="B2338" s="1" t="str">
        <f>IFERROR(__xludf.DUMMYFUNCTION("""COMPUTED_VALUE"""),"Eva Sur Ferrer")</f>
        <v>Eva Sur Ferrer</v>
      </c>
      <c r="C2338" s="1" t="str">
        <f>IFERROR(__xludf.DUMMYFUNCTION("""COMPUTED_VALUE"""),"Eva")</f>
        <v>Eva</v>
      </c>
      <c r="D2338" s="1" t="str">
        <f>IFERROR(__xludf.DUMMYFUNCTION("""COMPUTED_VALUE"""),"Sur Ferrer")</f>
        <v>Sur Ferrer</v>
      </c>
      <c r="E2338" s="1" t="str">
        <f>IFERROR(__xludf.DUMMYFUNCTION("""COMPUTED_VALUE"""),"SWITCH TO ISKO! Bata, mabilis kumilos! May puso! May takot sa Dyos!!! May malasakit sa mahihirap at kapwa tao!!! Magiskooo na tayo!!!")</f>
        <v>SWITCH TO ISKO! Bata, mabilis kumilos! May puso! May takot sa Dyos!!! May malasakit sa mahihirap at kapwa tao!!! Magiskooo na tayo!!!</v>
      </c>
      <c r="F2338" s="1">
        <f>IFERROR(__xludf.DUMMYFUNCTION("""COMPUTED_VALUE"""),6.0)</f>
        <v>6</v>
      </c>
      <c r="G2338" s="1" t="str">
        <f>IFERROR(__xludf.DUMMYFUNCTION("""COMPUTED_VALUE"""),"3 mos")</f>
        <v>3 mos</v>
      </c>
      <c r="H2338" s="1" t="str">
        <f>IFERROR(__xludf.DUMMYFUNCTION("""COMPUTED_VALUE"""),"comment")</f>
        <v>comment</v>
      </c>
      <c r="I2338" s="2" t="str">
        <f>IFERROR(__xludf.DUMMYFUNCTION("""COMPUTED_VALUE"""),"https://www.facebook.com/watch/live/?ref=watch_permalink&amp;v=923735834984653")</f>
        <v>https://www.facebook.com/watch/live/?ref=watch_permalink&amp;v=923735834984653</v>
      </c>
      <c r="J2338" s="1" t="str">
        <f>IFERROR(__xludf.DUMMYFUNCTION("""COMPUTED_VALUE"""),"2022-07-04T15:49:26.536Z")</f>
        <v>2022-07-04T15:49:26.536Z</v>
      </c>
      <c r="K2338" s="1"/>
    </row>
    <row r="2339">
      <c r="A2339" s="2" t="str">
        <f>IFERROR(__xludf.DUMMYFUNCTION("""COMPUTED_VALUE"""),"https://www.facebook.com/profile.php?id=100055630160451")</f>
        <v>https://www.facebook.com/profile.php?id=100055630160451</v>
      </c>
      <c r="B2339" s="1" t="str">
        <f>IFERROR(__xludf.DUMMYFUNCTION("""COMPUTED_VALUE"""),"Boboy Sadullo")</f>
        <v>Boboy Sadullo</v>
      </c>
      <c r="C2339" s="1" t="str">
        <f>IFERROR(__xludf.DUMMYFUNCTION("""COMPUTED_VALUE"""),"Boboy")</f>
        <v>Boboy</v>
      </c>
      <c r="D2339" s="1" t="str">
        <f>IFERROR(__xludf.DUMMYFUNCTION("""COMPUTED_VALUE"""),"Sadullo")</f>
        <v>Sadullo</v>
      </c>
      <c r="E2339" s="1" t="str">
        <f>IFERROR(__xludf.DUMMYFUNCTION("""COMPUTED_VALUE"""),"Eva Sur Ferrer oo nga mabilis gumawa ng Pera😂😂😂")</f>
        <v>Eva Sur Ferrer oo nga mabilis gumawa ng Pera😂😂😂</v>
      </c>
      <c r="F2339" s="1"/>
      <c r="G2339" s="1" t="str">
        <f>IFERROR(__xludf.DUMMYFUNCTION("""COMPUTED_VALUE"""),"3 mos")</f>
        <v>3 mos</v>
      </c>
      <c r="H2339" s="1" t="str">
        <f>IFERROR(__xludf.DUMMYFUNCTION("""COMPUTED_VALUE"""),"reply")</f>
        <v>reply</v>
      </c>
      <c r="I2339" s="2" t="str">
        <f>IFERROR(__xludf.DUMMYFUNCTION("""COMPUTED_VALUE"""),"https://www.facebook.com/watch/live/?ref=watch_permalink&amp;v=923735834984653")</f>
        <v>https://www.facebook.com/watch/live/?ref=watch_permalink&amp;v=923735834984653</v>
      </c>
      <c r="J2339" s="1" t="str">
        <f>IFERROR(__xludf.DUMMYFUNCTION("""COMPUTED_VALUE"""),"2022-07-04T15:49:26.536Z")</f>
        <v>2022-07-04T15:49:26.536Z</v>
      </c>
      <c r="K2339" s="1"/>
    </row>
    <row r="2340">
      <c r="A2340" s="2" t="str">
        <f>IFERROR(__xludf.DUMMYFUNCTION("""COMPUTED_VALUE"""),"https://www.facebook.com/lodi.malupet.79")</f>
        <v>https://www.facebook.com/lodi.malupet.79</v>
      </c>
      <c r="B2340" s="1" t="str">
        <f>IFERROR(__xludf.DUMMYFUNCTION("""COMPUTED_VALUE"""),"Erick Soon")</f>
        <v>Erick Soon</v>
      </c>
      <c r="C2340" s="1" t="str">
        <f>IFERROR(__xludf.DUMMYFUNCTION("""COMPUTED_VALUE"""),"Erick")</f>
        <v>Erick</v>
      </c>
      <c r="D2340" s="1" t="str">
        <f>IFERROR(__xludf.DUMMYFUNCTION("""COMPUTED_VALUE"""),"Soon")</f>
        <v>Soon</v>
      </c>
      <c r="E2340" s="1" t="str">
        <f>IFERROR(__xludf.DUMMYFUNCTION("""COMPUTED_VALUE"""),"Marami Tlaga problems darating pag ikaw Ang President. Divisoria nga bininta mo, ikaw lng gumawa nian sa maynila, yan b utos sau ni joma sison😈😈")</f>
        <v>Marami Tlaga problems darating pag ikaw Ang President. Divisoria nga bininta mo, ikaw lng gumawa nian sa maynila, yan b utos sau ni joma sison😈😈</v>
      </c>
      <c r="F2340" s="1">
        <f>IFERROR(__xludf.DUMMYFUNCTION("""COMPUTED_VALUE"""),7.0)</f>
        <v>7</v>
      </c>
      <c r="G2340" s="1" t="str">
        <f>IFERROR(__xludf.DUMMYFUNCTION("""COMPUTED_VALUE"""),"3 mos")</f>
        <v>3 mos</v>
      </c>
      <c r="H2340" s="1" t="str">
        <f>IFERROR(__xludf.DUMMYFUNCTION("""COMPUTED_VALUE"""),"comment")</f>
        <v>comment</v>
      </c>
      <c r="I2340" s="2" t="str">
        <f>IFERROR(__xludf.DUMMYFUNCTION("""COMPUTED_VALUE"""),"https://www.facebook.com/watch/live/?ref=watch_permalink&amp;v=923735834984653")</f>
        <v>https://www.facebook.com/watch/live/?ref=watch_permalink&amp;v=923735834984653</v>
      </c>
      <c r="J2340" s="1" t="str">
        <f>IFERROR(__xludf.DUMMYFUNCTION("""COMPUTED_VALUE"""),"2022-07-04T15:49:26.536Z")</f>
        <v>2022-07-04T15:49:26.536Z</v>
      </c>
      <c r="K2340" s="1"/>
    </row>
    <row r="2341">
      <c r="A2341" s="2" t="str">
        <f>IFERROR(__xludf.DUMMYFUNCTION("""COMPUTED_VALUE"""),"https://www.facebook.com/choba.dunato")</f>
        <v>https://www.facebook.com/choba.dunato</v>
      </c>
      <c r="B2341" s="1" t="str">
        <f>IFERROR(__xludf.DUMMYFUNCTION("""COMPUTED_VALUE"""),"Apras N Estrella")</f>
        <v>Apras N Estrella</v>
      </c>
      <c r="C2341" s="1" t="str">
        <f>IFERROR(__xludf.DUMMYFUNCTION("""COMPUTED_VALUE"""),"Apras")</f>
        <v>Apras</v>
      </c>
      <c r="D2341" s="1" t="str">
        <f>IFERROR(__xludf.DUMMYFUNCTION("""COMPUTED_VALUE"""),"N Estrella")</f>
        <v>N Estrella</v>
      </c>
      <c r="E2341" s="1" t="str">
        <f>IFERROR(__xludf.DUMMYFUNCTION("""COMPUTED_VALUE"""),"Saan  ang patunay  mo")</f>
        <v>Saan  ang patunay  mo</v>
      </c>
      <c r="F2341" s="1">
        <f>IFERROR(__xludf.DUMMYFUNCTION("""COMPUTED_VALUE"""),3.0)</f>
        <v>3</v>
      </c>
      <c r="G2341" s="1" t="str">
        <f>IFERROR(__xludf.DUMMYFUNCTION("""COMPUTED_VALUE"""),"3 mos")</f>
        <v>3 mos</v>
      </c>
      <c r="H2341" s="1" t="str">
        <f>IFERROR(__xludf.DUMMYFUNCTION("""COMPUTED_VALUE"""),"reply")</f>
        <v>reply</v>
      </c>
      <c r="I2341" s="2" t="str">
        <f>IFERROR(__xludf.DUMMYFUNCTION("""COMPUTED_VALUE"""),"https://www.facebook.com/watch/live/?ref=watch_permalink&amp;v=923735834984653")</f>
        <v>https://www.facebook.com/watch/live/?ref=watch_permalink&amp;v=923735834984653</v>
      </c>
      <c r="J2341" s="1" t="str">
        <f>IFERROR(__xludf.DUMMYFUNCTION("""COMPUTED_VALUE"""),"2022-07-04T15:49:26.536Z")</f>
        <v>2022-07-04T15:49:26.536Z</v>
      </c>
      <c r="K2341" s="1"/>
    </row>
    <row r="2342">
      <c r="A2342" s="2" t="str">
        <f>IFERROR(__xludf.DUMMYFUNCTION("""COMPUTED_VALUE"""),"https://www.facebook.com/bambina.cruz.5")</f>
        <v>https://www.facebook.com/bambina.cruz.5</v>
      </c>
      <c r="B2342" s="1" t="str">
        <f>IFERROR(__xludf.DUMMYFUNCTION("""COMPUTED_VALUE"""),"Bambina Cruz")</f>
        <v>Bambina Cruz</v>
      </c>
      <c r="C2342" s="1" t="str">
        <f>IFERROR(__xludf.DUMMYFUNCTION("""COMPUTED_VALUE"""),"Bambina")</f>
        <v>Bambina</v>
      </c>
      <c r="D2342" s="1" t="str">
        <f>IFERROR(__xludf.DUMMYFUNCTION("""COMPUTED_VALUE"""),"Cruz")</f>
        <v>Cruz</v>
      </c>
      <c r="E2342" s="1" t="str">
        <f>IFERROR(__xludf.DUMMYFUNCTION("""COMPUTED_VALUE"""),"Erick Soon nafake news ka")</f>
        <v>Erick Soon nafake news ka</v>
      </c>
      <c r="F2342" s="1">
        <f>IFERROR(__xludf.DUMMYFUNCTION("""COMPUTED_VALUE"""),1.0)</f>
        <v>1</v>
      </c>
      <c r="G2342" s="1" t="str">
        <f>IFERROR(__xludf.DUMMYFUNCTION("""COMPUTED_VALUE"""),"3 mos")</f>
        <v>3 mos</v>
      </c>
      <c r="H2342" s="1" t="str">
        <f>IFERROR(__xludf.DUMMYFUNCTION("""COMPUTED_VALUE"""),"reply")</f>
        <v>reply</v>
      </c>
      <c r="I2342" s="2" t="str">
        <f>IFERROR(__xludf.DUMMYFUNCTION("""COMPUTED_VALUE"""),"https://www.facebook.com/watch/live/?ref=watch_permalink&amp;v=923735834984653")</f>
        <v>https://www.facebook.com/watch/live/?ref=watch_permalink&amp;v=923735834984653</v>
      </c>
      <c r="J2342" s="1" t="str">
        <f>IFERROR(__xludf.DUMMYFUNCTION("""COMPUTED_VALUE"""),"2022-07-04T15:49:26.536Z")</f>
        <v>2022-07-04T15:49:26.536Z</v>
      </c>
      <c r="K2342" s="1"/>
    </row>
    <row r="2343">
      <c r="A2343" s="2" t="str">
        <f>IFERROR(__xludf.DUMMYFUNCTION("""COMPUTED_VALUE"""),"https://www.facebook.com/ding.lunar.9")</f>
        <v>https://www.facebook.com/ding.lunar.9</v>
      </c>
      <c r="B2343" s="1" t="str">
        <f>IFERROR(__xludf.DUMMYFUNCTION("""COMPUTED_VALUE"""),"Ding Lunar")</f>
        <v>Ding Lunar</v>
      </c>
      <c r="C2343" s="1" t="str">
        <f>IFERROR(__xludf.DUMMYFUNCTION("""COMPUTED_VALUE"""),"Ding")</f>
        <v>Ding</v>
      </c>
      <c r="D2343" s="1" t="str">
        <f>IFERROR(__xludf.DUMMYFUNCTION("""COMPUTED_VALUE"""),"Lunar")</f>
        <v>Lunar</v>
      </c>
      <c r="E2343" s="1" t="str">
        <f>IFERROR(__xludf.DUMMYFUNCTION("""COMPUTED_VALUE"""),"Apple Ducoll punta ka dito manila")</f>
        <v>Apple Ducoll punta ka dito manila</v>
      </c>
      <c r="F2343" s="1">
        <f>IFERROR(__xludf.DUMMYFUNCTION("""COMPUTED_VALUE"""),1.0)</f>
        <v>1</v>
      </c>
      <c r="G2343" s="1" t="str">
        <f>IFERROR(__xludf.DUMMYFUNCTION("""COMPUTED_VALUE"""),"3 mos")</f>
        <v>3 mos</v>
      </c>
      <c r="H2343" s="1" t="str">
        <f>IFERROR(__xludf.DUMMYFUNCTION("""COMPUTED_VALUE"""),"reply")</f>
        <v>reply</v>
      </c>
      <c r="I2343" s="2" t="str">
        <f>IFERROR(__xludf.DUMMYFUNCTION("""COMPUTED_VALUE"""),"https://www.facebook.com/watch/live/?ref=watch_permalink&amp;v=923735834984653")</f>
        <v>https://www.facebook.com/watch/live/?ref=watch_permalink&amp;v=923735834984653</v>
      </c>
      <c r="J2343" s="1" t="str">
        <f>IFERROR(__xludf.DUMMYFUNCTION("""COMPUTED_VALUE"""),"2022-07-04T15:49:26.536Z")</f>
        <v>2022-07-04T15:49:26.536Z</v>
      </c>
      <c r="K2343" s="1"/>
    </row>
    <row r="2344">
      <c r="A2344" s="2" t="str">
        <f>IFERROR(__xludf.DUMMYFUNCTION("""COMPUTED_VALUE"""),"https://www.facebook.com/ding.lunar.9")</f>
        <v>https://www.facebook.com/ding.lunar.9</v>
      </c>
      <c r="B2344" s="1" t="str">
        <f>IFERROR(__xludf.DUMMYFUNCTION("""COMPUTED_VALUE"""),"Ding Lunar")</f>
        <v>Ding Lunar</v>
      </c>
      <c r="C2344" s="1" t="str">
        <f>IFERROR(__xludf.DUMMYFUNCTION("""COMPUTED_VALUE"""),"Ding")</f>
        <v>Ding</v>
      </c>
      <c r="D2344" s="1" t="str">
        <f>IFERROR(__xludf.DUMMYFUNCTION("""COMPUTED_VALUE"""),"Lunar")</f>
        <v>Lunar</v>
      </c>
      <c r="E2344" s="1" t="str">
        <f>IFERROR(__xludf.DUMMYFUNCTION("""COMPUTED_VALUE"""),"Apple Ducoll punta ka dito sa manila")</f>
        <v>Apple Ducoll punta ka dito sa manila</v>
      </c>
      <c r="F2344" s="1"/>
      <c r="G2344" s="1" t="str">
        <f>IFERROR(__xludf.DUMMYFUNCTION("""COMPUTED_VALUE"""),"3 mos")</f>
        <v>3 mos</v>
      </c>
      <c r="H2344" s="1" t="str">
        <f>IFERROR(__xludf.DUMMYFUNCTION("""COMPUTED_VALUE"""),"reply")</f>
        <v>reply</v>
      </c>
      <c r="I2344" s="2" t="str">
        <f>IFERROR(__xludf.DUMMYFUNCTION("""COMPUTED_VALUE"""),"https://www.facebook.com/watch/live/?ref=watch_permalink&amp;v=923735834984653")</f>
        <v>https://www.facebook.com/watch/live/?ref=watch_permalink&amp;v=923735834984653</v>
      </c>
      <c r="J2344" s="1" t="str">
        <f>IFERROR(__xludf.DUMMYFUNCTION("""COMPUTED_VALUE"""),"2022-07-04T15:49:26.536Z")</f>
        <v>2022-07-04T15:49:26.536Z</v>
      </c>
      <c r="K2344" s="1"/>
    </row>
    <row r="2345">
      <c r="A2345" s="2" t="str">
        <f>IFERROR(__xludf.DUMMYFUNCTION("""COMPUTED_VALUE"""),"https://www.facebook.com/diego.bakulaw")</f>
        <v>https://www.facebook.com/diego.bakulaw</v>
      </c>
      <c r="B2345" s="1" t="str">
        <f>IFERROR(__xludf.DUMMYFUNCTION("""COMPUTED_VALUE"""),"Nus Ydnas")</f>
        <v>Nus Ydnas</v>
      </c>
      <c r="C2345" s="1" t="str">
        <f>IFERROR(__xludf.DUMMYFUNCTION("""COMPUTED_VALUE"""),"Nus")</f>
        <v>Nus</v>
      </c>
      <c r="D2345" s="1" t="str">
        <f>IFERROR(__xludf.DUMMYFUNCTION("""COMPUTED_VALUE"""),"Ydnas")</f>
        <v>Ydnas</v>
      </c>
      <c r="E2345" s="1" t="str">
        <f>IFERROR(__xludf.DUMMYFUNCTION("""COMPUTED_VALUE"""),"Di pa ba patunay ang lahat ng vendor sa divesoria na nawalang ng pagkakitaan")</f>
        <v>Di pa ba patunay ang lahat ng vendor sa divesoria na nawalang ng pagkakitaan</v>
      </c>
      <c r="F2345" s="1"/>
      <c r="G2345" s="1" t="str">
        <f>IFERROR(__xludf.DUMMYFUNCTION("""COMPUTED_VALUE"""),"3 mos")</f>
        <v>3 mos</v>
      </c>
      <c r="H2345" s="1" t="str">
        <f>IFERROR(__xludf.DUMMYFUNCTION("""COMPUTED_VALUE"""),"reply")</f>
        <v>reply</v>
      </c>
      <c r="I2345" s="2" t="str">
        <f>IFERROR(__xludf.DUMMYFUNCTION("""COMPUTED_VALUE"""),"https://www.facebook.com/watch/live/?ref=watch_permalink&amp;v=923735834984653")</f>
        <v>https://www.facebook.com/watch/live/?ref=watch_permalink&amp;v=923735834984653</v>
      </c>
      <c r="J2345" s="1" t="str">
        <f>IFERROR(__xludf.DUMMYFUNCTION("""COMPUTED_VALUE"""),"2022-07-04T15:49:26.536Z")</f>
        <v>2022-07-04T15:49:26.536Z</v>
      </c>
      <c r="K2345" s="1"/>
    </row>
    <row r="2346">
      <c r="A2346" s="2" t="str">
        <f>IFERROR(__xludf.DUMMYFUNCTION("""COMPUTED_VALUE"""),"https://www.facebook.com/choba.dunato")</f>
        <v>https://www.facebook.com/choba.dunato</v>
      </c>
      <c r="B2346" s="1" t="str">
        <f>IFERROR(__xludf.DUMMYFUNCTION("""COMPUTED_VALUE"""),"Apras N Estrella")</f>
        <v>Apras N Estrella</v>
      </c>
      <c r="C2346" s="1" t="str">
        <f>IFERROR(__xludf.DUMMYFUNCTION("""COMPUTED_VALUE"""),"Apras")</f>
        <v>Apras</v>
      </c>
      <c r="D2346" s="1" t="str">
        <f>IFERROR(__xludf.DUMMYFUNCTION("""COMPUTED_VALUE"""),"N Estrella")</f>
        <v>N Estrella</v>
      </c>
      <c r="E2346" s="1" t="str">
        <f>IFERROR(__xludf.DUMMYFUNCTION("""COMPUTED_VALUE"""),"Ding Lunar bakit")</f>
        <v>Ding Lunar bakit</v>
      </c>
      <c r="F2346" s="1"/>
      <c r="G2346" s="1" t="str">
        <f>IFERROR(__xludf.DUMMYFUNCTION("""COMPUTED_VALUE"""),"3 mos")</f>
        <v>3 mos</v>
      </c>
      <c r="H2346" s="1" t="str">
        <f>IFERROR(__xludf.DUMMYFUNCTION("""COMPUTED_VALUE"""),"reply")</f>
        <v>reply</v>
      </c>
      <c r="I2346" s="2" t="str">
        <f>IFERROR(__xludf.DUMMYFUNCTION("""COMPUTED_VALUE"""),"https://www.facebook.com/watch/live/?ref=watch_permalink&amp;v=923735834984653")</f>
        <v>https://www.facebook.com/watch/live/?ref=watch_permalink&amp;v=923735834984653</v>
      </c>
      <c r="J2346" s="1" t="str">
        <f>IFERROR(__xludf.DUMMYFUNCTION("""COMPUTED_VALUE"""),"2022-07-04T15:49:26.536Z")</f>
        <v>2022-07-04T15:49:26.536Z</v>
      </c>
      <c r="K2346" s="1"/>
    </row>
    <row r="2347">
      <c r="A2347" s="2" t="str">
        <f>IFERROR(__xludf.DUMMYFUNCTION("""COMPUTED_VALUE"""),"https://www.facebook.com/barry.ciloy.1")</f>
        <v>https://www.facebook.com/barry.ciloy.1</v>
      </c>
      <c r="B2347" s="1" t="str">
        <f>IFERROR(__xludf.DUMMYFUNCTION("""COMPUTED_VALUE"""),"Barry Ciloy")</f>
        <v>Barry Ciloy</v>
      </c>
      <c r="C2347" s="1" t="str">
        <f>IFERROR(__xludf.DUMMYFUNCTION("""COMPUTED_VALUE"""),"Barry")</f>
        <v>Barry</v>
      </c>
      <c r="D2347" s="1" t="str">
        <f>IFERROR(__xludf.DUMMYFUNCTION("""COMPUTED_VALUE"""),"Ciloy")</f>
        <v>Ciloy</v>
      </c>
      <c r="E2347" s="1" t="str">
        <f>IFERROR(__xludf.DUMMYFUNCTION("""COMPUTED_VALUE"""),"@Golden Tucky:BRAVOOOOO 👌👌👌 YES YES YES SWITCH TO ISKO YOU ARE THE MOST QUALIFIED PRESIDENTIABLE GOD BLESS YOU YORME 🙏🙏🙏🙏🙏🙏🙏🙏🙏🙏🙏🙏🙏🙏🙏🙏🙏🙏🙏🙏🙏🙏")</f>
        <v>@Golden Tucky:BRAVOOOOO 👌👌👌 YES YES YES SWITCH TO ISKO YOU ARE THE MOST QUALIFIED PRESIDENTIABLE GOD BLESS YOU YORME 🙏🙏🙏🙏🙏🙏🙏🙏🙏🙏🙏🙏🙏🙏🙏🙏🙏🙏🙏🙏🙏🙏</v>
      </c>
      <c r="F2347" s="1">
        <f>IFERROR(__xludf.DUMMYFUNCTION("""COMPUTED_VALUE"""),1.0)</f>
        <v>1</v>
      </c>
      <c r="G2347" s="1" t="str">
        <f>IFERROR(__xludf.DUMMYFUNCTION("""COMPUTED_VALUE"""),"3 mos")</f>
        <v>3 mos</v>
      </c>
      <c r="H2347" s="1" t="str">
        <f>IFERROR(__xludf.DUMMYFUNCTION("""COMPUTED_VALUE"""),"comment")</f>
        <v>comment</v>
      </c>
      <c r="I2347" s="2" t="str">
        <f>IFERROR(__xludf.DUMMYFUNCTION("""COMPUTED_VALUE"""),"https://www.facebook.com/watch/live/?ref=watch_permalink&amp;v=923735834984653")</f>
        <v>https://www.facebook.com/watch/live/?ref=watch_permalink&amp;v=923735834984653</v>
      </c>
      <c r="J2347" s="1" t="str">
        <f>IFERROR(__xludf.DUMMYFUNCTION("""COMPUTED_VALUE"""),"2022-07-04T15:49:26.536Z")</f>
        <v>2022-07-04T15:49:26.536Z</v>
      </c>
      <c r="K2347" s="1"/>
    </row>
    <row r="2348">
      <c r="A2348" s="2" t="str">
        <f>IFERROR(__xludf.DUMMYFUNCTION("""COMPUTED_VALUE"""),"https://www.facebook.com/salvie.maris.5")</f>
        <v>https://www.facebook.com/salvie.maris.5</v>
      </c>
      <c r="B2348" s="1" t="str">
        <f>IFERROR(__xludf.DUMMYFUNCTION("""COMPUTED_VALUE"""),"Salvie M. Del Monte")</f>
        <v>Salvie M. Del Monte</v>
      </c>
      <c r="C2348" s="1" t="str">
        <f>IFERROR(__xludf.DUMMYFUNCTION("""COMPUTED_VALUE"""),"Salvie")</f>
        <v>Salvie</v>
      </c>
      <c r="D2348" s="1" t="str">
        <f>IFERROR(__xludf.DUMMYFUNCTION("""COMPUTED_VALUE"""),"M. Del Monte")</f>
        <v>M. Del Monte</v>
      </c>
      <c r="E2348" s="1" t="str">
        <f>IFERROR(__xludf.DUMMYFUNCTION("""COMPUTED_VALUE"""),"Solid mayor isko moreno domagoso god love bless u always 🙏 🙏 🙏")</f>
        <v>Solid mayor isko moreno domagoso god love bless u always 🙏 🙏 🙏</v>
      </c>
      <c r="F2348" s="1">
        <f>IFERROR(__xludf.DUMMYFUNCTION("""COMPUTED_VALUE"""),21.0)</f>
        <v>21</v>
      </c>
      <c r="G2348" s="1" t="str">
        <f>IFERROR(__xludf.DUMMYFUNCTION("""COMPUTED_VALUE"""),"3 mos")</f>
        <v>3 mos</v>
      </c>
      <c r="H2348" s="1" t="str">
        <f>IFERROR(__xludf.DUMMYFUNCTION("""COMPUTED_VALUE"""),"comment")</f>
        <v>comment</v>
      </c>
      <c r="I2348" s="2" t="str">
        <f>IFERROR(__xludf.DUMMYFUNCTION("""COMPUTED_VALUE"""),"https://www.facebook.com/watch/live/?ref=watch_permalink&amp;v=923735834984653")</f>
        <v>https://www.facebook.com/watch/live/?ref=watch_permalink&amp;v=923735834984653</v>
      </c>
      <c r="J2348" s="1" t="str">
        <f>IFERROR(__xludf.DUMMYFUNCTION("""COMPUTED_VALUE"""),"2022-07-04T15:49:26.536Z")</f>
        <v>2022-07-04T15:49:26.536Z</v>
      </c>
      <c r="K2348" s="1"/>
    </row>
    <row r="2349">
      <c r="A2349" s="2" t="str">
        <f>IFERROR(__xludf.DUMMYFUNCTION("""COMPUTED_VALUE"""),"https://www.facebook.com/ben.balois.1")</f>
        <v>https://www.facebook.com/ben.balois.1</v>
      </c>
      <c r="B2349" s="1" t="str">
        <f>IFERROR(__xludf.DUMMYFUNCTION("""COMPUTED_VALUE"""),"Ben Balois")</f>
        <v>Ben Balois</v>
      </c>
      <c r="C2349" s="1" t="str">
        <f>IFERROR(__xludf.DUMMYFUNCTION("""COMPUTED_VALUE"""),"Ben")</f>
        <v>Ben</v>
      </c>
      <c r="D2349" s="1" t="str">
        <f>IFERROR(__xludf.DUMMYFUNCTION("""COMPUTED_VALUE"""),"Balois")</f>
        <v>Balois</v>
      </c>
      <c r="E2349" s="1" t="str">
        <f>IFERROR(__xludf.DUMMYFUNCTION("""COMPUTED_VALUE"""),"An Isko vote is a wrong vote! Beware of Isko, he will destroy our Maharlika motherland!")</f>
        <v>An Isko vote is a wrong vote! Beware of Isko, he will destroy our Maharlika motherland!</v>
      </c>
      <c r="F2349" s="1">
        <f>IFERROR(__xludf.DUMMYFUNCTION("""COMPUTED_VALUE"""),4.0)</f>
        <v>4</v>
      </c>
      <c r="G2349" s="1" t="str">
        <f>IFERROR(__xludf.DUMMYFUNCTION("""COMPUTED_VALUE"""),"3 mos")</f>
        <v>3 mos</v>
      </c>
      <c r="H2349" s="1" t="str">
        <f>IFERROR(__xludf.DUMMYFUNCTION("""COMPUTED_VALUE"""),"comment")</f>
        <v>comment</v>
      </c>
      <c r="I2349" s="2" t="str">
        <f>IFERROR(__xludf.DUMMYFUNCTION("""COMPUTED_VALUE"""),"https://www.facebook.com/watch/live/?ref=watch_permalink&amp;v=923735834984653")</f>
        <v>https://www.facebook.com/watch/live/?ref=watch_permalink&amp;v=923735834984653</v>
      </c>
      <c r="J2349" s="1" t="str">
        <f>IFERROR(__xludf.DUMMYFUNCTION("""COMPUTED_VALUE"""),"2022-07-04T15:49:26.537Z")</f>
        <v>2022-07-04T15:49:26.537Z</v>
      </c>
      <c r="K2349" s="1"/>
    </row>
    <row r="2350">
      <c r="A2350" s="2" t="str">
        <f>IFERROR(__xludf.DUMMYFUNCTION("""COMPUTED_VALUE"""),"https://www.facebook.com/annabelle.ventus")</f>
        <v>https://www.facebook.com/annabelle.ventus</v>
      </c>
      <c r="B2350" s="1" t="str">
        <f>IFERROR(__xludf.DUMMYFUNCTION("""COMPUTED_VALUE"""),"Asjarie Celeste Castroverde")</f>
        <v>Asjarie Celeste Castroverde</v>
      </c>
      <c r="C2350" s="1" t="str">
        <f>IFERROR(__xludf.DUMMYFUNCTION("""COMPUTED_VALUE"""),"Asjarie")</f>
        <v>Asjarie</v>
      </c>
      <c r="D2350" s="1" t="str">
        <f>IFERROR(__xludf.DUMMYFUNCTION("""COMPUTED_VALUE"""),"Celeste Castroverde")</f>
        <v>Celeste Castroverde</v>
      </c>
      <c r="E2350" s="1" t="str">
        <f>IFERROR(__xludf.DUMMYFUNCTION("""COMPUTED_VALUE"""),"Lol")</f>
        <v>Lol</v>
      </c>
      <c r="F2350" s="1"/>
      <c r="G2350" s="1" t="str">
        <f>IFERROR(__xludf.DUMMYFUNCTION("""COMPUTED_VALUE"""),"3 mos")</f>
        <v>3 mos</v>
      </c>
      <c r="H2350" s="1" t="str">
        <f>IFERROR(__xludf.DUMMYFUNCTION("""COMPUTED_VALUE"""),"reply")</f>
        <v>reply</v>
      </c>
      <c r="I2350" s="2" t="str">
        <f>IFERROR(__xludf.DUMMYFUNCTION("""COMPUTED_VALUE"""),"https://www.facebook.com/watch/live/?ref=watch_permalink&amp;v=923735834984653")</f>
        <v>https://www.facebook.com/watch/live/?ref=watch_permalink&amp;v=923735834984653</v>
      </c>
      <c r="J2350" s="1" t="str">
        <f>IFERROR(__xludf.DUMMYFUNCTION("""COMPUTED_VALUE"""),"2022-07-04T15:49:26.537Z")</f>
        <v>2022-07-04T15:49:26.537Z</v>
      </c>
      <c r="K2350" s="1"/>
    </row>
    <row r="2351">
      <c r="A2351" s="2" t="str">
        <f>IFERROR(__xludf.DUMMYFUNCTION("""COMPUTED_VALUE"""),"https://www.facebook.com/lhord.symphatico")</f>
        <v>https://www.facebook.com/lhord.symphatico</v>
      </c>
      <c r="B2351" s="1" t="str">
        <f>IFERROR(__xludf.DUMMYFUNCTION("""COMPUTED_VALUE"""),"Rommel Espayos Espenida")</f>
        <v>Rommel Espayos Espenida</v>
      </c>
      <c r="C2351" s="1" t="str">
        <f>IFERROR(__xludf.DUMMYFUNCTION("""COMPUTED_VALUE"""),"Rommel")</f>
        <v>Rommel</v>
      </c>
      <c r="D2351" s="1" t="str">
        <f>IFERROR(__xludf.DUMMYFUNCTION("""COMPUTED_VALUE"""),"Espayos Espenida")</f>
        <v>Espayos Espenida</v>
      </c>
      <c r="E2351" s="1" t="str">
        <f>IFERROR(__xludf.DUMMYFUNCTION("""COMPUTED_VALUE"""),"Delekado yan pagnanalo , ngayon pa lang kilalanin nyo ng maigi wag nyo ilagay ang buhay ng mga anak sa walang kakayahan . Kailangan alam ang totoong pagkakilanlan ng mga Pilipino biblical times pa.")</f>
        <v>Delekado yan pagnanalo , ngayon pa lang kilalanin nyo ng maigi wag nyo ilagay ang buhay ng mga anak sa walang kakayahan . Kailangan alam ang totoong pagkakilanlan ng mga Pilipino biblical times pa.</v>
      </c>
      <c r="F2351" s="1">
        <f>IFERROR(__xludf.DUMMYFUNCTION("""COMPUTED_VALUE"""),8.0)</f>
        <v>8</v>
      </c>
      <c r="G2351" s="1" t="str">
        <f>IFERROR(__xludf.DUMMYFUNCTION("""COMPUTED_VALUE"""),"3 mos")</f>
        <v>3 mos</v>
      </c>
      <c r="H2351" s="1" t="str">
        <f>IFERROR(__xludf.DUMMYFUNCTION("""COMPUTED_VALUE"""),"comment")</f>
        <v>comment</v>
      </c>
      <c r="I2351" s="2" t="str">
        <f>IFERROR(__xludf.DUMMYFUNCTION("""COMPUTED_VALUE"""),"https://www.facebook.com/watch/live/?ref=watch_permalink&amp;v=923735834984653")</f>
        <v>https://www.facebook.com/watch/live/?ref=watch_permalink&amp;v=923735834984653</v>
      </c>
      <c r="J2351" s="1" t="str">
        <f>IFERROR(__xludf.DUMMYFUNCTION("""COMPUTED_VALUE"""),"2022-07-04T15:49:26.537Z")</f>
        <v>2022-07-04T15:49:26.537Z</v>
      </c>
      <c r="K2351" s="1"/>
    </row>
    <row r="2352">
      <c r="A2352" s="2" t="str">
        <f>IFERROR(__xludf.DUMMYFUNCTION("""COMPUTED_VALUE"""),"https://www.facebook.com/soliviocheryl")</f>
        <v>https://www.facebook.com/soliviocheryl</v>
      </c>
      <c r="B2352" s="1" t="str">
        <f>IFERROR(__xludf.DUMMYFUNCTION("""COMPUTED_VALUE"""),"Chelay Solivio")</f>
        <v>Chelay Solivio</v>
      </c>
      <c r="C2352" s="1" t="str">
        <f>IFERROR(__xludf.DUMMYFUNCTION("""COMPUTED_VALUE"""),"Chelay")</f>
        <v>Chelay</v>
      </c>
      <c r="D2352" s="1" t="str">
        <f>IFERROR(__xludf.DUMMYFUNCTION("""COMPUTED_VALUE"""),"Solivio")</f>
        <v>Solivio</v>
      </c>
      <c r="E2352" s="1" t="str">
        <f>IFERROR(__xludf.DUMMYFUNCTION("""COMPUTED_VALUE"""),"Mas delikado kong ikaw")</f>
        <v>Mas delikado kong ikaw</v>
      </c>
      <c r="F2352" s="1">
        <f>IFERROR(__xludf.DUMMYFUNCTION("""COMPUTED_VALUE"""),3.0)</f>
        <v>3</v>
      </c>
      <c r="G2352" s="1" t="str">
        <f>IFERROR(__xludf.DUMMYFUNCTION("""COMPUTED_VALUE"""),"3 mos")</f>
        <v>3 mos</v>
      </c>
      <c r="H2352" s="1" t="str">
        <f>IFERROR(__xludf.DUMMYFUNCTION("""COMPUTED_VALUE"""),"reply")</f>
        <v>reply</v>
      </c>
      <c r="I2352" s="2" t="str">
        <f>IFERROR(__xludf.DUMMYFUNCTION("""COMPUTED_VALUE"""),"https://www.facebook.com/watch/live/?ref=watch_permalink&amp;v=923735834984653")</f>
        <v>https://www.facebook.com/watch/live/?ref=watch_permalink&amp;v=923735834984653</v>
      </c>
      <c r="J2352" s="1" t="str">
        <f>IFERROR(__xludf.DUMMYFUNCTION("""COMPUTED_VALUE"""),"2022-07-04T15:49:26.537Z")</f>
        <v>2022-07-04T15:49:26.537Z</v>
      </c>
      <c r="K2352" s="1"/>
    </row>
    <row r="2353">
      <c r="A2353" s="2" t="str">
        <f>IFERROR(__xludf.DUMMYFUNCTION("""COMPUTED_VALUE"""),"https://www.facebook.com/ceruma.rich")</f>
        <v>https://www.facebook.com/ceruma.rich</v>
      </c>
      <c r="B2353" s="1" t="str">
        <f>IFERROR(__xludf.DUMMYFUNCTION("""COMPUTED_VALUE"""),"Amurec Hcir")</f>
        <v>Amurec Hcir</v>
      </c>
      <c r="C2353" s="1" t="str">
        <f>IFERROR(__xludf.DUMMYFUNCTION("""COMPUTED_VALUE"""),"Amurec")</f>
        <v>Amurec</v>
      </c>
      <c r="D2353" s="1" t="str">
        <f>IFERROR(__xludf.DUMMYFUNCTION("""COMPUTED_VALUE"""),"Hcir")</f>
        <v>Hcir</v>
      </c>
      <c r="E2353" s="1" t="str">
        <f>IFERROR(__xludf.DUMMYFUNCTION("""COMPUTED_VALUE"""),"mas delikado pag c junyur,, at c lenlen 😂🤣  lutang at ngiwi,, naloko na🤣😂")</f>
        <v>mas delikado pag c junyur,, at c lenlen 😂🤣  lutang at ngiwi,, naloko na🤣😂</v>
      </c>
      <c r="F2353" s="1">
        <f>IFERROR(__xludf.DUMMYFUNCTION("""COMPUTED_VALUE"""),9.0)</f>
        <v>9</v>
      </c>
      <c r="G2353" s="1" t="str">
        <f>IFERROR(__xludf.DUMMYFUNCTION("""COMPUTED_VALUE"""),"3 mos")</f>
        <v>3 mos</v>
      </c>
      <c r="H2353" s="1" t="str">
        <f>IFERROR(__xludf.DUMMYFUNCTION("""COMPUTED_VALUE"""),"reply")</f>
        <v>reply</v>
      </c>
      <c r="I2353" s="2" t="str">
        <f>IFERROR(__xludf.DUMMYFUNCTION("""COMPUTED_VALUE"""),"https://www.facebook.com/watch/live/?ref=watch_permalink&amp;v=923735834984653")</f>
        <v>https://www.facebook.com/watch/live/?ref=watch_permalink&amp;v=923735834984653</v>
      </c>
      <c r="J2353" s="1" t="str">
        <f>IFERROR(__xludf.DUMMYFUNCTION("""COMPUTED_VALUE"""),"2022-07-04T15:49:26.537Z")</f>
        <v>2022-07-04T15:49:26.537Z</v>
      </c>
      <c r="K2353" s="1"/>
    </row>
    <row r="2354">
      <c r="A2354" s="2" t="str">
        <f>IFERROR(__xludf.DUMMYFUNCTION("""COMPUTED_VALUE"""),"https://www.facebook.com/lhord.symphatico")</f>
        <v>https://www.facebook.com/lhord.symphatico</v>
      </c>
      <c r="B2354" s="1" t="str">
        <f>IFERROR(__xludf.DUMMYFUNCTION("""COMPUTED_VALUE"""),"Rommel Espayos Espenida")</f>
        <v>Rommel Espayos Espenida</v>
      </c>
      <c r="C2354" s="1" t="str">
        <f>IFERROR(__xludf.DUMMYFUNCTION("""COMPUTED_VALUE"""),"Rommel")</f>
        <v>Rommel</v>
      </c>
      <c r="D2354" s="1" t="str">
        <f>IFERROR(__xludf.DUMMYFUNCTION("""COMPUTED_VALUE"""),"Espayos Espenida")</f>
        <v>Espayos Espenida</v>
      </c>
      <c r="E2354" s="1" t="str">
        <f>IFERROR(__xludf.DUMMYFUNCTION("""COMPUTED_VALUE"""),"Taga Tondo din ako at hindi ako tumatakbo,")</f>
        <v>Taga Tondo din ako at hindi ako tumatakbo,</v>
      </c>
      <c r="F2354" s="1"/>
      <c r="G2354" s="1" t="str">
        <f>IFERROR(__xludf.DUMMYFUNCTION("""COMPUTED_VALUE"""),"3 mos")</f>
        <v>3 mos</v>
      </c>
      <c r="H2354" s="1" t="str">
        <f>IFERROR(__xludf.DUMMYFUNCTION("""COMPUTED_VALUE"""),"reply")</f>
        <v>reply</v>
      </c>
      <c r="I2354" s="2" t="str">
        <f>IFERROR(__xludf.DUMMYFUNCTION("""COMPUTED_VALUE"""),"https://www.facebook.com/watch/live/?ref=watch_permalink&amp;v=923735834984653")</f>
        <v>https://www.facebook.com/watch/live/?ref=watch_permalink&amp;v=923735834984653</v>
      </c>
      <c r="J2354" s="1" t="str">
        <f>IFERROR(__xludf.DUMMYFUNCTION("""COMPUTED_VALUE"""),"2022-07-04T15:49:26.537Z")</f>
        <v>2022-07-04T15:49:26.537Z</v>
      </c>
      <c r="K2354" s="1"/>
    </row>
    <row r="2355">
      <c r="A2355" s="2" t="str">
        <f>IFERROR(__xludf.DUMMYFUNCTION("""COMPUTED_VALUE"""),"https://www.facebook.com/raymund.pasman.754")</f>
        <v>https://www.facebook.com/raymund.pasman.754</v>
      </c>
      <c r="B2355" s="1" t="str">
        <f>IFERROR(__xludf.DUMMYFUNCTION("""COMPUTED_VALUE"""),"Raymund Pasman")</f>
        <v>Raymund Pasman</v>
      </c>
      <c r="C2355" s="1" t="str">
        <f>IFERROR(__xludf.DUMMYFUNCTION("""COMPUTED_VALUE"""),"Raymund")</f>
        <v>Raymund</v>
      </c>
      <c r="D2355" s="1" t="str">
        <f>IFERROR(__xludf.DUMMYFUNCTION("""COMPUTED_VALUE"""),"Pasman")</f>
        <v>Pasman</v>
      </c>
      <c r="E2355" s="1" t="str">
        <f>IFERROR(__xludf.DUMMYFUNCTION("""COMPUTED_VALUE"""),"mas delikado kau...kasi wala kaung nagawa maski sa sarili  o sa pamilya nio kaya ka ganyan...")</f>
        <v>mas delikado kau...kasi wala kaung nagawa maski sa sarili  o sa pamilya nio kaya ka ganyan...</v>
      </c>
      <c r="F2355" s="1">
        <f>IFERROR(__xludf.DUMMYFUNCTION("""COMPUTED_VALUE"""),5.0)</f>
        <v>5</v>
      </c>
      <c r="G2355" s="1" t="str">
        <f>IFERROR(__xludf.DUMMYFUNCTION("""COMPUTED_VALUE"""),"3 mos")</f>
        <v>3 mos</v>
      </c>
      <c r="H2355" s="1" t="str">
        <f>IFERROR(__xludf.DUMMYFUNCTION("""COMPUTED_VALUE"""),"reply")</f>
        <v>reply</v>
      </c>
      <c r="I2355" s="2" t="str">
        <f>IFERROR(__xludf.DUMMYFUNCTION("""COMPUTED_VALUE"""),"https://www.facebook.com/watch/live/?ref=watch_permalink&amp;v=923735834984653")</f>
        <v>https://www.facebook.com/watch/live/?ref=watch_permalink&amp;v=923735834984653</v>
      </c>
      <c r="J2355" s="1" t="str">
        <f>IFERROR(__xludf.DUMMYFUNCTION("""COMPUTED_VALUE"""),"2022-07-04T15:49:26.537Z")</f>
        <v>2022-07-04T15:49:26.537Z</v>
      </c>
      <c r="K2355" s="1"/>
    </row>
    <row r="2356">
      <c r="A2356" s="2" t="str">
        <f>IFERROR(__xludf.DUMMYFUNCTION("""COMPUTED_VALUE"""),"https://www.facebook.com/lhord.symphatico")</f>
        <v>https://www.facebook.com/lhord.symphatico</v>
      </c>
      <c r="B2356" s="1" t="str">
        <f>IFERROR(__xludf.DUMMYFUNCTION("""COMPUTED_VALUE"""),"Rommel Espayos Espenida")</f>
        <v>Rommel Espayos Espenida</v>
      </c>
      <c r="C2356" s="1" t="str">
        <f>IFERROR(__xludf.DUMMYFUNCTION("""COMPUTED_VALUE"""),"Rommel")</f>
        <v>Rommel</v>
      </c>
      <c r="D2356" s="1" t="str">
        <f>IFERROR(__xludf.DUMMYFUNCTION("""COMPUTED_VALUE"""),"Espayos Espenida")</f>
        <v>Espayos Espenida</v>
      </c>
      <c r="E2356" s="1" t="str">
        <f>IFERROR(__xludf.DUMMYFUNCTION("""COMPUTED_VALUE"""),"Alam nyo , ang alam nyo ay alam ko din pero ang alam ko hindi nyo alam. Basta importante ang maging Presidente ay may kakayahan mabawi at mabayaran ang mga utang ng ibang mga bansa . May alam sa ekonomiya at relasyon ng mga salinlahi ng mga Hebreo noon pa"&amp;" at maibalik ang totoong pagkakilanlan ng bansa ayon sa totoong pangalan bago dumating dito ang mga mananakop na nagdala ng pananampalatayang pumapatay sa ating mga ninuno. The more you look deeper from the past, the more you understand the future. "" ang"&amp;" kabataan ang pag asa ng bayan "" ayon kay Dr. Jose Rizal")</f>
        <v>Alam nyo , ang alam nyo ay alam ko din pero ang alam ko hindi nyo alam. Basta importante ang maging Presidente ay may kakayahan mabawi at mabayaran ang mga utang ng ibang mga bansa . May alam sa ekonomiya at relasyon ng mga salinlahi ng mga Hebreo noon pa at maibalik ang totoong pagkakilanlan ng bansa ayon sa totoong pangalan bago dumating dito ang mga mananakop na nagdala ng pananampalatayang pumapatay sa ating mga ninuno. The more you look deeper from the past, the more you understand the future. " ang kabataan ang pag asa ng bayan " ayon kay Dr. Jose Rizal</v>
      </c>
      <c r="F2356" s="1">
        <f>IFERROR(__xludf.DUMMYFUNCTION("""COMPUTED_VALUE"""),3.0)</f>
        <v>3</v>
      </c>
      <c r="G2356" s="1" t="str">
        <f>IFERROR(__xludf.DUMMYFUNCTION("""COMPUTED_VALUE"""),"3 mos")</f>
        <v>3 mos</v>
      </c>
      <c r="H2356" s="1" t="str">
        <f>IFERROR(__xludf.DUMMYFUNCTION("""COMPUTED_VALUE"""),"reply")</f>
        <v>reply</v>
      </c>
      <c r="I2356" s="2" t="str">
        <f>IFERROR(__xludf.DUMMYFUNCTION("""COMPUTED_VALUE"""),"https://www.facebook.com/watch/live/?ref=watch_permalink&amp;v=923735834984653")</f>
        <v>https://www.facebook.com/watch/live/?ref=watch_permalink&amp;v=923735834984653</v>
      </c>
      <c r="J2356" s="1" t="str">
        <f>IFERROR(__xludf.DUMMYFUNCTION("""COMPUTED_VALUE"""),"2022-07-04T15:49:26.537Z")</f>
        <v>2022-07-04T15:49:26.537Z</v>
      </c>
      <c r="K2356" s="1"/>
    </row>
    <row r="2357">
      <c r="A2357" s="2" t="str">
        <f>IFERROR(__xludf.DUMMYFUNCTION("""COMPUTED_VALUE"""),"https://www.facebook.com/maryjean.solison.5")</f>
        <v>https://www.facebook.com/maryjean.solison.5</v>
      </c>
      <c r="B2357" s="1" t="str">
        <f>IFERROR(__xludf.DUMMYFUNCTION("""COMPUTED_VALUE"""),"Mary Jean Villanueva")</f>
        <v>Mary Jean Villanueva</v>
      </c>
      <c r="C2357" s="1" t="str">
        <f>IFERROR(__xludf.DUMMYFUNCTION("""COMPUTED_VALUE"""),"Mary")</f>
        <v>Mary</v>
      </c>
      <c r="D2357" s="1" t="str">
        <f>IFERROR(__xludf.DUMMYFUNCTION("""COMPUTED_VALUE"""),"Jean Villanueva")</f>
        <v>Jean Villanueva</v>
      </c>
      <c r="E2357" s="1" t="str">
        <f>IFERROR(__xludf.DUMMYFUNCTION("""COMPUTED_VALUE"""),"Sino sa alm mo may kakayahan yung spolied brat at pekeng diploma o yung pa cute nga lutang nman nga hindi")</f>
        <v>Sino sa alm mo may kakayahan yung spolied brat at pekeng diploma o yung pa cute nga lutang nman nga hindi</v>
      </c>
      <c r="F2357" s="1"/>
      <c r="G2357" s="1" t="str">
        <f>IFERROR(__xludf.DUMMYFUNCTION("""COMPUTED_VALUE"""),"3 mos")</f>
        <v>3 mos</v>
      </c>
      <c r="H2357" s="1" t="str">
        <f>IFERROR(__xludf.DUMMYFUNCTION("""COMPUTED_VALUE"""),"reply")</f>
        <v>reply</v>
      </c>
      <c r="I2357" s="2" t="str">
        <f>IFERROR(__xludf.DUMMYFUNCTION("""COMPUTED_VALUE"""),"https://www.facebook.com/watch/live/?ref=watch_permalink&amp;v=923735834984653")</f>
        <v>https://www.facebook.com/watch/live/?ref=watch_permalink&amp;v=923735834984653</v>
      </c>
      <c r="J2357" s="1" t="str">
        <f>IFERROR(__xludf.DUMMYFUNCTION("""COMPUTED_VALUE"""),"2022-07-04T15:49:26.537Z")</f>
        <v>2022-07-04T15:49:26.537Z</v>
      </c>
      <c r="K2357" s="1"/>
    </row>
    <row r="2358">
      <c r="A2358" s="2" t="str">
        <f>IFERROR(__xludf.DUMMYFUNCTION("""COMPUTED_VALUE"""),"https://www.facebook.com/marie.diot1")</f>
        <v>https://www.facebook.com/marie.diot1</v>
      </c>
      <c r="B2358" s="1" t="str">
        <f>IFERROR(__xludf.DUMMYFUNCTION("""COMPUTED_VALUE"""),"Marie Sischo")</f>
        <v>Marie Sischo</v>
      </c>
      <c r="C2358" s="1" t="str">
        <f>IFERROR(__xludf.DUMMYFUNCTION("""COMPUTED_VALUE"""),"Marie")</f>
        <v>Marie</v>
      </c>
      <c r="D2358" s="1" t="str">
        <f>IFERROR(__xludf.DUMMYFUNCTION("""COMPUTED_VALUE"""),"Sischo")</f>
        <v>Sischo</v>
      </c>
      <c r="E2358" s="1" t="str">
        <f>IFERROR(__xludf.DUMMYFUNCTION("""COMPUTED_VALUE"""),"Chelay Arellano Solivio 😂😂😂")</f>
        <v>Chelay Arellano Solivio 😂😂😂</v>
      </c>
      <c r="F2358" s="1"/>
      <c r="G2358" s="1" t="str">
        <f>IFERROR(__xludf.DUMMYFUNCTION("""COMPUTED_VALUE"""),"3 mos")</f>
        <v>3 mos</v>
      </c>
      <c r="H2358" s="1" t="str">
        <f>IFERROR(__xludf.DUMMYFUNCTION("""COMPUTED_VALUE"""),"reply")</f>
        <v>reply</v>
      </c>
      <c r="I2358" s="2" t="str">
        <f>IFERROR(__xludf.DUMMYFUNCTION("""COMPUTED_VALUE"""),"https://www.facebook.com/watch/live/?ref=watch_permalink&amp;v=923735834984653")</f>
        <v>https://www.facebook.com/watch/live/?ref=watch_permalink&amp;v=923735834984653</v>
      </c>
      <c r="J2358" s="1" t="str">
        <f>IFERROR(__xludf.DUMMYFUNCTION("""COMPUTED_VALUE"""),"2022-07-04T15:49:26.537Z")</f>
        <v>2022-07-04T15:49:26.537Z</v>
      </c>
      <c r="K2358" s="1"/>
    </row>
    <row r="2359">
      <c r="A2359" s="2" t="str">
        <f>IFERROR(__xludf.DUMMYFUNCTION("""COMPUTED_VALUE"""),"https://www.facebook.com/vergie.bustamante.7")</f>
        <v>https://www.facebook.com/vergie.bustamante.7</v>
      </c>
      <c r="B2359" s="1" t="str">
        <f>IFERROR(__xludf.DUMMYFUNCTION("""COMPUTED_VALUE"""),"Vergie Bustamante")</f>
        <v>Vergie Bustamante</v>
      </c>
      <c r="C2359" s="1" t="str">
        <f>IFERROR(__xludf.DUMMYFUNCTION("""COMPUTED_VALUE"""),"Vergie")</f>
        <v>Vergie</v>
      </c>
      <c r="D2359" s="1" t="str">
        <f>IFERROR(__xludf.DUMMYFUNCTION("""COMPUTED_VALUE"""),"Bustamante")</f>
        <v>Bustamante</v>
      </c>
      <c r="E2359" s="1" t="str">
        <f>IFERROR(__xludf.DUMMYFUNCTION("""COMPUTED_VALUE"""),"Kawawa  kanman  mg hanap knlang ng bagong ininigisyo mo dhil bka dyn maubos ang perang pinag paguran mo. Iniwan mo ang mynila iiwan karin nila tga mynila tandaan mo .")</f>
        <v>Kawawa  kanman  mg hanap knlang ng bagong ininigisyo mo dhil bka dyn maubos ang perang pinag paguran mo. Iniwan mo ang mynila iiwan karin nila tga mynila tandaan mo .</v>
      </c>
      <c r="F2359" s="1">
        <f>IFERROR(__xludf.DUMMYFUNCTION("""COMPUTED_VALUE"""),3.0)</f>
        <v>3</v>
      </c>
      <c r="G2359" s="1" t="str">
        <f>IFERROR(__xludf.DUMMYFUNCTION("""COMPUTED_VALUE"""),"3 mos")</f>
        <v>3 mos</v>
      </c>
      <c r="H2359" s="1" t="str">
        <f>IFERROR(__xludf.DUMMYFUNCTION("""COMPUTED_VALUE"""),"comment")</f>
        <v>comment</v>
      </c>
      <c r="I2359" s="2" t="str">
        <f>IFERROR(__xludf.DUMMYFUNCTION("""COMPUTED_VALUE"""),"https://www.facebook.com/watch/live/?ref=watch_permalink&amp;v=923735834984653")</f>
        <v>https://www.facebook.com/watch/live/?ref=watch_permalink&amp;v=923735834984653</v>
      </c>
      <c r="J2359" s="1" t="str">
        <f>IFERROR(__xludf.DUMMYFUNCTION("""COMPUTED_VALUE"""),"2022-07-04T15:49:26.537Z")</f>
        <v>2022-07-04T15:49:26.537Z</v>
      </c>
      <c r="K2359" s="1"/>
    </row>
    <row r="2360">
      <c r="A2360" s="2" t="str">
        <f>IFERROR(__xludf.DUMMYFUNCTION("""COMPUTED_VALUE"""),"https://www.facebook.com/profile.php?id=100068675928336")</f>
        <v>https://www.facebook.com/profile.php?id=100068675928336</v>
      </c>
      <c r="B2360" s="1" t="str">
        <f>IFERROR(__xludf.DUMMYFUNCTION("""COMPUTED_VALUE"""),"Isko Tayo")</f>
        <v>Isko Tayo</v>
      </c>
      <c r="C2360" s="1" t="str">
        <f>IFERROR(__xludf.DUMMYFUNCTION("""COMPUTED_VALUE"""),"Isko")</f>
        <v>Isko</v>
      </c>
      <c r="D2360" s="1" t="str">
        <f>IFERROR(__xludf.DUMMYFUNCTION("""COMPUTED_VALUE"""),"Tayo")</f>
        <v>Tayo</v>
      </c>
      <c r="E2360" s="1" t="str">
        <f>IFERROR(__xludf.DUMMYFUNCTION("""COMPUTED_VALUE"""),"Vergie Bustamante kawawa ka naman haha")</f>
        <v>Vergie Bustamante kawawa ka naman haha</v>
      </c>
      <c r="F2360" s="1"/>
      <c r="G2360" s="1" t="str">
        <f>IFERROR(__xludf.DUMMYFUNCTION("""COMPUTED_VALUE"""),"3 mos")</f>
        <v>3 mos</v>
      </c>
      <c r="H2360" s="1" t="str">
        <f>IFERROR(__xludf.DUMMYFUNCTION("""COMPUTED_VALUE"""),"reply")</f>
        <v>reply</v>
      </c>
      <c r="I2360" s="2" t="str">
        <f>IFERROR(__xludf.DUMMYFUNCTION("""COMPUTED_VALUE"""),"https://www.facebook.com/watch/live/?ref=watch_permalink&amp;v=923735834984653")</f>
        <v>https://www.facebook.com/watch/live/?ref=watch_permalink&amp;v=923735834984653</v>
      </c>
      <c r="J2360" s="1" t="str">
        <f>IFERROR(__xludf.DUMMYFUNCTION("""COMPUTED_VALUE"""),"2022-07-04T15:49:26.537Z")</f>
        <v>2022-07-04T15:49:26.537Z</v>
      </c>
      <c r="K2360" s="1"/>
    </row>
    <row r="2361">
      <c r="A2361" s="2" t="str">
        <f>IFERROR(__xludf.DUMMYFUNCTION("""COMPUTED_VALUE"""),"https://www.facebook.com/julia.evangelista.18488")</f>
        <v>https://www.facebook.com/julia.evangelista.18488</v>
      </c>
      <c r="B2361" s="1" t="str">
        <f>IFERROR(__xludf.DUMMYFUNCTION("""COMPUTED_VALUE"""),"Julia Evangelista")</f>
        <v>Julia Evangelista</v>
      </c>
      <c r="C2361" s="1" t="str">
        <f>IFERROR(__xludf.DUMMYFUNCTION("""COMPUTED_VALUE"""),"Julia")</f>
        <v>Julia</v>
      </c>
      <c r="D2361" s="1" t="str">
        <f>IFERROR(__xludf.DUMMYFUNCTION("""COMPUTED_VALUE"""),"Evangelista")</f>
        <v>Evangelista</v>
      </c>
      <c r="E2361" s="1" t="str">
        <f>IFERROR(__xludf.DUMMYFUNCTION("""COMPUTED_VALUE"""),"Sakuragi Al Hadz Exactly ☝🏻💙")</f>
        <v>Sakuragi Al Hadz Exactly ☝🏻💙</v>
      </c>
      <c r="F2361" s="1"/>
      <c r="G2361" s="1" t="str">
        <f>IFERROR(__xludf.DUMMYFUNCTION("""COMPUTED_VALUE"""),"3 mos")</f>
        <v>3 mos</v>
      </c>
      <c r="H2361" s="1" t="str">
        <f>IFERROR(__xludf.DUMMYFUNCTION("""COMPUTED_VALUE"""),"reply")</f>
        <v>reply</v>
      </c>
      <c r="I2361" s="2" t="str">
        <f>IFERROR(__xludf.DUMMYFUNCTION("""COMPUTED_VALUE"""),"https://www.facebook.com/watch/live/?ref=watch_permalink&amp;v=923735834984653")</f>
        <v>https://www.facebook.com/watch/live/?ref=watch_permalink&amp;v=923735834984653</v>
      </c>
      <c r="J2361" s="1" t="str">
        <f>IFERROR(__xludf.DUMMYFUNCTION("""COMPUTED_VALUE"""),"2022-07-04T15:49:26.537Z")</f>
        <v>2022-07-04T15:49:26.537Z</v>
      </c>
      <c r="K2361" s="1"/>
    </row>
    <row r="2362">
      <c r="A2362" s="2" t="str">
        <f>IFERROR(__xludf.DUMMYFUNCTION("""COMPUTED_VALUE"""),"https://www.facebook.com/ester.lualhati19")</f>
        <v>https://www.facebook.com/ester.lualhati19</v>
      </c>
      <c r="B2362" s="1" t="str">
        <f>IFERROR(__xludf.DUMMYFUNCTION("""COMPUTED_VALUE"""),"Ester Lualhati")</f>
        <v>Ester Lualhati</v>
      </c>
      <c r="C2362" s="1" t="str">
        <f>IFERROR(__xludf.DUMMYFUNCTION("""COMPUTED_VALUE"""),"Ester")</f>
        <v>Ester</v>
      </c>
      <c r="D2362" s="1" t="str">
        <f>IFERROR(__xludf.DUMMYFUNCTION("""COMPUTED_VALUE"""),"Lualhati")</f>
        <v>Lualhati</v>
      </c>
      <c r="E2362" s="1" t="str">
        <f>IFERROR(__xludf.DUMMYFUNCTION("""COMPUTED_VALUE"""),"DUON TAYO SA MAY MAGAGAWA MAY GINAGAWA AT MAY GAGAWIN. PA..IKAW NA..ISKO SA GOBYERNO..MAKADYOS MAKATAO..MAY PUSO AT MAY PANININDIGAN..GOD BLESS ALL..")</f>
        <v>DUON TAYO SA MAY MAGAGAWA MAY GINAGAWA AT MAY GAGAWIN. PA..IKAW NA..ISKO SA GOBYERNO..MAKADYOS MAKATAO..MAY PUSO AT MAY PANININDIGAN..GOD BLESS ALL..</v>
      </c>
      <c r="F2362" s="1">
        <f>IFERROR(__xludf.DUMMYFUNCTION("""COMPUTED_VALUE"""),2.0)</f>
        <v>2</v>
      </c>
      <c r="G2362" s="1" t="str">
        <f>IFERROR(__xludf.DUMMYFUNCTION("""COMPUTED_VALUE"""),"3 mos")</f>
        <v>3 mos</v>
      </c>
      <c r="H2362" s="1" t="str">
        <f>IFERROR(__xludf.DUMMYFUNCTION("""COMPUTED_VALUE"""),"comment")</f>
        <v>comment</v>
      </c>
      <c r="I2362" s="2" t="str">
        <f>IFERROR(__xludf.DUMMYFUNCTION("""COMPUTED_VALUE"""),"https://www.facebook.com/watch/live/?ref=watch_permalink&amp;v=923735834984653")</f>
        <v>https://www.facebook.com/watch/live/?ref=watch_permalink&amp;v=923735834984653</v>
      </c>
      <c r="J2362" s="1" t="str">
        <f>IFERROR(__xludf.DUMMYFUNCTION("""COMPUTED_VALUE"""),"2022-07-04T15:49:26.537Z")</f>
        <v>2022-07-04T15:49:26.537Z</v>
      </c>
      <c r="K2362" s="1"/>
    </row>
    <row r="2363">
      <c r="A2363" s="2" t="str">
        <f>IFERROR(__xludf.DUMMYFUNCTION("""COMPUTED_VALUE"""),"https://www.facebook.com/jaime.gacusan.12")</f>
        <v>https://www.facebook.com/jaime.gacusan.12</v>
      </c>
      <c r="B2363" s="1" t="str">
        <f>IFERROR(__xludf.DUMMYFUNCTION("""COMPUTED_VALUE"""),"Jaime Bustamante Gacusan")</f>
        <v>Jaime Bustamante Gacusan</v>
      </c>
      <c r="C2363" s="1" t="str">
        <f>IFERROR(__xludf.DUMMYFUNCTION("""COMPUTED_VALUE"""),"Jaime")</f>
        <v>Jaime</v>
      </c>
      <c r="D2363" s="1" t="str">
        <f>IFERROR(__xludf.DUMMYFUNCTION("""COMPUTED_VALUE"""),"Bustamante Gacusan")</f>
        <v>Bustamante Gacusan</v>
      </c>
      <c r="E2363" s="1" t="str">
        <f>IFERROR(__xludf.DUMMYFUNCTION("""COMPUTED_VALUE"""),"Paligoy ligoy kpa tolongges. Siraan agad ang kalaban at buhatin agad ang bangko at magpakahero at mangbuladas agad🤣🤣🤣")</f>
        <v>Paligoy ligoy kpa tolongges. Siraan agad ang kalaban at buhatin agad ang bangko at magpakahero at mangbuladas agad🤣🤣🤣</v>
      </c>
      <c r="F2363" s="1">
        <f>IFERROR(__xludf.DUMMYFUNCTION("""COMPUTED_VALUE"""),1.0)</f>
        <v>1</v>
      </c>
      <c r="G2363" s="1" t="str">
        <f>IFERROR(__xludf.DUMMYFUNCTION("""COMPUTED_VALUE"""),"3 mos")</f>
        <v>3 mos</v>
      </c>
      <c r="H2363" s="1" t="str">
        <f>IFERROR(__xludf.DUMMYFUNCTION("""COMPUTED_VALUE"""),"comment")</f>
        <v>comment</v>
      </c>
      <c r="I2363" s="2" t="str">
        <f>IFERROR(__xludf.DUMMYFUNCTION("""COMPUTED_VALUE"""),"https://www.facebook.com/watch/live/?ref=watch_permalink&amp;v=923735834984653")</f>
        <v>https://www.facebook.com/watch/live/?ref=watch_permalink&amp;v=923735834984653</v>
      </c>
      <c r="J2363" s="1" t="str">
        <f>IFERROR(__xludf.DUMMYFUNCTION("""COMPUTED_VALUE"""),"2022-07-04T15:49:26.538Z")</f>
        <v>2022-07-04T15:49:26.538Z</v>
      </c>
      <c r="K2363" s="1"/>
    </row>
    <row r="2364">
      <c r="A2364" s="2" t="str">
        <f>IFERROR(__xludf.DUMMYFUNCTION("""COMPUTED_VALUE"""),"https://www.facebook.com/zenaida.pineda.75054")</f>
        <v>https://www.facebook.com/zenaida.pineda.75054</v>
      </c>
      <c r="B2364" s="1" t="str">
        <f>IFERROR(__xludf.DUMMYFUNCTION("""COMPUTED_VALUE"""),"Zenaida Sanchez")</f>
        <v>Zenaida Sanchez</v>
      </c>
      <c r="C2364" s="1" t="str">
        <f>IFERROR(__xludf.DUMMYFUNCTION("""COMPUTED_VALUE"""),"Zenaida")</f>
        <v>Zenaida</v>
      </c>
      <c r="D2364" s="1" t="str">
        <f>IFERROR(__xludf.DUMMYFUNCTION("""COMPUTED_VALUE"""),"Sanchez")</f>
        <v>Sanchez</v>
      </c>
      <c r="E2364" s="1" t="str">
        <f>IFERROR(__xludf.DUMMYFUNCTION("""COMPUTED_VALUE"""),"Jaime Bustamante Gacusan ang tao dw ayaw sa isang tao marami alam sbhn kung ayaw mo c isko tahi.mik knlng iboto mo ang gusto mo para dka mgkamali")</f>
        <v>Jaime Bustamante Gacusan ang tao dw ayaw sa isang tao marami alam sbhn kung ayaw mo c isko tahi.mik knlng iboto mo ang gusto mo para dka mgkamali</v>
      </c>
      <c r="F2364" s="1"/>
      <c r="G2364" s="1" t="str">
        <f>IFERROR(__xludf.DUMMYFUNCTION("""COMPUTED_VALUE"""),"3 mos")</f>
        <v>3 mos</v>
      </c>
      <c r="H2364" s="1" t="str">
        <f>IFERROR(__xludf.DUMMYFUNCTION("""COMPUTED_VALUE"""),"reply")</f>
        <v>reply</v>
      </c>
      <c r="I2364" s="2" t="str">
        <f>IFERROR(__xludf.DUMMYFUNCTION("""COMPUTED_VALUE"""),"https://www.facebook.com/watch/live/?ref=watch_permalink&amp;v=923735834984653")</f>
        <v>https://www.facebook.com/watch/live/?ref=watch_permalink&amp;v=923735834984653</v>
      </c>
      <c r="J2364" s="1" t="str">
        <f>IFERROR(__xludf.DUMMYFUNCTION("""COMPUTED_VALUE"""),"2022-07-04T15:49:26.538Z")</f>
        <v>2022-07-04T15:49:26.538Z</v>
      </c>
      <c r="K2364" s="1"/>
    </row>
    <row r="2365">
      <c r="A2365" s="2" t="str">
        <f>IFERROR(__xludf.DUMMYFUNCTION("""COMPUTED_VALUE"""),"https://www.facebook.com/jaime.gacusan.12")</f>
        <v>https://www.facebook.com/jaime.gacusan.12</v>
      </c>
      <c r="B2365" s="1" t="str">
        <f>IFERROR(__xludf.DUMMYFUNCTION("""COMPUTED_VALUE"""),"Jaime Bustamante Gacusan")</f>
        <v>Jaime Bustamante Gacusan</v>
      </c>
      <c r="C2365" s="1" t="str">
        <f>IFERROR(__xludf.DUMMYFUNCTION("""COMPUTED_VALUE"""),"Jaime")</f>
        <v>Jaime</v>
      </c>
      <c r="D2365" s="1" t="str">
        <f>IFERROR(__xludf.DUMMYFUNCTION("""COMPUTED_VALUE"""),"Bustamante Gacusan")</f>
        <v>Bustamante Gacusan</v>
      </c>
      <c r="E2365" s="1" t="str">
        <f>IFERROR(__xludf.DUMMYFUNCTION("""COMPUTED_VALUE"""),"Zenaida Sanchez realtalk po yun maam😉🙂")</f>
        <v>Zenaida Sanchez realtalk po yun maam😉🙂</v>
      </c>
      <c r="F2365" s="1"/>
      <c r="G2365" s="1" t="str">
        <f>IFERROR(__xludf.DUMMYFUNCTION("""COMPUTED_VALUE"""),"3 mos")</f>
        <v>3 mos</v>
      </c>
      <c r="H2365" s="1" t="str">
        <f>IFERROR(__xludf.DUMMYFUNCTION("""COMPUTED_VALUE"""),"reply")</f>
        <v>reply</v>
      </c>
      <c r="I2365" s="2" t="str">
        <f>IFERROR(__xludf.DUMMYFUNCTION("""COMPUTED_VALUE"""),"https://www.facebook.com/watch/live/?ref=watch_permalink&amp;v=923735834984653")</f>
        <v>https://www.facebook.com/watch/live/?ref=watch_permalink&amp;v=923735834984653</v>
      </c>
      <c r="J2365" s="1" t="str">
        <f>IFERROR(__xludf.DUMMYFUNCTION("""COMPUTED_VALUE"""),"2022-07-04T15:49:26.538Z")</f>
        <v>2022-07-04T15:49:26.538Z</v>
      </c>
      <c r="K2365" s="1"/>
    </row>
    <row r="2366">
      <c r="A2366" s="2" t="str">
        <f>IFERROR(__xludf.DUMMYFUNCTION("""COMPUTED_VALUE"""),"https://www.facebook.com/noemi.macabasco")</f>
        <v>https://www.facebook.com/noemi.macabasco</v>
      </c>
      <c r="B2366" s="1" t="str">
        <f>IFERROR(__xludf.DUMMYFUNCTION("""COMPUTED_VALUE"""),"Noemi U. Macabasco")</f>
        <v>Noemi U. Macabasco</v>
      </c>
      <c r="C2366" s="1" t="str">
        <f>IFERROR(__xludf.DUMMYFUNCTION("""COMPUTED_VALUE"""),"Noemi")</f>
        <v>Noemi</v>
      </c>
      <c r="D2366" s="1" t="str">
        <f>IFERROR(__xludf.DUMMYFUNCTION("""COMPUTED_VALUE"""),"U. Macabasco")</f>
        <v>U. Macabasco</v>
      </c>
      <c r="E2366" s="1" t="str">
        <f>IFERROR(__xludf.DUMMYFUNCTION("""COMPUTED_VALUE"""),"YORME &amp; TEAM…LABANNNNNNN!!! Wag susuko…Basta Ikaw ang aming presidente…manalo/matalo!!!…Iba ka sa lahat…GOD FIRST☝️💙☝️💙☝️💙☝️💙")</f>
        <v>YORME &amp; TEAM…LABANNNNNNN!!! Wag susuko…Basta Ikaw ang aming presidente…manalo/matalo!!!…Iba ka sa lahat…GOD FIRST☝️💙☝️💙☝️💙☝️💙</v>
      </c>
      <c r="F2366" s="1">
        <f>IFERROR(__xludf.DUMMYFUNCTION("""COMPUTED_VALUE"""),1.0)</f>
        <v>1</v>
      </c>
      <c r="G2366" s="1" t="str">
        <f>IFERROR(__xludf.DUMMYFUNCTION("""COMPUTED_VALUE"""),"3 mos")</f>
        <v>3 mos</v>
      </c>
      <c r="H2366" s="1" t="str">
        <f>IFERROR(__xludf.DUMMYFUNCTION("""COMPUTED_VALUE"""),"comment")</f>
        <v>comment</v>
      </c>
      <c r="I2366" s="2" t="str">
        <f>IFERROR(__xludf.DUMMYFUNCTION("""COMPUTED_VALUE"""),"https://www.facebook.com/watch/live/?ref=watch_permalink&amp;v=923735834984653")</f>
        <v>https://www.facebook.com/watch/live/?ref=watch_permalink&amp;v=923735834984653</v>
      </c>
      <c r="J2366" s="1" t="str">
        <f>IFERROR(__xludf.DUMMYFUNCTION("""COMPUTED_VALUE"""),"2022-07-04T15:49:26.538Z")</f>
        <v>2022-07-04T15:49:26.538Z</v>
      </c>
      <c r="K2366" s="1"/>
    </row>
    <row r="2367">
      <c r="A2367" s="2" t="str">
        <f>IFERROR(__xludf.DUMMYFUNCTION("""COMPUTED_VALUE"""),"https://www.facebook.com/profile.php?id=100074773967745")</f>
        <v>https://www.facebook.com/profile.php?id=100074773967745</v>
      </c>
      <c r="B2367" s="1" t="str">
        <f>IFERROR(__xludf.DUMMYFUNCTION("""COMPUTED_VALUE"""),"Ompong Bersaba")</f>
        <v>Ompong Bersaba</v>
      </c>
      <c r="C2367" s="1" t="str">
        <f>IFERROR(__xludf.DUMMYFUNCTION("""COMPUTED_VALUE"""),"Ompong")</f>
        <v>Ompong</v>
      </c>
      <c r="D2367" s="1" t="str">
        <f>IFERROR(__xludf.DUMMYFUNCTION("""COMPUTED_VALUE"""),"Bersaba")</f>
        <v>Bersaba</v>
      </c>
      <c r="E2367" s="1" t="str">
        <f>IFERROR(__xludf.DUMMYFUNCTION("""COMPUTED_VALUE"""),"Yes na yes for YORME ISKO The best and most qualified to be our next president.")</f>
        <v>Yes na yes for YORME ISKO The best and most qualified to be our next president.</v>
      </c>
      <c r="F2367" s="1">
        <f>IFERROR(__xludf.DUMMYFUNCTION("""COMPUTED_VALUE"""),2.0)</f>
        <v>2</v>
      </c>
      <c r="G2367" s="1" t="str">
        <f>IFERROR(__xludf.DUMMYFUNCTION("""COMPUTED_VALUE"""),"3 mos")</f>
        <v>3 mos</v>
      </c>
      <c r="H2367" s="1" t="str">
        <f>IFERROR(__xludf.DUMMYFUNCTION("""COMPUTED_VALUE"""),"comment")</f>
        <v>comment</v>
      </c>
      <c r="I2367" s="2" t="str">
        <f>IFERROR(__xludf.DUMMYFUNCTION("""COMPUTED_VALUE"""),"https://www.facebook.com/watch/live/?ref=watch_permalink&amp;v=923735834984653")</f>
        <v>https://www.facebook.com/watch/live/?ref=watch_permalink&amp;v=923735834984653</v>
      </c>
      <c r="J2367" s="1" t="str">
        <f>IFERROR(__xludf.DUMMYFUNCTION("""COMPUTED_VALUE"""),"2022-07-04T15:49:26.538Z")</f>
        <v>2022-07-04T15:49:26.538Z</v>
      </c>
      <c r="K2367" s="1"/>
    </row>
    <row r="2368">
      <c r="A2368" s="2" t="str">
        <f>IFERROR(__xludf.DUMMYFUNCTION("""COMPUTED_VALUE"""),"https://www.facebook.com/lucita.apellido")</f>
        <v>https://www.facebook.com/lucita.apellido</v>
      </c>
      <c r="B2368" s="1" t="str">
        <f>IFERROR(__xludf.DUMMYFUNCTION("""COMPUTED_VALUE"""),"Lucita Apellido")</f>
        <v>Lucita Apellido</v>
      </c>
      <c r="C2368" s="1" t="str">
        <f>IFERROR(__xludf.DUMMYFUNCTION("""COMPUTED_VALUE"""),"Lucita")</f>
        <v>Lucita</v>
      </c>
      <c r="D2368" s="1" t="str">
        <f>IFERROR(__xludf.DUMMYFUNCTION("""COMPUTED_VALUE"""),"Apellido")</f>
        <v>Apellido</v>
      </c>
      <c r="E2368" s="1" t="str">
        <f>IFERROR(__xludf.DUMMYFUNCTION("""COMPUTED_VALUE"""),"Good luck talaga SA MGA taga manila dahil unti unti Ng umounland ang manila  myroon clang hospital na pang world class at lebring serbisyo")</f>
        <v>Good luck talaga SA MGA taga manila dahil unti unti Ng umounland ang manila  myroon clang hospital na pang world class at lebring serbisyo</v>
      </c>
      <c r="F2368" s="1">
        <f>IFERROR(__xludf.DUMMYFUNCTION("""COMPUTED_VALUE"""),8.0)</f>
        <v>8</v>
      </c>
      <c r="G2368" s="1" t="str">
        <f>IFERROR(__xludf.DUMMYFUNCTION("""COMPUTED_VALUE"""),"3 mos")</f>
        <v>3 mos</v>
      </c>
      <c r="H2368" s="1" t="str">
        <f>IFERROR(__xludf.DUMMYFUNCTION("""COMPUTED_VALUE"""),"comment")</f>
        <v>comment</v>
      </c>
      <c r="I2368" s="2" t="str">
        <f>IFERROR(__xludf.DUMMYFUNCTION("""COMPUTED_VALUE"""),"https://www.facebook.com/watch/live/?ref=watch_permalink&amp;v=923735834984653")</f>
        <v>https://www.facebook.com/watch/live/?ref=watch_permalink&amp;v=923735834984653</v>
      </c>
      <c r="J2368" s="1" t="str">
        <f>IFERROR(__xludf.DUMMYFUNCTION("""COMPUTED_VALUE"""),"2022-07-04T15:49:26.538Z")</f>
        <v>2022-07-04T15:49:26.538Z</v>
      </c>
      <c r="K2368" s="1"/>
    </row>
    <row r="2369">
      <c r="A2369" s="2" t="str">
        <f>IFERROR(__xludf.DUMMYFUNCTION("""COMPUTED_VALUE"""),"https://www.facebook.com/victoria.pimentel.507027")</f>
        <v>https://www.facebook.com/victoria.pimentel.507027</v>
      </c>
      <c r="B2369" s="1" t="str">
        <f>IFERROR(__xludf.DUMMYFUNCTION("""COMPUTED_VALUE"""),"Victoria Pimentel")</f>
        <v>Victoria Pimentel</v>
      </c>
      <c r="C2369" s="1" t="str">
        <f>IFERROR(__xludf.DUMMYFUNCTION("""COMPUTED_VALUE"""),"Victoria")</f>
        <v>Victoria</v>
      </c>
      <c r="D2369" s="1" t="str">
        <f>IFERROR(__xludf.DUMMYFUNCTION("""COMPUTED_VALUE"""),"Pimentel")</f>
        <v>Pimentel</v>
      </c>
      <c r="E2369" s="1" t="str">
        <f>IFERROR(__xludf.DUMMYFUNCTION("""COMPUTED_VALUE"""),"You are our president may God bless you always")</f>
        <v>You are our president may God bless you always</v>
      </c>
      <c r="F2369" s="1">
        <f>IFERROR(__xludf.DUMMYFUNCTION("""COMPUTED_VALUE"""),10.0)</f>
        <v>10</v>
      </c>
      <c r="G2369" s="1" t="str">
        <f>IFERROR(__xludf.DUMMYFUNCTION("""COMPUTED_VALUE"""),"3 mos")</f>
        <v>3 mos</v>
      </c>
      <c r="H2369" s="1" t="str">
        <f>IFERROR(__xludf.DUMMYFUNCTION("""COMPUTED_VALUE"""),"comment")</f>
        <v>comment</v>
      </c>
      <c r="I2369" s="2" t="str">
        <f>IFERROR(__xludf.DUMMYFUNCTION("""COMPUTED_VALUE"""),"https://www.facebook.com/watch/live/?ref=watch_permalink&amp;v=923735834984653")</f>
        <v>https://www.facebook.com/watch/live/?ref=watch_permalink&amp;v=923735834984653</v>
      </c>
      <c r="J2369" s="1" t="str">
        <f>IFERROR(__xludf.DUMMYFUNCTION("""COMPUTED_VALUE"""),"2022-07-04T15:49:26.538Z")</f>
        <v>2022-07-04T15:49:26.538Z</v>
      </c>
      <c r="K2369" s="1"/>
    </row>
    <row r="2370">
      <c r="A2370" s="2" t="str">
        <f>IFERROR(__xludf.DUMMYFUNCTION("""COMPUTED_VALUE"""),"https://www.facebook.com/janarvy.parr")</f>
        <v>https://www.facebook.com/janarvy.parr</v>
      </c>
      <c r="B2370" s="1" t="str">
        <f>IFERROR(__xludf.DUMMYFUNCTION("""COMPUTED_VALUE"""),"Arvy Parr")</f>
        <v>Arvy Parr</v>
      </c>
      <c r="C2370" s="1" t="str">
        <f>IFERROR(__xludf.DUMMYFUNCTION("""COMPUTED_VALUE"""),"Arvy")</f>
        <v>Arvy</v>
      </c>
      <c r="D2370" s="1" t="str">
        <f>IFERROR(__xludf.DUMMYFUNCTION("""COMPUTED_VALUE"""),"Parr")</f>
        <v>Parr</v>
      </c>
      <c r="E2370" s="1" t="str">
        <f>IFERROR(__xludf.DUMMYFUNCTION("""COMPUTED_VALUE"""),"Saan naba mga followers ni isko,Hindi mn lang umaabot sa 1k Ang views,,galing tlga ni isko,,,,,,,sa speech")</f>
        <v>Saan naba mga followers ni isko,Hindi mn lang umaabot sa 1k Ang views,,galing tlga ni isko,,,,,,,sa speech</v>
      </c>
      <c r="F2370" s="1">
        <f>IFERROR(__xludf.DUMMYFUNCTION("""COMPUTED_VALUE"""),4.0)</f>
        <v>4</v>
      </c>
      <c r="G2370" s="1" t="str">
        <f>IFERROR(__xludf.DUMMYFUNCTION("""COMPUTED_VALUE"""),"3 mos")</f>
        <v>3 mos</v>
      </c>
      <c r="H2370" s="1" t="str">
        <f>IFERROR(__xludf.DUMMYFUNCTION("""COMPUTED_VALUE"""),"comment")</f>
        <v>comment</v>
      </c>
      <c r="I2370" s="2" t="str">
        <f>IFERROR(__xludf.DUMMYFUNCTION("""COMPUTED_VALUE"""),"https://www.facebook.com/watch/live/?ref=watch_permalink&amp;v=923735834984653")</f>
        <v>https://www.facebook.com/watch/live/?ref=watch_permalink&amp;v=923735834984653</v>
      </c>
      <c r="J2370" s="1" t="str">
        <f>IFERROR(__xludf.DUMMYFUNCTION("""COMPUTED_VALUE"""),"2022-07-04T15:49:26.538Z")</f>
        <v>2022-07-04T15:49:26.538Z</v>
      </c>
      <c r="K2370" s="1"/>
    </row>
    <row r="2371">
      <c r="A2371" s="2" t="str">
        <f>IFERROR(__xludf.DUMMYFUNCTION("""COMPUTED_VALUE"""),"https://www.facebook.com/normita.beato")</f>
        <v>https://www.facebook.com/normita.beato</v>
      </c>
      <c r="B2371" s="1" t="str">
        <f>IFERROR(__xludf.DUMMYFUNCTION("""COMPUTED_VALUE"""),"Normita Beato")</f>
        <v>Normita Beato</v>
      </c>
      <c r="C2371" s="1" t="str">
        <f>IFERROR(__xludf.DUMMYFUNCTION("""COMPUTED_VALUE"""),"Normita")</f>
        <v>Normita</v>
      </c>
      <c r="D2371" s="1" t="str">
        <f>IFERROR(__xludf.DUMMYFUNCTION("""COMPUTED_VALUE"""),"Beato")</f>
        <v>Beato</v>
      </c>
      <c r="E2371" s="1" t="str">
        <f>IFERROR(__xludf.DUMMYFUNCTION("""COMPUTED_VALUE"""),"Alam niya guy Ang the best mag research nalang Kayo bawat isa  sa kanila. Kung ano  Ang NGA nagawa nila  Ng sila. Ang NGA nakaupo,")</f>
        <v>Alam niya guy Ang the best mag research nalang Kayo bawat isa  sa kanila. Kung ano  Ang NGA nagawa nila  Ng sila. Ang NGA nakaupo,</v>
      </c>
      <c r="F2371" s="1">
        <f>IFERROR(__xludf.DUMMYFUNCTION("""COMPUTED_VALUE"""),5.0)</f>
        <v>5</v>
      </c>
      <c r="G2371" s="1" t="str">
        <f>IFERROR(__xludf.DUMMYFUNCTION("""COMPUTED_VALUE"""),"3 mos")</f>
        <v>3 mos</v>
      </c>
      <c r="H2371" s="1" t="str">
        <f>IFERROR(__xludf.DUMMYFUNCTION("""COMPUTED_VALUE"""),"comment")</f>
        <v>comment</v>
      </c>
      <c r="I2371" s="2" t="str">
        <f>IFERROR(__xludf.DUMMYFUNCTION("""COMPUTED_VALUE"""),"https://www.facebook.com/watch/live/?ref=watch_permalink&amp;v=923735834984653")</f>
        <v>https://www.facebook.com/watch/live/?ref=watch_permalink&amp;v=923735834984653</v>
      </c>
      <c r="J2371" s="1" t="str">
        <f>IFERROR(__xludf.DUMMYFUNCTION("""COMPUTED_VALUE"""),"2022-07-04T15:49:26.538Z")</f>
        <v>2022-07-04T15:49:26.538Z</v>
      </c>
      <c r="K2371" s="1"/>
    </row>
    <row r="2372">
      <c r="A2372" s="2" t="str">
        <f>IFERROR(__xludf.DUMMYFUNCTION("""COMPUTED_VALUE"""),"https://www.facebook.com/sally.ladatenalaunan")</f>
        <v>https://www.facebook.com/sally.ladatenalaunan</v>
      </c>
      <c r="B2372" s="1" t="str">
        <f>IFERROR(__xludf.DUMMYFUNCTION("""COMPUTED_VALUE"""),"Ylla Datela")</f>
        <v>Ylla Datela</v>
      </c>
      <c r="C2372" s="1" t="str">
        <f>IFERROR(__xludf.DUMMYFUNCTION("""COMPUTED_VALUE"""),"Ylla")</f>
        <v>Ylla</v>
      </c>
      <c r="D2372" s="1" t="str">
        <f>IFERROR(__xludf.DUMMYFUNCTION("""COMPUTED_VALUE"""),"Datela")</f>
        <v>Datela</v>
      </c>
      <c r="E2372" s="1" t="str">
        <f>IFERROR(__xludf.DUMMYFUNCTION("""COMPUTED_VALUE"""),"We love you Yorme Isko Praying for your victory 🙏☝🏻💙 PILIPINAS GOD FIRST 🙏☝🏻💙")</f>
        <v>We love you Yorme Isko Praying for your victory 🙏☝🏻💙 PILIPINAS GOD FIRST 🙏☝🏻💙</v>
      </c>
      <c r="F2372" s="1">
        <f>IFERROR(__xludf.DUMMYFUNCTION("""COMPUTED_VALUE"""),3.0)</f>
        <v>3</v>
      </c>
      <c r="G2372" s="1" t="str">
        <f>IFERROR(__xludf.DUMMYFUNCTION("""COMPUTED_VALUE"""),"3 mos")</f>
        <v>3 mos</v>
      </c>
      <c r="H2372" s="1" t="str">
        <f>IFERROR(__xludf.DUMMYFUNCTION("""COMPUTED_VALUE"""),"comment")</f>
        <v>comment</v>
      </c>
      <c r="I2372" s="2" t="str">
        <f>IFERROR(__xludf.DUMMYFUNCTION("""COMPUTED_VALUE"""),"https://www.facebook.com/watch/live/?ref=watch_permalink&amp;v=923735834984653")</f>
        <v>https://www.facebook.com/watch/live/?ref=watch_permalink&amp;v=923735834984653</v>
      </c>
      <c r="J2372" s="1" t="str">
        <f>IFERROR(__xludf.DUMMYFUNCTION("""COMPUTED_VALUE"""),"2022-07-04T15:49:26.538Z")</f>
        <v>2022-07-04T15:49:26.538Z</v>
      </c>
      <c r="K2372" s="1"/>
    </row>
    <row r="2373">
      <c r="A2373" s="2" t="str">
        <f>IFERROR(__xludf.DUMMYFUNCTION("""COMPUTED_VALUE"""),"https://www.facebook.com/profile.php?id=100009431943421")</f>
        <v>https://www.facebook.com/profile.php?id=100009431943421</v>
      </c>
      <c r="B2373" s="1" t="str">
        <f>IFERROR(__xludf.DUMMYFUNCTION("""COMPUTED_VALUE"""),"Concord Padullon")</f>
        <v>Concord Padullon</v>
      </c>
      <c r="C2373" s="1" t="str">
        <f>IFERROR(__xludf.DUMMYFUNCTION("""COMPUTED_VALUE"""),"Concord")</f>
        <v>Concord</v>
      </c>
      <c r="D2373" s="1" t="str">
        <f>IFERROR(__xludf.DUMMYFUNCTION("""COMPUTED_VALUE"""),"Padullon")</f>
        <v>Padullon</v>
      </c>
      <c r="E2373" s="1" t="str">
        <f>IFERROR(__xludf.DUMMYFUNCTION("""COMPUTED_VALUE"""),"Opo Tama po kyo Yormi Isko Moreno Domogoso is my president 2022 vice president Doc Willie Ong lang action democratico God 1First team po kmi watching here in Riyadh K S A po kmi")</f>
        <v>Opo Tama po kyo Yormi Isko Moreno Domogoso is my president 2022 vice president Doc Willie Ong lang action democratico God 1First team po kmi watching here in Riyadh K S A po kmi</v>
      </c>
      <c r="F2373" s="1">
        <f>IFERROR(__xludf.DUMMYFUNCTION("""COMPUTED_VALUE"""),9.0)</f>
        <v>9</v>
      </c>
      <c r="G2373" s="1" t="str">
        <f>IFERROR(__xludf.DUMMYFUNCTION("""COMPUTED_VALUE"""),"3 mos")</f>
        <v>3 mos</v>
      </c>
      <c r="H2373" s="1" t="str">
        <f>IFERROR(__xludf.DUMMYFUNCTION("""COMPUTED_VALUE"""),"comment")</f>
        <v>comment</v>
      </c>
      <c r="I2373" s="2" t="str">
        <f>IFERROR(__xludf.DUMMYFUNCTION("""COMPUTED_VALUE"""),"https://www.facebook.com/watch/live/?ref=watch_permalink&amp;v=923735834984653")</f>
        <v>https://www.facebook.com/watch/live/?ref=watch_permalink&amp;v=923735834984653</v>
      </c>
      <c r="J2373" s="1" t="str">
        <f>IFERROR(__xludf.DUMMYFUNCTION("""COMPUTED_VALUE"""),"2022-07-04T15:49:26.538Z")</f>
        <v>2022-07-04T15:49:26.538Z</v>
      </c>
      <c r="K2373" s="1"/>
    </row>
    <row r="2374">
      <c r="A2374" s="2" t="str">
        <f>IFERROR(__xludf.DUMMYFUNCTION("""COMPUTED_VALUE"""),"https://www.facebook.com/panny.valles")</f>
        <v>https://www.facebook.com/panny.valles</v>
      </c>
      <c r="B2374" s="1" t="str">
        <f>IFERROR(__xludf.DUMMYFUNCTION("""COMPUTED_VALUE"""),"Panny Valles")</f>
        <v>Panny Valles</v>
      </c>
      <c r="C2374" s="1" t="str">
        <f>IFERROR(__xludf.DUMMYFUNCTION("""COMPUTED_VALUE"""),"Panny")</f>
        <v>Panny</v>
      </c>
      <c r="D2374" s="1" t="str">
        <f>IFERROR(__xludf.DUMMYFUNCTION("""COMPUTED_VALUE"""),"Valles")</f>
        <v>Valles</v>
      </c>
      <c r="E2374" s="1" t="str">
        <f>IFERROR(__xludf.DUMMYFUNCTION("""COMPUTED_VALUE"""),"Concord Padullon kasama mo ako jan isko tayo")</f>
        <v>Concord Padullon kasama mo ako jan isko tayo</v>
      </c>
      <c r="F2374" s="1">
        <f>IFERROR(__xludf.DUMMYFUNCTION("""COMPUTED_VALUE"""),1.0)</f>
        <v>1</v>
      </c>
      <c r="G2374" s="1" t="str">
        <f>IFERROR(__xludf.DUMMYFUNCTION("""COMPUTED_VALUE"""),"3 mos")</f>
        <v>3 mos</v>
      </c>
      <c r="H2374" s="1" t="str">
        <f>IFERROR(__xludf.DUMMYFUNCTION("""COMPUTED_VALUE"""),"reply")</f>
        <v>reply</v>
      </c>
      <c r="I2374" s="2" t="str">
        <f>IFERROR(__xludf.DUMMYFUNCTION("""COMPUTED_VALUE"""),"https://www.facebook.com/watch/live/?ref=watch_permalink&amp;v=923735834984653")</f>
        <v>https://www.facebook.com/watch/live/?ref=watch_permalink&amp;v=923735834984653</v>
      </c>
      <c r="J2374" s="1" t="str">
        <f>IFERROR(__xludf.DUMMYFUNCTION("""COMPUTED_VALUE"""),"2022-07-04T15:49:26.538Z")</f>
        <v>2022-07-04T15:49:26.538Z</v>
      </c>
      <c r="K2374" s="1"/>
    </row>
    <row r="2375">
      <c r="A2375" s="2" t="str">
        <f>IFERROR(__xludf.DUMMYFUNCTION("""COMPUTED_VALUE"""),"https://www.facebook.com/profile.php?id=100077999847593")</f>
        <v>https://www.facebook.com/profile.php?id=100077999847593</v>
      </c>
      <c r="B2375" s="1" t="str">
        <f>IFERROR(__xludf.DUMMYFUNCTION("""COMPUTED_VALUE"""),"Zafra Abdullah")</f>
        <v>Zafra Abdullah</v>
      </c>
      <c r="C2375" s="1" t="str">
        <f>IFERROR(__xludf.DUMMYFUNCTION("""COMPUTED_VALUE"""),"Zafra")</f>
        <v>Zafra</v>
      </c>
      <c r="D2375" s="1" t="str">
        <f>IFERROR(__xludf.DUMMYFUNCTION("""COMPUTED_VALUE"""),"Abdullah")</f>
        <v>Abdullah</v>
      </c>
      <c r="E2375" s="1" t="str">
        <f>IFERROR(__xludf.DUMMYFUNCTION("""COMPUTED_VALUE"""),"MARAMING  NAG LIPAT KAY  ISKO  GOD PRESIDENT  ISKO  SOLID ☝☝☝☝☝☝💖💖💖")</f>
        <v>MARAMING  NAG LIPAT KAY  ISKO  GOD PRESIDENT  ISKO  SOLID ☝☝☝☝☝☝💖💖💖</v>
      </c>
      <c r="F2375" s="1"/>
      <c r="G2375" s="1" t="str">
        <f>IFERROR(__xludf.DUMMYFUNCTION("""COMPUTED_VALUE"""),"2 mos")</f>
        <v>2 mos</v>
      </c>
      <c r="H2375" s="1" t="str">
        <f>IFERROR(__xludf.DUMMYFUNCTION("""COMPUTED_VALUE"""),"reply")</f>
        <v>reply</v>
      </c>
      <c r="I2375" s="2" t="str">
        <f>IFERROR(__xludf.DUMMYFUNCTION("""COMPUTED_VALUE"""),"https://www.facebook.com/watch/live/?ref=watch_permalink&amp;v=923735834984653")</f>
        <v>https://www.facebook.com/watch/live/?ref=watch_permalink&amp;v=923735834984653</v>
      </c>
      <c r="J2375" s="1" t="str">
        <f>IFERROR(__xludf.DUMMYFUNCTION("""COMPUTED_VALUE"""),"2022-07-04T15:49:26.539Z")</f>
        <v>2022-07-04T15:49:26.539Z</v>
      </c>
      <c r="K2375" s="1"/>
    </row>
    <row r="2376">
      <c r="A2376" s="2" t="str">
        <f>IFERROR(__xludf.DUMMYFUNCTION("""COMPUTED_VALUE"""),"https://www.facebook.com/arnel.benitez.370")</f>
        <v>https://www.facebook.com/arnel.benitez.370</v>
      </c>
      <c r="B2376" s="1" t="str">
        <f>IFERROR(__xludf.DUMMYFUNCTION("""COMPUTED_VALUE"""),"Arnel Benitez")</f>
        <v>Arnel Benitez</v>
      </c>
      <c r="C2376" s="1" t="str">
        <f>IFERROR(__xludf.DUMMYFUNCTION("""COMPUTED_VALUE"""),"Arnel")</f>
        <v>Arnel</v>
      </c>
      <c r="D2376" s="1" t="str">
        <f>IFERROR(__xludf.DUMMYFUNCTION("""COMPUTED_VALUE"""),"Benitez")</f>
        <v>Benitez</v>
      </c>
      <c r="E2376" s="1" t="str">
        <f>IFERROR(__xludf.DUMMYFUNCTION("""COMPUTED_VALUE"""),"ISKO MORENO FOR PRESIDENT DOC WILLIE ONG FOR VICE PRESIDENT.  GOD FIRST!!!!!!")</f>
        <v>ISKO MORENO FOR PRESIDENT DOC WILLIE ONG FOR VICE PRESIDENT.  GOD FIRST!!!!!!</v>
      </c>
      <c r="F2376" s="1">
        <f>IFERROR(__xludf.DUMMYFUNCTION("""COMPUTED_VALUE"""),15.0)</f>
        <v>15</v>
      </c>
      <c r="G2376" s="1" t="str">
        <f>IFERROR(__xludf.DUMMYFUNCTION("""COMPUTED_VALUE"""),"3 mos")</f>
        <v>3 mos</v>
      </c>
      <c r="H2376" s="1" t="str">
        <f>IFERROR(__xludf.DUMMYFUNCTION("""COMPUTED_VALUE"""),"comment")</f>
        <v>comment</v>
      </c>
      <c r="I2376" s="2" t="str">
        <f>IFERROR(__xludf.DUMMYFUNCTION("""COMPUTED_VALUE"""),"https://www.facebook.com/watch/live/?ref=watch_permalink&amp;v=923735834984653")</f>
        <v>https://www.facebook.com/watch/live/?ref=watch_permalink&amp;v=923735834984653</v>
      </c>
      <c r="J2376" s="1" t="str">
        <f>IFERROR(__xludf.DUMMYFUNCTION("""COMPUTED_VALUE"""),"2022-07-04T15:49:26.539Z")</f>
        <v>2022-07-04T15:49:26.539Z</v>
      </c>
      <c r="K2376" s="1"/>
    </row>
    <row r="2377">
      <c r="A2377" s="2" t="str">
        <f>IFERROR(__xludf.DUMMYFUNCTION("""COMPUTED_VALUE"""),"https://www.facebook.com/ester.lualhati19")</f>
        <v>https://www.facebook.com/ester.lualhati19</v>
      </c>
      <c r="B2377" s="1" t="str">
        <f>IFERROR(__xludf.DUMMYFUNCTION("""COMPUTED_VALUE"""),"Ester Lualhati")</f>
        <v>Ester Lualhati</v>
      </c>
      <c r="C2377" s="1" t="str">
        <f>IFERROR(__xludf.DUMMYFUNCTION("""COMPUTED_VALUE"""),"Ester")</f>
        <v>Ester</v>
      </c>
      <c r="D2377" s="1" t="str">
        <f>IFERROR(__xludf.DUMMYFUNCTION("""COMPUTED_VALUE"""),"Lualhati")</f>
        <v>Lualhati</v>
      </c>
      <c r="E2377" s="1" t="str">
        <f>IFERROR(__xludf.DUMMYFUNCTION("""COMPUTED_VALUE"""),"IKAW ANG NA..ISKO..SA GOBYERNO..ISKO MORENO DOMAGOSO..MAY PUSO MAY TAKOT SA DYOS..MAKATAO..GOD BLESS ALL...")</f>
        <v>IKAW ANG NA..ISKO..SA GOBYERNO..ISKO MORENO DOMAGOSO..MAY PUSO MAY TAKOT SA DYOS..MAKATAO..GOD BLESS ALL...</v>
      </c>
      <c r="F2377" s="1">
        <f>IFERROR(__xludf.DUMMYFUNCTION("""COMPUTED_VALUE"""),2.0)</f>
        <v>2</v>
      </c>
      <c r="G2377" s="1" t="str">
        <f>IFERROR(__xludf.DUMMYFUNCTION("""COMPUTED_VALUE"""),"3 mos")</f>
        <v>3 mos</v>
      </c>
      <c r="H2377" s="1" t="str">
        <f>IFERROR(__xludf.DUMMYFUNCTION("""COMPUTED_VALUE"""),"comment")</f>
        <v>comment</v>
      </c>
      <c r="I2377" s="2" t="str">
        <f>IFERROR(__xludf.DUMMYFUNCTION("""COMPUTED_VALUE"""),"https://www.facebook.com/watch/live/?ref=watch_permalink&amp;v=923735834984653")</f>
        <v>https://www.facebook.com/watch/live/?ref=watch_permalink&amp;v=923735834984653</v>
      </c>
      <c r="J2377" s="1" t="str">
        <f>IFERROR(__xludf.DUMMYFUNCTION("""COMPUTED_VALUE"""),"2022-07-04T15:49:26.539Z")</f>
        <v>2022-07-04T15:49:26.539Z</v>
      </c>
      <c r="K2377" s="1"/>
    </row>
    <row r="2378">
      <c r="A2378" s="2" t="str">
        <f>IFERROR(__xludf.DUMMYFUNCTION("""COMPUTED_VALUE"""),"https://www.facebook.com/kyline.reyes.7")</f>
        <v>https://www.facebook.com/kyline.reyes.7</v>
      </c>
      <c r="B2378" s="1" t="str">
        <f>IFERROR(__xludf.DUMMYFUNCTION("""COMPUTED_VALUE"""),"Kyline Reyes")</f>
        <v>Kyline Reyes</v>
      </c>
      <c r="C2378" s="1" t="str">
        <f>IFERROR(__xludf.DUMMYFUNCTION("""COMPUTED_VALUE"""),"Kyline")</f>
        <v>Kyline</v>
      </c>
      <c r="D2378" s="1" t="str">
        <f>IFERROR(__xludf.DUMMYFUNCTION("""COMPUTED_VALUE"""),"Reyes")</f>
        <v>Reyes</v>
      </c>
      <c r="E2378" s="1" t="str">
        <f>IFERROR(__xludf.DUMMYFUNCTION("""COMPUTED_VALUE"""),"Isko is the best among Presidentiables👍🙏❤ We need a young,brave,energetic President in this trying time. #BilisKilos #IskoMorenoForPresident")</f>
        <v>Isko is the best among Presidentiables👍🙏❤ We need a young,brave,energetic President in this trying time. #BilisKilos #IskoMorenoForPresident</v>
      </c>
      <c r="F2378" s="1"/>
      <c r="G2378" s="1" t="str">
        <f>IFERROR(__xludf.DUMMYFUNCTION("""COMPUTED_VALUE"""),"3 mos")</f>
        <v>3 mos</v>
      </c>
      <c r="H2378" s="1" t="str">
        <f>IFERROR(__xludf.DUMMYFUNCTION("""COMPUTED_VALUE"""),"comment")</f>
        <v>comment</v>
      </c>
      <c r="I2378" s="2" t="str">
        <f>IFERROR(__xludf.DUMMYFUNCTION("""COMPUTED_VALUE"""),"https://www.facebook.com/watch/live/?ref=watch_permalink&amp;v=923735834984653")</f>
        <v>https://www.facebook.com/watch/live/?ref=watch_permalink&amp;v=923735834984653</v>
      </c>
      <c r="J2378" s="1" t="str">
        <f>IFERROR(__xludf.DUMMYFUNCTION("""COMPUTED_VALUE"""),"2022-07-04T15:49:26.539Z")</f>
        <v>2022-07-04T15:49:26.539Z</v>
      </c>
      <c r="K2378" s="1"/>
    </row>
    <row r="2379">
      <c r="A2379" s="2" t="str">
        <f>IFERROR(__xludf.DUMMYFUNCTION("""COMPUTED_VALUE"""),"https://www.facebook.com/profile.php?id=100008170805196")</f>
        <v>https://www.facebook.com/profile.php?id=100008170805196</v>
      </c>
      <c r="B2379" s="1" t="str">
        <f>IFERROR(__xludf.DUMMYFUNCTION("""COMPUTED_VALUE"""),"Erlinda Siscar")</f>
        <v>Erlinda Siscar</v>
      </c>
      <c r="C2379" s="1" t="str">
        <f>IFERROR(__xludf.DUMMYFUNCTION("""COMPUTED_VALUE"""),"Erlinda")</f>
        <v>Erlinda</v>
      </c>
      <c r="D2379" s="1" t="str">
        <f>IFERROR(__xludf.DUMMYFUNCTION("""COMPUTED_VALUE"""),"Siscar")</f>
        <v>Siscar</v>
      </c>
      <c r="E2379" s="1" t="str">
        <f>IFERROR(__xludf.DUMMYFUNCTION("""COMPUTED_VALUE"""),"Sayang sana pumunta ako sa Lipa sbi pinsan ko Tita Elvie ni Mayor Eric saya saya daw dami tao kc nowonly nkta msg na ngsasalita Pres. Isko.")</f>
        <v>Sayang sana pumunta ako sa Lipa sbi pinsan ko Tita Elvie ni Mayor Eric saya saya daw dami tao kc nowonly nkta msg na ngsasalita Pres. Isko.</v>
      </c>
      <c r="F2379" s="1"/>
      <c r="G2379" s="1" t="str">
        <f>IFERROR(__xludf.DUMMYFUNCTION("""COMPUTED_VALUE"""),"3 mos")</f>
        <v>3 mos</v>
      </c>
      <c r="H2379" s="1" t="str">
        <f>IFERROR(__xludf.DUMMYFUNCTION("""COMPUTED_VALUE"""),"comment")</f>
        <v>comment</v>
      </c>
      <c r="I2379" s="2" t="str">
        <f>IFERROR(__xludf.DUMMYFUNCTION("""COMPUTED_VALUE"""),"https://www.facebook.com/watch/live/?ref=watch_permalink&amp;v=923735834984653")</f>
        <v>https://www.facebook.com/watch/live/?ref=watch_permalink&amp;v=923735834984653</v>
      </c>
      <c r="J2379" s="1" t="str">
        <f>IFERROR(__xludf.DUMMYFUNCTION("""COMPUTED_VALUE"""),"2022-07-04T15:49:26.539Z")</f>
        <v>2022-07-04T15:49:26.539Z</v>
      </c>
      <c r="K2379" s="1"/>
    </row>
    <row r="2380">
      <c r="A2380" s="2" t="str">
        <f>IFERROR(__xludf.DUMMYFUNCTION("""COMPUTED_VALUE"""),"https://www.facebook.com/josefina.rubi")</f>
        <v>https://www.facebook.com/josefina.rubi</v>
      </c>
      <c r="B2380" s="1" t="str">
        <f>IFERROR(__xludf.DUMMYFUNCTION("""COMPUTED_VALUE"""),"Josefina Manansala Rubi")</f>
        <v>Josefina Manansala Rubi</v>
      </c>
      <c r="C2380" s="1" t="str">
        <f>IFERROR(__xludf.DUMMYFUNCTION("""COMPUTED_VALUE"""),"Josefina")</f>
        <v>Josefina</v>
      </c>
      <c r="D2380" s="1" t="str">
        <f>IFERROR(__xludf.DUMMYFUNCTION("""COMPUTED_VALUE"""),"Manansala Rubi")</f>
        <v>Manansala Rubi</v>
      </c>
      <c r="E2380" s="1" t="str">
        <f>IFERROR(__xludf.DUMMYFUNCTION("""COMPUTED_VALUE"""),"Let’s pray for the win of ISKO MORENO DOMAGOSO AND IT’S TEAM BILIS KILOS GOD FIRST 🙏🙏☝️☝️💙💙")</f>
        <v>Let’s pray for the win of ISKO MORENO DOMAGOSO AND IT’S TEAM BILIS KILOS GOD FIRST 🙏🙏☝️☝️💙💙</v>
      </c>
      <c r="F2380" s="1"/>
      <c r="G2380" s="1" t="str">
        <f>IFERROR(__xludf.DUMMYFUNCTION("""COMPUTED_VALUE"""),"3 mos")</f>
        <v>3 mos</v>
      </c>
      <c r="H2380" s="1" t="str">
        <f>IFERROR(__xludf.DUMMYFUNCTION("""COMPUTED_VALUE"""),"comment")</f>
        <v>comment</v>
      </c>
      <c r="I2380" s="2" t="str">
        <f>IFERROR(__xludf.DUMMYFUNCTION("""COMPUTED_VALUE"""),"https://www.facebook.com/watch/live/?ref=watch_permalink&amp;v=923735834984653")</f>
        <v>https://www.facebook.com/watch/live/?ref=watch_permalink&amp;v=923735834984653</v>
      </c>
      <c r="J2380" s="1" t="str">
        <f>IFERROR(__xludf.DUMMYFUNCTION("""COMPUTED_VALUE"""),"2022-07-04T15:49:26.539Z")</f>
        <v>2022-07-04T15:49:26.539Z</v>
      </c>
      <c r="K2380" s="1"/>
    </row>
    <row r="2381">
      <c r="A2381" s="2" t="str">
        <f>IFERROR(__xludf.DUMMYFUNCTION("""COMPUTED_VALUE"""),"https://www.facebook.com/shirley.n.patriarca")</f>
        <v>https://www.facebook.com/shirley.n.patriarca</v>
      </c>
      <c r="B2381" s="1" t="str">
        <f>IFERROR(__xludf.DUMMYFUNCTION("""COMPUTED_VALUE"""),"Patriarca Rocan Yelrihs")</f>
        <v>Patriarca Rocan Yelrihs</v>
      </c>
      <c r="C2381" s="1" t="str">
        <f>IFERROR(__xludf.DUMMYFUNCTION("""COMPUTED_VALUE"""),"Patriarca")</f>
        <v>Patriarca</v>
      </c>
      <c r="D2381" s="1" t="str">
        <f>IFERROR(__xludf.DUMMYFUNCTION("""COMPUTED_VALUE"""),"Rocan Yelrihs")</f>
        <v>Rocan Yelrihs</v>
      </c>
      <c r="E2381" s="1" t="str">
        <f>IFERROR(__xludf.DUMMYFUNCTION("""COMPUTED_VALUE"""),"Pilipinas God First")</f>
        <v>Pilipinas God First</v>
      </c>
      <c r="F2381" s="1"/>
      <c r="G2381" s="1" t="str">
        <f>IFERROR(__xludf.DUMMYFUNCTION("""COMPUTED_VALUE"""),"3 mos")</f>
        <v>3 mos</v>
      </c>
      <c r="H2381" s="1" t="str">
        <f>IFERROR(__xludf.DUMMYFUNCTION("""COMPUTED_VALUE"""),"comment")</f>
        <v>comment</v>
      </c>
      <c r="I2381" s="2" t="str">
        <f>IFERROR(__xludf.DUMMYFUNCTION("""COMPUTED_VALUE"""),"https://www.facebook.com/watch/live/?ref=watch_permalink&amp;v=923735834984653")</f>
        <v>https://www.facebook.com/watch/live/?ref=watch_permalink&amp;v=923735834984653</v>
      </c>
      <c r="J2381" s="1" t="str">
        <f>IFERROR(__xludf.DUMMYFUNCTION("""COMPUTED_VALUE"""),"2022-07-04T15:49:26.539Z")</f>
        <v>2022-07-04T15:49:26.539Z</v>
      </c>
      <c r="K2381" s="1"/>
    </row>
    <row r="2382">
      <c r="A2382" s="2" t="str">
        <f>IFERROR(__xludf.DUMMYFUNCTION("""COMPUTED_VALUE"""),"https://www.facebook.com/bimbo.quiambao")</f>
        <v>https://www.facebook.com/bimbo.quiambao</v>
      </c>
      <c r="B2382" s="1" t="str">
        <f>IFERROR(__xludf.DUMMYFUNCTION("""COMPUTED_VALUE"""),"Bimbo Quiambao")</f>
        <v>Bimbo Quiambao</v>
      </c>
      <c r="C2382" s="1" t="str">
        <f>IFERROR(__xludf.DUMMYFUNCTION("""COMPUTED_VALUE"""),"Bimbo")</f>
        <v>Bimbo</v>
      </c>
      <c r="D2382" s="1" t="str">
        <f>IFERROR(__xludf.DUMMYFUNCTION("""COMPUTED_VALUE"""),"Quiambao")</f>
        <v>Quiambao</v>
      </c>
      <c r="E2382" s="1" t="str">
        <f>IFERROR(__xludf.DUMMYFUNCTION("""COMPUTED_VALUE"""),"Boy benta Jr ng mynila")</f>
        <v>Boy benta Jr ng mynila</v>
      </c>
      <c r="F2382" s="1">
        <f>IFERROR(__xludf.DUMMYFUNCTION("""COMPUTED_VALUE"""),2.0)</f>
        <v>2</v>
      </c>
      <c r="G2382" s="1" t="str">
        <f>IFERROR(__xludf.DUMMYFUNCTION("""COMPUTED_VALUE"""),"3 mos")</f>
        <v>3 mos</v>
      </c>
      <c r="H2382" s="1" t="str">
        <f>IFERROR(__xludf.DUMMYFUNCTION("""COMPUTED_VALUE"""),"comment")</f>
        <v>comment</v>
      </c>
      <c r="I2382" s="2" t="str">
        <f>IFERROR(__xludf.DUMMYFUNCTION("""COMPUTED_VALUE"""),"https://www.facebook.com/watch/live/?ref=watch_permalink&amp;v=923735834984653")</f>
        <v>https://www.facebook.com/watch/live/?ref=watch_permalink&amp;v=923735834984653</v>
      </c>
      <c r="J2382" s="1" t="str">
        <f>IFERROR(__xludf.DUMMYFUNCTION("""COMPUTED_VALUE"""),"2022-07-04T15:49:26.539Z")</f>
        <v>2022-07-04T15:49:26.539Z</v>
      </c>
      <c r="K2382" s="1"/>
    </row>
    <row r="2383">
      <c r="A2383" s="2" t="str">
        <f>IFERROR(__xludf.DUMMYFUNCTION("""COMPUTED_VALUE"""),"https://www.facebook.com/profile.php?id=100014953603014")</f>
        <v>https://www.facebook.com/profile.php?id=100014953603014</v>
      </c>
      <c r="B2383" s="1" t="str">
        <f>IFERROR(__xludf.DUMMYFUNCTION("""COMPUTED_VALUE"""),"Marzdomz Busain Garnado")</f>
        <v>Marzdomz Busain Garnado</v>
      </c>
      <c r="C2383" s="1" t="str">
        <f>IFERROR(__xludf.DUMMYFUNCTION("""COMPUTED_VALUE"""),"Marzdomz")</f>
        <v>Marzdomz</v>
      </c>
      <c r="D2383" s="1" t="str">
        <f>IFERROR(__xludf.DUMMYFUNCTION("""COMPUTED_VALUE"""),"Busain Garnado")</f>
        <v>Busain Garnado</v>
      </c>
      <c r="E2383" s="1" t="str">
        <f>IFERROR(__xludf.DUMMYFUNCTION("""COMPUTED_VALUE"""),"C erap ngbenta non hindi c yorme tingnan nyo ang katotohanan di yong magpatnzo kayo ni lopez at mike abe")</f>
        <v>C erap ngbenta non hindi c yorme tingnan nyo ang katotohanan di yong magpatnzo kayo ni lopez at mike abe</v>
      </c>
      <c r="F2383" s="1">
        <f>IFERROR(__xludf.DUMMYFUNCTION("""COMPUTED_VALUE"""),2.0)</f>
        <v>2</v>
      </c>
      <c r="G2383" s="1" t="str">
        <f>IFERROR(__xludf.DUMMYFUNCTION("""COMPUTED_VALUE"""),"3 mos")</f>
        <v>3 mos</v>
      </c>
      <c r="H2383" s="1" t="str">
        <f>IFERROR(__xludf.DUMMYFUNCTION("""COMPUTED_VALUE"""),"reply")</f>
        <v>reply</v>
      </c>
      <c r="I2383" s="2" t="str">
        <f>IFERROR(__xludf.DUMMYFUNCTION("""COMPUTED_VALUE"""),"https://www.facebook.com/watch/live/?ref=watch_permalink&amp;v=923735834984653")</f>
        <v>https://www.facebook.com/watch/live/?ref=watch_permalink&amp;v=923735834984653</v>
      </c>
      <c r="J2383" s="1" t="str">
        <f>IFERROR(__xludf.DUMMYFUNCTION("""COMPUTED_VALUE"""),"2022-07-04T15:49:26.539Z")</f>
        <v>2022-07-04T15:49:26.539Z</v>
      </c>
      <c r="K2383" s="1"/>
    </row>
    <row r="2384">
      <c r="A2384" s="2" t="str">
        <f>IFERROR(__xludf.DUMMYFUNCTION("""COMPUTED_VALUE"""),"https://www.facebook.com/profile.php?id=100070807127692")</f>
        <v>https://www.facebook.com/profile.php?id=100070807127692</v>
      </c>
      <c r="B2384" s="1" t="str">
        <f>IFERROR(__xludf.DUMMYFUNCTION("""COMPUTED_VALUE"""),"Edwin Hernandez")</f>
        <v>Edwin Hernandez</v>
      </c>
      <c r="C2384" s="1" t="str">
        <f>IFERROR(__xludf.DUMMYFUNCTION("""COMPUTED_VALUE"""),"Edwin")</f>
        <v>Edwin</v>
      </c>
      <c r="D2384" s="1" t="str">
        <f>IFERROR(__xludf.DUMMYFUNCTION("""COMPUTED_VALUE"""),"Hernandez")</f>
        <v>Hernandez</v>
      </c>
      <c r="E2384" s="1" t="str">
        <f>IFERROR(__xludf.DUMMYFUNCTION("""COMPUTED_VALUE"""),"Boy benta")</f>
        <v>Boy benta</v>
      </c>
      <c r="F2384" s="1"/>
      <c r="G2384" s="1" t="str">
        <f>IFERROR(__xludf.DUMMYFUNCTION("""COMPUTED_VALUE"""),"3 mos")</f>
        <v>3 mos</v>
      </c>
      <c r="H2384" s="1" t="str">
        <f>IFERROR(__xludf.DUMMYFUNCTION("""COMPUTED_VALUE"""),"comment")</f>
        <v>comment</v>
      </c>
      <c r="I2384" s="2" t="str">
        <f>IFERROR(__xludf.DUMMYFUNCTION("""COMPUTED_VALUE"""),"https://www.facebook.com/watch/live/?ref=watch_permalink&amp;v=923735834984653")</f>
        <v>https://www.facebook.com/watch/live/?ref=watch_permalink&amp;v=923735834984653</v>
      </c>
      <c r="J2384" s="1" t="str">
        <f>IFERROR(__xludf.DUMMYFUNCTION("""COMPUTED_VALUE"""),"2022-07-04T15:49:26.539Z")</f>
        <v>2022-07-04T15:49:26.539Z</v>
      </c>
      <c r="K2384" s="1"/>
    </row>
    <row r="2385">
      <c r="A2385" s="2" t="str">
        <f>IFERROR(__xludf.DUMMYFUNCTION("""COMPUTED_VALUE"""),"https://www.facebook.com/bert.naynes")</f>
        <v>https://www.facebook.com/bert.naynes</v>
      </c>
      <c r="B2385" s="1" t="str">
        <f>IFERROR(__xludf.DUMMYFUNCTION("""COMPUTED_VALUE"""),"Bert Naynes")</f>
        <v>Bert Naynes</v>
      </c>
      <c r="C2385" s="1" t="str">
        <f>IFERROR(__xludf.DUMMYFUNCTION("""COMPUTED_VALUE"""),"Bert")</f>
        <v>Bert</v>
      </c>
      <c r="D2385" s="1" t="str">
        <f>IFERROR(__xludf.DUMMYFUNCTION("""COMPUTED_VALUE"""),"Naynes")</f>
        <v>Naynes</v>
      </c>
      <c r="E2385" s="1" t="str">
        <f>IFERROR(__xludf.DUMMYFUNCTION("""COMPUTED_VALUE"""),"Bilis kilos/bilis benta")</f>
        <v>Bilis kilos/bilis benta</v>
      </c>
      <c r="F2385" s="1"/>
      <c r="G2385" s="1" t="str">
        <f>IFERROR(__xludf.DUMMYFUNCTION("""COMPUTED_VALUE"""),"3 mos")</f>
        <v>3 mos</v>
      </c>
      <c r="H2385" s="1" t="str">
        <f>IFERROR(__xludf.DUMMYFUNCTION("""COMPUTED_VALUE"""),"comment")</f>
        <v>comment</v>
      </c>
      <c r="I2385" s="2" t="str">
        <f>IFERROR(__xludf.DUMMYFUNCTION("""COMPUTED_VALUE"""),"https://www.facebook.com/watch/live/?ref=watch_permalink&amp;v=923735834984653")</f>
        <v>https://www.facebook.com/watch/live/?ref=watch_permalink&amp;v=923735834984653</v>
      </c>
      <c r="J2385" s="1" t="str">
        <f>IFERROR(__xludf.DUMMYFUNCTION("""COMPUTED_VALUE"""),"2022-07-04T15:49:26.539Z")</f>
        <v>2022-07-04T15:49:26.539Z</v>
      </c>
      <c r="K2385" s="1"/>
    </row>
    <row r="2386">
      <c r="A2386" s="2" t="str">
        <f>IFERROR(__xludf.DUMMYFUNCTION("""COMPUTED_VALUE"""),"https://www.facebook.com/glenda.calvario.129")</f>
        <v>https://www.facebook.com/glenda.calvario.129</v>
      </c>
      <c r="B2386" s="1" t="str">
        <f>IFERROR(__xludf.DUMMYFUNCTION("""COMPUTED_VALUE"""),"Calvario Glenda")</f>
        <v>Calvario Glenda</v>
      </c>
      <c r="C2386" s="1" t="str">
        <f>IFERROR(__xludf.DUMMYFUNCTION("""COMPUTED_VALUE"""),"Calvario")</f>
        <v>Calvario</v>
      </c>
      <c r="D2386" s="1" t="str">
        <f>IFERROR(__xludf.DUMMYFUNCTION("""COMPUTED_VALUE"""),"Glenda")</f>
        <v>Glenda</v>
      </c>
      <c r="E2386" s="1" t="str">
        <f>IFERROR(__xludf.DUMMYFUNCTION("""COMPUTED_VALUE"""),"Isko kapala te")</f>
        <v>Isko kapala te</v>
      </c>
      <c r="F2386" s="1"/>
      <c r="G2386" s="1" t="str">
        <f>IFERROR(__xludf.DUMMYFUNCTION("""COMPUTED_VALUE"""),"3 mos")</f>
        <v>3 mos</v>
      </c>
      <c r="H2386" s="1" t="str">
        <f>IFERROR(__xludf.DUMMYFUNCTION("""COMPUTED_VALUE"""),"comment")</f>
        <v>comment</v>
      </c>
      <c r="I2386" s="2" t="str">
        <f>IFERROR(__xludf.DUMMYFUNCTION("""COMPUTED_VALUE"""),"https://www.facebook.com/watch/live/?ref=watch_permalink&amp;v=923735834984653")</f>
        <v>https://www.facebook.com/watch/live/?ref=watch_permalink&amp;v=923735834984653</v>
      </c>
      <c r="J2386" s="1" t="str">
        <f>IFERROR(__xludf.DUMMYFUNCTION("""COMPUTED_VALUE"""),"2022-07-04T15:49:26.539Z")</f>
        <v>2022-07-04T15:49:26.539Z</v>
      </c>
      <c r="K2386" s="1"/>
    </row>
    <row r="2387">
      <c r="A2387" s="2" t="str">
        <f>IFERROR(__xludf.DUMMYFUNCTION("""COMPUTED_VALUE"""),"https://www.facebook.com/alfredojun.castro")</f>
        <v>https://www.facebook.com/alfredojun.castro</v>
      </c>
      <c r="B2387" s="1" t="str">
        <f>IFERROR(__xludf.DUMMYFUNCTION("""COMPUTED_VALUE"""),"Alfredo Jun Castro")</f>
        <v>Alfredo Jun Castro</v>
      </c>
      <c r="C2387" s="1" t="str">
        <f>IFERROR(__xludf.DUMMYFUNCTION("""COMPUTED_VALUE"""),"Alfredo")</f>
        <v>Alfredo</v>
      </c>
      <c r="D2387" s="1" t="str">
        <f>IFERROR(__xludf.DUMMYFUNCTION("""COMPUTED_VALUE"""),"Jun Castro")</f>
        <v>Jun Castro</v>
      </c>
      <c r="E2387" s="1" t="str">
        <f>IFERROR(__xludf.DUMMYFUNCTION("""COMPUTED_VALUE"""),"Boy benta")</f>
        <v>Boy benta</v>
      </c>
      <c r="F2387" s="1"/>
      <c r="G2387" s="1" t="str">
        <f>IFERROR(__xludf.DUMMYFUNCTION("""COMPUTED_VALUE"""),"3 mos")</f>
        <v>3 mos</v>
      </c>
      <c r="H2387" s="1" t="str">
        <f>IFERROR(__xludf.DUMMYFUNCTION("""COMPUTED_VALUE"""),"comment")</f>
        <v>comment</v>
      </c>
      <c r="I2387" s="2" t="str">
        <f>IFERROR(__xludf.DUMMYFUNCTION("""COMPUTED_VALUE"""),"https://www.facebook.com/watch/live/?ref=watch_permalink&amp;v=923735834984653")</f>
        <v>https://www.facebook.com/watch/live/?ref=watch_permalink&amp;v=923735834984653</v>
      </c>
      <c r="J2387" s="1" t="str">
        <f>IFERROR(__xludf.DUMMYFUNCTION("""COMPUTED_VALUE"""),"2022-07-04T15:49:26.539Z")</f>
        <v>2022-07-04T15:49:26.539Z</v>
      </c>
      <c r="K2387" s="1"/>
    </row>
    <row r="2388">
      <c r="A2388" s="2" t="str">
        <f>IFERROR(__xludf.DUMMYFUNCTION("""COMPUTED_VALUE"""),"https://www.facebook.com/micoleizon")</f>
        <v>https://www.facebook.com/micoleizon</v>
      </c>
      <c r="B2388" s="1" t="str">
        <f>IFERROR(__xludf.DUMMYFUNCTION("""COMPUTED_VALUE"""),"Giane Delos Santos Ilagan")</f>
        <v>Giane Delos Santos Ilagan</v>
      </c>
      <c r="C2388" s="1" t="str">
        <f>IFERROR(__xludf.DUMMYFUNCTION("""COMPUTED_VALUE"""),"Giane")</f>
        <v>Giane</v>
      </c>
      <c r="D2388" s="1" t="str">
        <f>IFERROR(__xludf.DUMMYFUNCTION("""COMPUTED_VALUE"""),"Delos Santos Ilagan")</f>
        <v>Delos Santos Ilagan</v>
      </c>
      <c r="E2388" s="1" t="str">
        <f>IFERROR(__xludf.DUMMYFUNCTION("""COMPUTED_VALUE"""),"Giane Delos Santos Ilagan")</f>
        <v>Giane Delos Santos Ilagan</v>
      </c>
      <c r="F2388" s="1">
        <f>IFERROR(__xludf.DUMMYFUNCTION("""COMPUTED_VALUE"""),1.0)</f>
        <v>1</v>
      </c>
      <c r="G2388" s="1" t="str">
        <f>IFERROR(__xludf.DUMMYFUNCTION("""COMPUTED_VALUE"""),"3 mos")</f>
        <v>3 mos</v>
      </c>
      <c r="H2388" s="1" t="str">
        <f>IFERROR(__xludf.DUMMYFUNCTION("""COMPUTED_VALUE"""),"comment")</f>
        <v>comment</v>
      </c>
      <c r="I2388" s="2" t="str">
        <f>IFERROR(__xludf.DUMMYFUNCTION("""COMPUTED_VALUE"""),"https://www.facebook.com/watch/live/?ref=watch_permalink&amp;v=923735834984653")</f>
        <v>https://www.facebook.com/watch/live/?ref=watch_permalink&amp;v=923735834984653</v>
      </c>
      <c r="J2388" s="1" t="str">
        <f>IFERROR(__xludf.DUMMYFUNCTION("""COMPUTED_VALUE"""),"2022-07-04T15:49:26.539Z")</f>
        <v>2022-07-04T15:49:26.539Z</v>
      </c>
      <c r="K2388" s="1"/>
    </row>
    <row r="2389">
      <c r="A2389" s="2" t="str">
        <f>IFERROR(__xludf.DUMMYFUNCTION("""COMPUTED_VALUE"""),"https://www.facebook.com/gen.eslao")</f>
        <v>https://www.facebook.com/gen.eslao</v>
      </c>
      <c r="B2389" s="1" t="str">
        <f>IFERROR(__xludf.DUMMYFUNCTION("""COMPUTED_VALUE"""),"Gen Eslao Ramiscal")</f>
        <v>Gen Eslao Ramiscal</v>
      </c>
      <c r="C2389" s="1" t="str">
        <f>IFERROR(__xludf.DUMMYFUNCTION("""COMPUTED_VALUE"""),"Gen")</f>
        <v>Gen</v>
      </c>
      <c r="D2389" s="1" t="str">
        <f>IFERROR(__xludf.DUMMYFUNCTION("""COMPUTED_VALUE"""),"Eslao Ramiscal")</f>
        <v>Eslao Ramiscal</v>
      </c>
      <c r="E2389" s="1" t="str">
        <f>IFERROR(__xludf.DUMMYFUNCTION("""COMPUTED_VALUE"""),"Talunan,talunan,talunan ka iskomunista jomagoso boy benta")</f>
        <v>Talunan,talunan,talunan ka iskomunista jomagoso boy benta</v>
      </c>
      <c r="F2389" s="1"/>
      <c r="G2389" s="1" t="str">
        <f>IFERROR(__xludf.DUMMYFUNCTION("""COMPUTED_VALUE"""),"3 mos")</f>
        <v>3 mos</v>
      </c>
      <c r="H2389" s="1" t="str">
        <f>IFERROR(__xludf.DUMMYFUNCTION("""COMPUTED_VALUE"""),"comment")</f>
        <v>comment</v>
      </c>
      <c r="I2389" s="2" t="str">
        <f>IFERROR(__xludf.DUMMYFUNCTION("""COMPUTED_VALUE"""),"https://www.facebook.com/watch/live/?ref=watch_permalink&amp;v=923735834984653")</f>
        <v>https://www.facebook.com/watch/live/?ref=watch_permalink&amp;v=923735834984653</v>
      </c>
      <c r="J2389" s="1" t="str">
        <f>IFERROR(__xludf.DUMMYFUNCTION("""COMPUTED_VALUE"""),"2022-07-04T15:49:26.539Z")</f>
        <v>2022-07-04T15:49:26.539Z</v>
      </c>
      <c r="K2389" s="1"/>
    </row>
    <row r="2390">
      <c r="A2390" s="2" t="str">
        <f>IFERROR(__xludf.DUMMYFUNCTION("""COMPUTED_VALUE"""),"https://www.facebook.com/micoleizon")</f>
        <v>https://www.facebook.com/micoleizon</v>
      </c>
      <c r="B2390" s="1" t="str">
        <f>IFERROR(__xludf.DUMMYFUNCTION("""COMPUTED_VALUE"""),"Giane Delos Santos Ilagan")</f>
        <v>Giane Delos Santos Ilagan</v>
      </c>
      <c r="C2390" s="1" t="str">
        <f>IFERROR(__xludf.DUMMYFUNCTION("""COMPUTED_VALUE"""),"Giane")</f>
        <v>Giane</v>
      </c>
      <c r="D2390" s="1" t="str">
        <f>IFERROR(__xludf.DUMMYFUNCTION("""COMPUTED_VALUE"""),"Delos Santos Ilagan")</f>
        <v>Delos Santos Ilagan</v>
      </c>
      <c r="E2390" s="1" t="str">
        <f>IFERROR(__xludf.DUMMYFUNCTION("""COMPUTED_VALUE"""),"Giane Delos Santos Ilagan")</f>
        <v>Giane Delos Santos Ilagan</v>
      </c>
      <c r="F2390" s="1">
        <f>IFERROR(__xludf.DUMMYFUNCTION("""COMPUTED_VALUE"""),1.0)</f>
        <v>1</v>
      </c>
      <c r="G2390" s="1" t="str">
        <f>IFERROR(__xludf.DUMMYFUNCTION("""COMPUTED_VALUE"""),"3 mos")</f>
        <v>3 mos</v>
      </c>
      <c r="H2390" s="1" t="str">
        <f>IFERROR(__xludf.DUMMYFUNCTION("""COMPUTED_VALUE"""),"comment")</f>
        <v>comment</v>
      </c>
      <c r="I2390" s="2" t="str">
        <f>IFERROR(__xludf.DUMMYFUNCTION("""COMPUTED_VALUE"""),"https://www.facebook.com/watch/live/?ref=watch_permalink&amp;v=923735834984653")</f>
        <v>https://www.facebook.com/watch/live/?ref=watch_permalink&amp;v=923735834984653</v>
      </c>
      <c r="J2390" s="1" t="str">
        <f>IFERROR(__xludf.DUMMYFUNCTION("""COMPUTED_VALUE"""),"2022-07-04T15:49:26.539Z")</f>
        <v>2022-07-04T15:49:26.539Z</v>
      </c>
      <c r="K2390" s="1"/>
    </row>
    <row r="2391">
      <c r="A2391" s="2" t="str">
        <f>IFERROR(__xludf.DUMMYFUNCTION("""COMPUTED_VALUE"""),"https://www.facebook.com/german.balderama.311")</f>
        <v>https://www.facebook.com/german.balderama.311</v>
      </c>
      <c r="B2391" s="1" t="str">
        <f>IFERROR(__xludf.DUMMYFUNCTION("""COMPUTED_VALUE"""),"German Balderama")</f>
        <v>German Balderama</v>
      </c>
      <c r="C2391" s="1" t="str">
        <f>IFERROR(__xludf.DUMMYFUNCTION("""COMPUTED_VALUE"""),"German")</f>
        <v>German</v>
      </c>
      <c r="D2391" s="1" t="str">
        <f>IFERROR(__xludf.DUMMYFUNCTION("""COMPUTED_VALUE"""),"Balderama")</f>
        <v>Balderama</v>
      </c>
      <c r="E2391" s="1" t="str">
        <f>IFERROR(__xludf.DUMMYFUNCTION("""COMPUTED_VALUE"""),"Hindi ka mananali bot benta")</f>
        <v>Hindi ka mananali bot benta</v>
      </c>
      <c r="F2391" s="1"/>
      <c r="G2391" s="1" t="str">
        <f>IFERROR(__xludf.DUMMYFUNCTION("""COMPUTED_VALUE"""),"3 mos")</f>
        <v>3 mos</v>
      </c>
      <c r="H2391" s="1" t="str">
        <f>IFERROR(__xludf.DUMMYFUNCTION("""COMPUTED_VALUE"""),"comment")</f>
        <v>comment</v>
      </c>
      <c r="I2391" s="2" t="str">
        <f>IFERROR(__xludf.DUMMYFUNCTION("""COMPUTED_VALUE"""),"https://www.facebook.com/watch/live/?ref=watch_permalink&amp;v=923735834984653")</f>
        <v>https://www.facebook.com/watch/live/?ref=watch_permalink&amp;v=923735834984653</v>
      </c>
      <c r="J2391" s="1" t="str">
        <f>IFERROR(__xludf.DUMMYFUNCTION("""COMPUTED_VALUE"""),"2022-07-04T15:49:26.539Z")</f>
        <v>2022-07-04T15:49:26.539Z</v>
      </c>
      <c r="K2391" s="1"/>
    </row>
    <row r="2392">
      <c r="A2392" s="2" t="str">
        <f>IFERROR(__xludf.DUMMYFUNCTION("""COMPUTED_VALUE"""),"https://www.facebook.com/alectv07")</f>
        <v>https://www.facebook.com/alectv07</v>
      </c>
      <c r="B2392" s="1" t="str">
        <f>IFERROR(__xludf.DUMMYFUNCTION("""COMPUTED_VALUE"""),"Jonathan Utzurrum")</f>
        <v>Jonathan Utzurrum</v>
      </c>
      <c r="C2392" s="1" t="str">
        <f>IFERROR(__xludf.DUMMYFUNCTION("""COMPUTED_VALUE"""),"Jonathan")</f>
        <v>Jonathan</v>
      </c>
      <c r="D2392" s="1" t="str">
        <f>IFERROR(__xludf.DUMMYFUNCTION("""COMPUTED_VALUE"""),"Utzurrum")</f>
        <v>Utzurrum</v>
      </c>
      <c r="E2392" s="1" t="str">
        <f>IFERROR(__xludf.DUMMYFUNCTION("""COMPUTED_VALUE"""),"Jonathan Utzurrum")</f>
        <v>Jonathan Utzurrum</v>
      </c>
      <c r="F2392" s="1"/>
      <c r="G2392" s="1" t="str">
        <f>IFERROR(__xludf.DUMMYFUNCTION("""COMPUTED_VALUE"""),"3 mos")</f>
        <v>3 mos</v>
      </c>
      <c r="H2392" s="1" t="str">
        <f>IFERROR(__xludf.DUMMYFUNCTION("""COMPUTED_VALUE"""),"comment")</f>
        <v>comment</v>
      </c>
      <c r="I2392" s="2" t="str">
        <f>IFERROR(__xludf.DUMMYFUNCTION("""COMPUTED_VALUE"""),"https://www.facebook.com/watch/live/?ref=watch_permalink&amp;v=923735834984653")</f>
        <v>https://www.facebook.com/watch/live/?ref=watch_permalink&amp;v=923735834984653</v>
      </c>
      <c r="J2392" s="1" t="str">
        <f>IFERROR(__xludf.DUMMYFUNCTION("""COMPUTED_VALUE"""),"2022-07-04T15:49:26.539Z")</f>
        <v>2022-07-04T15:49:26.539Z</v>
      </c>
      <c r="K2392" s="1"/>
    </row>
    <row r="2393">
      <c r="A2393" s="2" t="str">
        <f>IFERROR(__xludf.DUMMYFUNCTION("""COMPUTED_VALUE"""),"https://www.facebook.com/emelisa.bautista")</f>
        <v>https://www.facebook.com/emelisa.bautista</v>
      </c>
      <c r="B2393" s="1" t="str">
        <f>IFERROR(__xludf.DUMMYFUNCTION("""COMPUTED_VALUE"""),"Emelisa Bello Bautista")</f>
        <v>Emelisa Bello Bautista</v>
      </c>
      <c r="C2393" s="1" t="str">
        <f>IFERROR(__xludf.DUMMYFUNCTION("""COMPUTED_VALUE"""),"Emelisa")</f>
        <v>Emelisa</v>
      </c>
      <c r="D2393" s="1" t="str">
        <f>IFERROR(__xludf.DUMMYFUNCTION("""COMPUTED_VALUE"""),"Bello Bautista")</f>
        <v>Bello Bautista</v>
      </c>
      <c r="E2393" s="1" t="str">
        <f>IFERROR(__xludf.DUMMYFUNCTION("""COMPUTED_VALUE"""),"Emelisa Bello Bautista")</f>
        <v>Emelisa Bello Bautista</v>
      </c>
      <c r="F2393" s="1">
        <f>IFERROR(__xludf.DUMMYFUNCTION("""COMPUTED_VALUE"""),1.0)</f>
        <v>1</v>
      </c>
      <c r="G2393" s="1" t="str">
        <f>IFERROR(__xludf.DUMMYFUNCTION("""COMPUTED_VALUE"""),"3 mos")</f>
        <v>3 mos</v>
      </c>
      <c r="H2393" s="1" t="str">
        <f>IFERROR(__xludf.DUMMYFUNCTION("""COMPUTED_VALUE"""),"comment")</f>
        <v>comment</v>
      </c>
      <c r="I2393" s="2" t="str">
        <f>IFERROR(__xludf.DUMMYFUNCTION("""COMPUTED_VALUE"""),"https://www.facebook.com/watch/live/?ref=watch_permalink&amp;v=923735834984653")</f>
        <v>https://www.facebook.com/watch/live/?ref=watch_permalink&amp;v=923735834984653</v>
      </c>
      <c r="J2393" s="1" t="str">
        <f>IFERROR(__xludf.DUMMYFUNCTION("""COMPUTED_VALUE"""),"2022-07-04T15:49:26.539Z")</f>
        <v>2022-07-04T15:49:26.539Z</v>
      </c>
      <c r="K2393" s="1"/>
    </row>
    <row r="2394">
      <c r="A2394" s="2" t="str">
        <f>IFERROR(__xludf.DUMMYFUNCTION("""COMPUTED_VALUE"""),"https://www.facebook.com/emelisa.bautista")</f>
        <v>https://www.facebook.com/emelisa.bautista</v>
      </c>
      <c r="B2394" s="1" t="str">
        <f>IFERROR(__xludf.DUMMYFUNCTION("""COMPUTED_VALUE"""),"Emelisa Bello Bautista")</f>
        <v>Emelisa Bello Bautista</v>
      </c>
      <c r="C2394" s="1" t="str">
        <f>IFERROR(__xludf.DUMMYFUNCTION("""COMPUTED_VALUE"""),"Emelisa")</f>
        <v>Emelisa</v>
      </c>
      <c r="D2394" s="1" t="str">
        <f>IFERROR(__xludf.DUMMYFUNCTION("""COMPUTED_VALUE"""),"Bello Bautista")</f>
        <v>Bello Bautista</v>
      </c>
      <c r="E2394" s="1" t="str">
        <f>IFERROR(__xludf.DUMMYFUNCTION("""COMPUTED_VALUE"""),"Emelisa Bello Bautista")</f>
        <v>Emelisa Bello Bautista</v>
      </c>
      <c r="F2394" s="1"/>
      <c r="G2394" s="1" t="str">
        <f>IFERROR(__xludf.DUMMYFUNCTION("""COMPUTED_VALUE"""),"3 mos")</f>
        <v>3 mos</v>
      </c>
      <c r="H2394" s="1" t="str">
        <f>IFERROR(__xludf.DUMMYFUNCTION("""COMPUTED_VALUE"""),"comment")</f>
        <v>comment</v>
      </c>
      <c r="I2394" s="2" t="str">
        <f>IFERROR(__xludf.DUMMYFUNCTION("""COMPUTED_VALUE"""),"https://www.facebook.com/watch/live/?ref=watch_permalink&amp;v=923735834984653")</f>
        <v>https://www.facebook.com/watch/live/?ref=watch_permalink&amp;v=923735834984653</v>
      </c>
      <c r="J2394" s="1" t="str">
        <f>IFERROR(__xludf.DUMMYFUNCTION("""COMPUTED_VALUE"""),"2022-07-04T15:49:26.539Z")</f>
        <v>2022-07-04T15:49:26.539Z</v>
      </c>
      <c r="K2394" s="1"/>
    </row>
    <row r="2395">
      <c r="A2395" s="2" t="str">
        <f>IFERROR(__xludf.DUMMYFUNCTION("""COMPUTED_VALUE"""),"https://www.facebook.com/alectv07")</f>
        <v>https://www.facebook.com/alectv07</v>
      </c>
      <c r="B2395" s="1" t="str">
        <f>IFERROR(__xludf.DUMMYFUNCTION("""COMPUTED_VALUE"""),"Jonathan Utzurrum")</f>
        <v>Jonathan Utzurrum</v>
      </c>
      <c r="C2395" s="1" t="str">
        <f>IFERROR(__xludf.DUMMYFUNCTION("""COMPUTED_VALUE"""),"Jonathan")</f>
        <v>Jonathan</v>
      </c>
      <c r="D2395" s="1" t="str">
        <f>IFERROR(__xludf.DUMMYFUNCTION("""COMPUTED_VALUE"""),"Utzurrum")</f>
        <v>Utzurrum</v>
      </c>
      <c r="E2395" s="1" t="str">
        <f>IFERROR(__xludf.DUMMYFUNCTION("""COMPUTED_VALUE"""),"Jonathan Utzurrum")</f>
        <v>Jonathan Utzurrum</v>
      </c>
      <c r="F2395" s="1"/>
      <c r="G2395" s="1" t="str">
        <f>IFERROR(__xludf.DUMMYFUNCTION("""COMPUTED_VALUE"""),"3 mos")</f>
        <v>3 mos</v>
      </c>
      <c r="H2395" s="1" t="str">
        <f>IFERROR(__xludf.DUMMYFUNCTION("""COMPUTED_VALUE"""),"comment")</f>
        <v>comment</v>
      </c>
      <c r="I2395" s="2" t="str">
        <f>IFERROR(__xludf.DUMMYFUNCTION("""COMPUTED_VALUE"""),"https://www.facebook.com/watch/live/?ref=watch_permalink&amp;v=923735834984653")</f>
        <v>https://www.facebook.com/watch/live/?ref=watch_permalink&amp;v=923735834984653</v>
      </c>
      <c r="J2395" s="1" t="str">
        <f>IFERROR(__xludf.DUMMYFUNCTION("""COMPUTED_VALUE"""),"2022-07-04T15:49:26.539Z")</f>
        <v>2022-07-04T15:49:26.539Z</v>
      </c>
      <c r="K2395" s="1"/>
    </row>
    <row r="2396">
      <c r="A2396" s="2" t="str">
        <f>IFERROR(__xludf.DUMMYFUNCTION("""COMPUTED_VALUE"""),"https://www.facebook.com/alectv07")</f>
        <v>https://www.facebook.com/alectv07</v>
      </c>
      <c r="B2396" s="1" t="str">
        <f>IFERROR(__xludf.DUMMYFUNCTION("""COMPUTED_VALUE"""),"Jonathan Utzurrum")</f>
        <v>Jonathan Utzurrum</v>
      </c>
      <c r="C2396" s="1" t="str">
        <f>IFERROR(__xludf.DUMMYFUNCTION("""COMPUTED_VALUE"""),"Jonathan")</f>
        <v>Jonathan</v>
      </c>
      <c r="D2396" s="1" t="str">
        <f>IFERROR(__xludf.DUMMYFUNCTION("""COMPUTED_VALUE"""),"Utzurrum")</f>
        <v>Utzurrum</v>
      </c>
      <c r="E2396" s="1" t="str">
        <f>IFERROR(__xludf.DUMMYFUNCTION("""COMPUTED_VALUE"""),"Jonathan Utzurrum")</f>
        <v>Jonathan Utzurrum</v>
      </c>
      <c r="F2396" s="1">
        <f>IFERROR(__xludf.DUMMYFUNCTION("""COMPUTED_VALUE"""),1.0)</f>
        <v>1</v>
      </c>
      <c r="G2396" s="1" t="str">
        <f>IFERROR(__xludf.DUMMYFUNCTION("""COMPUTED_VALUE"""),"3 mos")</f>
        <v>3 mos</v>
      </c>
      <c r="H2396" s="1" t="str">
        <f>IFERROR(__xludf.DUMMYFUNCTION("""COMPUTED_VALUE"""),"comment")</f>
        <v>comment</v>
      </c>
      <c r="I2396" s="2" t="str">
        <f>IFERROR(__xludf.DUMMYFUNCTION("""COMPUTED_VALUE"""),"https://www.facebook.com/watch/live/?ref=watch_permalink&amp;v=923735834984653")</f>
        <v>https://www.facebook.com/watch/live/?ref=watch_permalink&amp;v=923735834984653</v>
      </c>
      <c r="J2396" s="1" t="str">
        <f>IFERROR(__xludf.DUMMYFUNCTION("""COMPUTED_VALUE"""),"2022-07-04T15:49:26.539Z")</f>
        <v>2022-07-04T15:49:26.539Z</v>
      </c>
      <c r="K2396" s="1"/>
    </row>
    <row r="2397">
      <c r="A2397" s="2" t="str">
        <f>IFERROR(__xludf.DUMMYFUNCTION("""COMPUTED_VALUE"""),"https://www.facebook.com/alectv07")</f>
        <v>https://www.facebook.com/alectv07</v>
      </c>
      <c r="B2397" s="1" t="str">
        <f>IFERROR(__xludf.DUMMYFUNCTION("""COMPUTED_VALUE"""),"Jonathan Utzurrum")</f>
        <v>Jonathan Utzurrum</v>
      </c>
      <c r="C2397" s="1" t="str">
        <f>IFERROR(__xludf.DUMMYFUNCTION("""COMPUTED_VALUE"""),"Jonathan")</f>
        <v>Jonathan</v>
      </c>
      <c r="D2397" s="1" t="str">
        <f>IFERROR(__xludf.DUMMYFUNCTION("""COMPUTED_VALUE"""),"Utzurrum")</f>
        <v>Utzurrum</v>
      </c>
      <c r="E2397" s="1" t="str">
        <f>IFERROR(__xludf.DUMMYFUNCTION("""COMPUTED_VALUE"""),"Jonathan Utzurrum")</f>
        <v>Jonathan Utzurrum</v>
      </c>
      <c r="F2397" s="1"/>
      <c r="G2397" s="1" t="str">
        <f>IFERROR(__xludf.DUMMYFUNCTION("""COMPUTED_VALUE"""),"3 mos")</f>
        <v>3 mos</v>
      </c>
      <c r="H2397" s="1" t="str">
        <f>IFERROR(__xludf.DUMMYFUNCTION("""COMPUTED_VALUE"""),"comment")</f>
        <v>comment</v>
      </c>
      <c r="I2397" s="2" t="str">
        <f>IFERROR(__xludf.DUMMYFUNCTION("""COMPUTED_VALUE"""),"https://www.facebook.com/watch/live/?ref=watch_permalink&amp;v=923735834984653")</f>
        <v>https://www.facebook.com/watch/live/?ref=watch_permalink&amp;v=923735834984653</v>
      </c>
      <c r="J2397" s="1" t="str">
        <f>IFERROR(__xludf.DUMMYFUNCTION("""COMPUTED_VALUE"""),"2022-07-04T15:49:26.539Z")</f>
        <v>2022-07-04T15:49:26.539Z</v>
      </c>
      <c r="K2397" s="1"/>
    </row>
    <row r="2398">
      <c r="A2398" s="2" t="str">
        <f>IFERROR(__xludf.DUMMYFUNCTION("""COMPUTED_VALUE"""),"https://www.facebook.com/alectv07")</f>
        <v>https://www.facebook.com/alectv07</v>
      </c>
      <c r="B2398" s="1" t="str">
        <f>IFERROR(__xludf.DUMMYFUNCTION("""COMPUTED_VALUE"""),"Jonathan Utzurrum")</f>
        <v>Jonathan Utzurrum</v>
      </c>
      <c r="C2398" s="1" t="str">
        <f>IFERROR(__xludf.DUMMYFUNCTION("""COMPUTED_VALUE"""),"Jonathan")</f>
        <v>Jonathan</v>
      </c>
      <c r="D2398" s="1" t="str">
        <f>IFERROR(__xludf.DUMMYFUNCTION("""COMPUTED_VALUE"""),"Utzurrum")</f>
        <v>Utzurrum</v>
      </c>
      <c r="E2398" s="1" t="str">
        <f>IFERROR(__xludf.DUMMYFUNCTION("""COMPUTED_VALUE"""),"Jonathan Utzurrum")</f>
        <v>Jonathan Utzurrum</v>
      </c>
      <c r="F2398" s="1">
        <f>IFERROR(__xludf.DUMMYFUNCTION("""COMPUTED_VALUE"""),1.0)</f>
        <v>1</v>
      </c>
      <c r="G2398" s="1" t="str">
        <f>IFERROR(__xludf.DUMMYFUNCTION("""COMPUTED_VALUE"""),"3 mos")</f>
        <v>3 mos</v>
      </c>
      <c r="H2398" s="1" t="str">
        <f>IFERROR(__xludf.DUMMYFUNCTION("""COMPUTED_VALUE"""),"comment")</f>
        <v>comment</v>
      </c>
      <c r="I2398" s="2" t="str">
        <f>IFERROR(__xludf.DUMMYFUNCTION("""COMPUTED_VALUE"""),"https://www.facebook.com/watch/live/?ref=watch_permalink&amp;v=923735834984653")</f>
        <v>https://www.facebook.com/watch/live/?ref=watch_permalink&amp;v=923735834984653</v>
      </c>
      <c r="J2398" s="1" t="str">
        <f>IFERROR(__xludf.DUMMYFUNCTION("""COMPUTED_VALUE"""),"2022-07-04T15:49:26.539Z")</f>
        <v>2022-07-04T15:49:26.539Z</v>
      </c>
      <c r="K2398" s="1"/>
    </row>
    <row r="2399">
      <c r="A2399" s="2" t="str">
        <f>IFERROR(__xludf.DUMMYFUNCTION("""COMPUTED_VALUE"""),"https://www.facebook.com/alectv07")</f>
        <v>https://www.facebook.com/alectv07</v>
      </c>
      <c r="B2399" s="1" t="str">
        <f>IFERROR(__xludf.DUMMYFUNCTION("""COMPUTED_VALUE"""),"Jonathan Utzurrum")</f>
        <v>Jonathan Utzurrum</v>
      </c>
      <c r="C2399" s="1" t="str">
        <f>IFERROR(__xludf.DUMMYFUNCTION("""COMPUTED_VALUE"""),"Jonathan")</f>
        <v>Jonathan</v>
      </c>
      <c r="D2399" s="1" t="str">
        <f>IFERROR(__xludf.DUMMYFUNCTION("""COMPUTED_VALUE"""),"Utzurrum")</f>
        <v>Utzurrum</v>
      </c>
      <c r="E2399" s="1" t="str">
        <f>IFERROR(__xludf.DUMMYFUNCTION("""COMPUTED_VALUE"""),"Jonathan Utzurrum")</f>
        <v>Jonathan Utzurrum</v>
      </c>
      <c r="F2399" s="1"/>
      <c r="G2399" s="1" t="str">
        <f>IFERROR(__xludf.DUMMYFUNCTION("""COMPUTED_VALUE"""),"3 mos")</f>
        <v>3 mos</v>
      </c>
      <c r="H2399" s="1" t="str">
        <f>IFERROR(__xludf.DUMMYFUNCTION("""COMPUTED_VALUE"""),"comment")</f>
        <v>comment</v>
      </c>
      <c r="I2399" s="2" t="str">
        <f>IFERROR(__xludf.DUMMYFUNCTION("""COMPUTED_VALUE"""),"https://www.facebook.com/watch/live/?ref=watch_permalink&amp;v=923735834984653")</f>
        <v>https://www.facebook.com/watch/live/?ref=watch_permalink&amp;v=923735834984653</v>
      </c>
      <c r="J2399" s="1" t="str">
        <f>IFERROR(__xludf.DUMMYFUNCTION("""COMPUTED_VALUE"""),"2022-07-04T15:49:26.539Z")</f>
        <v>2022-07-04T15:49:26.539Z</v>
      </c>
      <c r="K2399" s="1"/>
    </row>
    <row r="2400">
      <c r="A2400" s="2" t="str">
        <f>IFERROR(__xludf.DUMMYFUNCTION("""COMPUTED_VALUE"""),"https://www.facebook.com/alectv07")</f>
        <v>https://www.facebook.com/alectv07</v>
      </c>
      <c r="B2400" s="1" t="str">
        <f>IFERROR(__xludf.DUMMYFUNCTION("""COMPUTED_VALUE"""),"Jonathan Utzurrum")</f>
        <v>Jonathan Utzurrum</v>
      </c>
      <c r="C2400" s="1" t="str">
        <f>IFERROR(__xludf.DUMMYFUNCTION("""COMPUTED_VALUE"""),"Jonathan")</f>
        <v>Jonathan</v>
      </c>
      <c r="D2400" s="1" t="str">
        <f>IFERROR(__xludf.DUMMYFUNCTION("""COMPUTED_VALUE"""),"Utzurrum")</f>
        <v>Utzurrum</v>
      </c>
      <c r="E2400" s="1" t="str">
        <f>IFERROR(__xludf.DUMMYFUNCTION("""COMPUTED_VALUE"""),"Jonathan Utzurrum")</f>
        <v>Jonathan Utzurrum</v>
      </c>
      <c r="F2400" s="1"/>
      <c r="G2400" s="1" t="str">
        <f>IFERROR(__xludf.DUMMYFUNCTION("""COMPUTED_VALUE"""),"3 mos")</f>
        <v>3 mos</v>
      </c>
      <c r="H2400" s="1" t="str">
        <f>IFERROR(__xludf.DUMMYFUNCTION("""COMPUTED_VALUE"""),"comment")</f>
        <v>comment</v>
      </c>
      <c r="I2400" s="2" t="str">
        <f>IFERROR(__xludf.DUMMYFUNCTION("""COMPUTED_VALUE"""),"https://www.facebook.com/watch/live/?ref=watch_permalink&amp;v=923735834984653")</f>
        <v>https://www.facebook.com/watch/live/?ref=watch_permalink&amp;v=923735834984653</v>
      </c>
      <c r="J2400" s="1" t="str">
        <f>IFERROR(__xludf.DUMMYFUNCTION("""COMPUTED_VALUE"""),"2022-07-04T15:49:26.539Z")</f>
        <v>2022-07-04T15:49:26.539Z</v>
      </c>
      <c r="K2400" s="1"/>
    </row>
    <row r="2401">
      <c r="A2401" s="2" t="str">
        <f>IFERROR(__xludf.DUMMYFUNCTION("""COMPUTED_VALUE"""),"https://www.facebook.com/jolly.p.miranda")</f>
        <v>https://www.facebook.com/jolly.p.miranda</v>
      </c>
      <c r="B2401" s="1" t="str">
        <f>IFERROR(__xludf.DUMMYFUNCTION("""COMPUTED_VALUE"""),"Jolly Panaguiton Miranda")</f>
        <v>Jolly Panaguiton Miranda</v>
      </c>
      <c r="C2401" s="1" t="str">
        <f>IFERROR(__xludf.DUMMYFUNCTION("""COMPUTED_VALUE"""),"Jolly")</f>
        <v>Jolly</v>
      </c>
      <c r="D2401" s="1" t="str">
        <f>IFERROR(__xludf.DUMMYFUNCTION("""COMPUTED_VALUE"""),"Panaguiton Miranda")</f>
        <v>Panaguiton Miranda</v>
      </c>
      <c r="E2401" s="1" t="str">
        <f>IFERROR(__xludf.DUMMYFUNCTION("""COMPUTED_VALUE"""),"May ebebenta na naman")</f>
        <v>May ebebenta na naman</v>
      </c>
      <c r="F2401" s="1">
        <f>IFERROR(__xludf.DUMMYFUNCTION("""COMPUTED_VALUE"""),1.0)</f>
        <v>1</v>
      </c>
      <c r="G2401" s="1" t="str">
        <f>IFERROR(__xludf.DUMMYFUNCTION("""COMPUTED_VALUE"""),"3 mos")</f>
        <v>3 mos</v>
      </c>
      <c r="H2401" s="1" t="str">
        <f>IFERROR(__xludf.DUMMYFUNCTION("""COMPUTED_VALUE"""),"comment")</f>
        <v>comment</v>
      </c>
      <c r="I2401" s="2" t="str">
        <f>IFERROR(__xludf.DUMMYFUNCTION("""COMPUTED_VALUE"""),"https://www.facebook.com/watch/live/?ref=watch_permalink&amp;v=923735834984653")</f>
        <v>https://www.facebook.com/watch/live/?ref=watch_permalink&amp;v=923735834984653</v>
      </c>
      <c r="J2401" s="1" t="str">
        <f>IFERROR(__xludf.DUMMYFUNCTION("""COMPUTED_VALUE"""),"2022-07-04T15:49:26.539Z")</f>
        <v>2022-07-04T15:49:26.539Z</v>
      </c>
      <c r="K2401" s="1"/>
    </row>
    <row r="2402">
      <c r="A2402" s="2" t="str">
        <f>IFERROR(__xludf.DUMMYFUNCTION("""COMPUTED_VALUE"""),"https://www.facebook.com/renzky.zerep")</f>
        <v>https://www.facebook.com/renzky.zerep</v>
      </c>
      <c r="B2402" s="1" t="str">
        <f>IFERROR(__xludf.DUMMYFUNCTION("""COMPUTED_VALUE"""),"Renzky Zerep")</f>
        <v>Renzky Zerep</v>
      </c>
      <c r="C2402" s="1" t="str">
        <f>IFERROR(__xludf.DUMMYFUNCTION("""COMPUTED_VALUE"""),"Renzky")</f>
        <v>Renzky</v>
      </c>
      <c r="D2402" s="1" t="str">
        <f>IFERROR(__xludf.DUMMYFUNCTION("""COMPUTED_VALUE"""),"Zerep")</f>
        <v>Zerep</v>
      </c>
      <c r="E2402" s="1" t="str">
        <f>IFERROR(__xludf.DUMMYFUNCTION("""COMPUTED_VALUE"""),"isko lang malakas god first")</f>
        <v>isko lang malakas god first</v>
      </c>
      <c r="F2402" s="1">
        <f>IFERROR(__xludf.DUMMYFUNCTION("""COMPUTED_VALUE"""),1.0)</f>
        <v>1</v>
      </c>
      <c r="G2402" s="1" t="str">
        <f>IFERROR(__xludf.DUMMYFUNCTION("""COMPUTED_VALUE"""),"3 mos")</f>
        <v>3 mos</v>
      </c>
      <c r="H2402" s="1" t="str">
        <f>IFERROR(__xludf.DUMMYFUNCTION("""COMPUTED_VALUE"""),"comment")</f>
        <v>comment</v>
      </c>
      <c r="I2402" s="2" t="str">
        <f>IFERROR(__xludf.DUMMYFUNCTION("""COMPUTED_VALUE"""),"https://www.facebook.com/watch/live/?ref=watch_permalink&amp;v=923735834984653")</f>
        <v>https://www.facebook.com/watch/live/?ref=watch_permalink&amp;v=923735834984653</v>
      </c>
      <c r="J2402" s="1" t="str">
        <f>IFERROR(__xludf.DUMMYFUNCTION("""COMPUTED_VALUE"""),"2022-07-04T15:49:26.539Z")</f>
        <v>2022-07-04T15:49:26.539Z</v>
      </c>
      <c r="K2402" s="1"/>
    </row>
    <row r="2403">
      <c r="A2403" s="2" t="str">
        <f>IFERROR(__xludf.DUMMYFUNCTION("""COMPUTED_VALUE"""),"https://www.facebook.com/vic.montero.9")</f>
        <v>https://www.facebook.com/vic.montero.9</v>
      </c>
      <c r="B2403" s="1" t="str">
        <f>IFERROR(__xludf.DUMMYFUNCTION("""COMPUTED_VALUE"""),"Vic Montero")</f>
        <v>Vic Montero</v>
      </c>
      <c r="C2403" s="1" t="str">
        <f>IFERROR(__xludf.DUMMYFUNCTION("""COMPUTED_VALUE"""),"Vic")</f>
        <v>Vic</v>
      </c>
      <c r="D2403" s="1" t="str">
        <f>IFERROR(__xludf.DUMMYFUNCTION("""COMPUTED_VALUE"""),"Montero")</f>
        <v>Montero</v>
      </c>
      <c r="E2403" s="1" t="str">
        <f>IFERROR(__xludf.DUMMYFUNCTION("""COMPUTED_VALUE"""),"Renzky Zerep boy benta zan")</f>
        <v>Renzky Zerep boy benta zan</v>
      </c>
      <c r="F2403" s="1">
        <f>IFERROR(__xludf.DUMMYFUNCTION("""COMPUTED_VALUE"""),1.0)</f>
        <v>1</v>
      </c>
      <c r="G2403" s="1" t="str">
        <f>IFERROR(__xludf.DUMMYFUNCTION("""COMPUTED_VALUE"""),"3 mos")</f>
        <v>3 mos</v>
      </c>
      <c r="H2403" s="1" t="str">
        <f>IFERROR(__xludf.DUMMYFUNCTION("""COMPUTED_VALUE"""),"reply")</f>
        <v>reply</v>
      </c>
      <c r="I2403" s="2" t="str">
        <f>IFERROR(__xludf.DUMMYFUNCTION("""COMPUTED_VALUE"""),"https://www.facebook.com/watch/live/?ref=watch_permalink&amp;v=923735834984653")</f>
        <v>https://www.facebook.com/watch/live/?ref=watch_permalink&amp;v=923735834984653</v>
      </c>
      <c r="J2403" s="1" t="str">
        <f>IFERROR(__xludf.DUMMYFUNCTION("""COMPUTED_VALUE"""),"2022-07-04T15:49:26.539Z")</f>
        <v>2022-07-04T15:49:26.539Z</v>
      </c>
      <c r="K2403" s="1"/>
    </row>
    <row r="2404">
      <c r="A2404" s="2" t="str">
        <f>IFERROR(__xludf.DUMMYFUNCTION("""COMPUTED_VALUE"""),"https://www.facebook.com/cherry.sarte.14")</f>
        <v>https://www.facebook.com/cherry.sarte.14</v>
      </c>
      <c r="B2404" s="1" t="str">
        <f>IFERROR(__xludf.DUMMYFUNCTION("""COMPUTED_VALUE"""),"Cherry Federico Sarte")</f>
        <v>Cherry Federico Sarte</v>
      </c>
      <c r="C2404" s="1" t="str">
        <f>IFERROR(__xludf.DUMMYFUNCTION("""COMPUTED_VALUE"""),"Cherry")</f>
        <v>Cherry</v>
      </c>
      <c r="D2404" s="1" t="str">
        <f>IFERROR(__xludf.DUMMYFUNCTION("""COMPUTED_VALUE"""),"Federico Sarte")</f>
        <v>Federico Sarte</v>
      </c>
      <c r="E2404" s="1" t="str">
        <f>IFERROR(__xludf.DUMMYFUNCTION("""COMPUTED_VALUE"""),"Zena Sarte Bueno")</f>
        <v>Zena Sarte Bueno</v>
      </c>
      <c r="F2404" s="1">
        <f>IFERROR(__xludf.DUMMYFUNCTION("""COMPUTED_VALUE"""),1.0)</f>
        <v>1</v>
      </c>
      <c r="G2404" s="1" t="str">
        <f>IFERROR(__xludf.DUMMYFUNCTION("""COMPUTED_VALUE"""),"3 mos")</f>
        <v>3 mos</v>
      </c>
      <c r="H2404" s="1" t="str">
        <f>IFERROR(__xludf.DUMMYFUNCTION("""COMPUTED_VALUE"""),"comment")</f>
        <v>comment</v>
      </c>
      <c r="I2404" s="2" t="str">
        <f>IFERROR(__xludf.DUMMYFUNCTION("""COMPUTED_VALUE"""),"https://www.facebook.com/watch/live/?ref=watch_permalink&amp;v=923735834984653")</f>
        <v>https://www.facebook.com/watch/live/?ref=watch_permalink&amp;v=923735834984653</v>
      </c>
      <c r="J2404" s="1" t="str">
        <f>IFERROR(__xludf.DUMMYFUNCTION("""COMPUTED_VALUE"""),"2022-07-04T15:49:26.539Z")</f>
        <v>2022-07-04T15:49:26.539Z</v>
      </c>
      <c r="K2404" s="1"/>
    </row>
    <row r="2405">
      <c r="A2405" s="2" t="str">
        <f>IFERROR(__xludf.DUMMYFUNCTION("""COMPUTED_VALUE"""),"https://www.facebook.com/nelia.forteza.1")</f>
        <v>https://www.facebook.com/nelia.forteza.1</v>
      </c>
      <c r="B2405" s="1" t="str">
        <f>IFERROR(__xludf.DUMMYFUNCTION("""COMPUTED_VALUE"""),"Nelia Forteza")</f>
        <v>Nelia Forteza</v>
      </c>
      <c r="C2405" s="1" t="str">
        <f>IFERROR(__xludf.DUMMYFUNCTION("""COMPUTED_VALUE"""),"Nelia")</f>
        <v>Nelia</v>
      </c>
      <c r="D2405" s="1" t="str">
        <f>IFERROR(__xludf.DUMMYFUNCTION("""COMPUTED_VALUE"""),"Forteza")</f>
        <v>Forteza</v>
      </c>
      <c r="E2405" s="1" t="str">
        <f>IFERROR(__xludf.DUMMYFUNCTION("""COMPUTED_VALUE"""),"alis mga boy ngiwi")</f>
        <v>alis mga boy ngiwi</v>
      </c>
      <c r="F2405" s="1"/>
      <c r="G2405" s="1" t="str">
        <f>IFERROR(__xludf.DUMMYFUNCTION("""COMPUTED_VALUE"""),"3 mos")</f>
        <v>3 mos</v>
      </c>
      <c r="H2405" s="1" t="str">
        <f>IFERROR(__xludf.DUMMYFUNCTION("""COMPUTED_VALUE"""),"comment")</f>
        <v>comment</v>
      </c>
      <c r="I2405" s="2" t="str">
        <f>IFERROR(__xludf.DUMMYFUNCTION("""COMPUTED_VALUE"""),"https://www.facebook.com/watch/live/?ref=watch_permalink&amp;v=923735834984653")</f>
        <v>https://www.facebook.com/watch/live/?ref=watch_permalink&amp;v=923735834984653</v>
      </c>
      <c r="J2405" s="1" t="str">
        <f>IFERROR(__xludf.DUMMYFUNCTION("""COMPUTED_VALUE"""),"2022-07-04T15:49:26.539Z")</f>
        <v>2022-07-04T15:49:26.539Z</v>
      </c>
      <c r="K2405" s="1"/>
    </row>
    <row r="2406">
      <c r="A2406" s="2" t="str">
        <f>IFERROR(__xludf.DUMMYFUNCTION("""COMPUTED_VALUE"""),"https://www.facebook.com/profile.php?id=100009525769322")</f>
        <v>https://www.facebook.com/profile.php?id=100009525769322</v>
      </c>
      <c r="B2406" s="1" t="str">
        <f>IFERROR(__xludf.DUMMYFUNCTION("""COMPUTED_VALUE"""),"Bogart Tragob")</f>
        <v>Bogart Tragob</v>
      </c>
      <c r="C2406" s="1" t="str">
        <f>IFERROR(__xludf.DUMMYFUNCTION("""COMPUTED_VALUE"""),"Bogart")</f>
        <v>Bogart</v>
      </c>
      <c r="D2406" s="1" t="str">
        <f>IFERROR(__xludf.DUMMYFUNCTION("""COMPUTED_VALUE"""),"Tragob")</f>
        <v>Tragob</v>
      </c>
      <c r="E2406" s="1" t="str">
        <f>IFERROR(__xludf.DUMMYFUNCTION("""COMPUTED_VALUE"""),"Pilipinas God firsr")</f>
        <v>Pilipinas God firsr</v>
      </c>
      <c r="F2406" s="1"/>
      <c r="G2406" s="1" t="str">
        <f>IFERROR(__xludf.DUMMYFUNCTION("""COMPUTED_VALUE"""),"3 mos")</f>
        <v>3 mos</v>
      </c>
      <c r="H2406" s="1" t="str">
        <f>IFERROR(__xludf.DUMMYFUNCTION("""COMPUTED_VALUE"""),"comment")</f>
        <v>comment</v>
      </c>
      <c r="I2406" s="2" t="str">
        <f>IFERROR(__xludf.DUMMYFUNCTION("""COMPUTED_VALUE"""),"https://www.facebook.com/watch/live/?ref=watch_permalink&amp;v=923735834984653")</f>
        <v>https://www.facebook.com/watch/live/?ref=watch_permalink&amp;v=923735834984653</v>
      </c>
      <c r="J2406" s="1" t="str">
        <f>IFERROR(__xludf.DUMMYFUNCTION("""COMPUTED_VALUE"""),"2022-07-04T15:49:26.539Z")</f>
        <v>2022-07-04T15:49:26.539Z</v>
      </c>
      <c r="K2406" s="1"/>
    </row>
    <row r="2407">
      <c r="A2407" s="2" t="str">
        <f>IFERROR(__xludf.DUMMYFUNCTION("""COMPUTED_VALUE"""),"https://www.facebook.com/nelia.forteza.1")</f>
        <v>https://www.facebook.com/nelia.forteza.1</v>
      </c>
      <c r="B2407" s="1" t="str">
        <f>IFERROR(__xludf.DUMMYFUNCTION("""COMPUTED_VALUE"""),"Nelia Forteza")</f>
        <v>Nelia Forteza</v>
      </c>
      <c r="C2407" s="1" t="str">
        <f>IFERROR(__xludf.DUMMYFUNCTION("""COMPUTED_VALUE"""),"Nelia")</f>
        <v>Nelia</v>
      </c>
      <c r="D2407" s="1" t="str">
        <f>IFERROR(__xludf.DUMMYFUNCTION("""COMPUTED_VALUE"""),"Forteza")</f>
        <v>Forteza</v>
      </c>
      <c r="E2407" s="1" t="str">
        <f>IFERROR(__xludf.DUMMYFUNCTION("""COMPUTED_VALUE"""),"mga boy ngiwi ALIS jan")</f>
        <v>mga boy ngiwi ALIS jan</v>
      </c>
      <c r="F2407" s="1">
        <f>IFERROR(__xludf.DUMMYFUNCTION("""COMPUTED_VALUE"""),1.0)</f>
        <v>1</v>
      </c>
      <c r="G2407" s="1" t="str">
        <f>IFERROR(__xludf.DUMMYFUNCTION("""COMPUTED_VALUE"""),"3 mos")</f>
        <v>3 mos</v>
      </c>
      <c r="H2407" s="1" t="str">
        <f>IFERROR(__xludf.DUMMYFUNCTION("""COMPUTED_VALUE"""),"comment")</f>
        <v>comment</v>
      </c>
      <c r="I2407" s="2" t="str">
        <f>IFERROR(__xludf.DUMMYFUNCTION("""COMPUTED_VALUE"""),"https://www.facebook.com/watch/live/?ref=watch_permalink&amp;v=923735834984653")</f>
        <v>https://www.facebook.com/watch/live/?ref=watch_permalink&amp;v=923735834984653</v>
      </c>
      <c r="J2407" s="1" t="str">
        <f>IFERROR(__xludf.DUMMYFUNCTION("""COMPUTED_VALUE"""),"2022-07-04T15:49:26.539Z")</f>
        <v>2022-07-04T15:49:26.539Z</v>
      </c>
      <c r="K2407" s="1"/>
    </row>
    <row r="2408">
      <c r="A2408" s="2" t="str">
        <f>IFERROR(__xludf.DUMMYFUNCTION("""COMPUTED_VALUE"""),"https://www.facebook.com/profile.php?id=100074054030710")</f>
        <v>https://www.facebook.com/profile.php?id=100074054030710</v>
      </c>
      <c r="B2408" s="1" t="str">
        <f>IFERROR(__xludf.DUMMYFUNCTION("""COMPUTED_VALUE"""),"Lyndell An Navarro")</f>
        <v>Lyndell An Navarro</v>
      </c>
      <c r="C2408" s="1" t="str">
        <f>IFERROR(__xludf.DUMMYFUNCTION("""COMPUTED_VALUE"""),"Lyndell")</f>
        <v>Lyndell</v>
      </c>
      <c r="D2408" s="1" t="str">
        <f>IFERROR(__xludf.DUMMYFUNCTION("""COMPUTED_VALUE"""),"An Navarro")</f>
        <v>An Navarro</v>
      </c>
      <c r="E2408" s="1" t="str">
        <f>IFERROR(__xludf.DUMMYFUNCTION("""COMPUTED_VALUE"""),"Basta belwarte nang gruop saywar lang basta di tayo papasok sa campo nila")</f>
        <v>Basta belwarte nang gruop saywar lang basta di tayo papasok sa campo nila</v>
      </c>
      <c r="F2408" s="1"/>
      <c r="G2408" s="1" t="str">
        <f>IFERROR(__xludf.DUMMYFUNCTION("""COMPUTED_VALUE"""),"3 mos")</f>
        <v>3 mos</v>
      </c>
      <c r="H2408" s="1" t="str">
        <f>IFERROR(__xludf.DUMMYFUNCTION("""COMPUTED_VALUE"""),"comment")</f>
        <v>comment</v>
      </c>
      <c r="I2408" s="2" t="str">
        <f>IFERROR(__xludf.DUMMYFUNCTION("""COMPUTED_VALUE"""),"https://www.facebook.com/watch/live/?ref=watch_permalink&amp;v=923735834984653")</f>
        <v>https://www.facebook.com/watch/live/?ref=watch_permalink&amp;v=923735834984653</v>
      </c>
      <c r="J2408" s="1" t="str">
        <f>IFERROR(__xludf.DUMMYFUNCTION("""COMPUTED_VALUE"""),"2022-07-04T15:49:26.539Z")</f>
        <v>2022-07-04T15:49:26.539Z</v>
      </c>
      <c r="K2408" s="1"/>
    </row>
    <row r="2409">
      <c r="A2409" s="2" t="str">
        <f>IFERROR(__xludf.DUMMYFUNCTION("""COMPUTED_VALUE"""),"https://www.facebook.com/profile.php?id=100078514241454")</f>
        <v>https://www.facebook.com/profile.php?id=100078514241454</v>
      </c>
      <c r="B2409" s="1" t="str">
        <f>IFERROR(__xludf.DUMMYFUNCTION("""COMPUTED_VALUE"""),"Blacky Yuloop")</f>
        <v>Blacky Yuloop</v>
      </c>
      <c r="C2409" s="1" t="str">
        <f>IFERROR(__xludf.DUMMYFUNCTION("""COMPUTED_VALUE"""),"Blacky")</f>
        <v>Blacky</v>
      </c>
      <c r="D2409" s="1" t="str">
        <f>IFERROR(__xludf.DUMMYFUNCTION("""COMPUTED_VALUE"""),"Yuloop")</f>
        <v>Yuloop</v>
      </c>
      <c r="E2409" s="1" t="str">
        <f>IFERROR(__xludf.DUMMYFUNCTION("""COMPUTED_VALUE"""),"first time nabaon sa utang ang manila hindi lang million, billion billion pa")</f>
        <v>first time nabaon sa utang ang manila hindi lang million, billion billion pa</v>
      </c>
      <c r="F2409" s="1"/>
      <c r="G2409" s="1" t="str">
        <f>IFERROR(__xludf.DUMMYFUNCTION("""COMPUTED_VALUE"""),"3 mos")</f>
        <v>3 mos</v>
      </c>
      <c r="H2409" s="1" t="str">
        <f>IFERROR(__xludf.DUMMYFUNCTION("""COMPUTED_VALUE"""),"comment")</f>
        <v>comment</v>
      </c>
      <c r="I2409" s="2" t="str">
        <f>IFERROR(__xludf.DUMMYFUNCTION("""COMPUTED_VALUE"""),"https://www.facebook.com/watch/live/?ref=watch_permalink&amp;v=923735834984653")</f>
        <v>https://www.facebook.com/watch/live/?ref=watch_permalink&amp;v=923735834984653</v>
      </c>
      <c r="J2409" s="1" t="str">
        <f>IFERROR(__xludf.DUMMYFUNCTION("""COMPUTED_VALUE"""),"2022-07-04T15:49:26.539Z")</f>
        <v>2022-07-04T15:49:26.539Z</v>
      </c>
      <c r="K2409" s="1"/>
    </row>
    <row r="2410">
      <c r="A2410" s="2" t="str">
        <f>IFERROR(__xludf.DUMMYFUNCTION("""COMPUTED_VALUE"""),"https://www.facebook.com/rhaisa.saban")</f>
        <v>https://www.facebook.com/rhaisa.saban</v>
      </c>
      <c r="B2410" s="1" t="str">
        <f>IFERROR(__xludf.DUMMYFUNCTION("""COMPUTED_VALUE"""),"Rhaisa Saban")</f>
        <v>Rhaisa Saban</v>
      </c>
      <c r="C2410" s="1" t="str">
        <f>IFERROR(__xludf.DUMMYFUNCTION("""COMPUTED_VALUE"""),"Rhaisa")</f>
        <v>Rhaisa</v>
      </c>
      <c r="D2410" s="1" t="str">
        <f>IFERROR(__xludf.DUMMYFUNCTION("""COMPUTED_VALUE"""),"Saban")</f>
        <v>Saban</v>
      </c>
      <c r="E2410" s="1" t="str">
        <f>IFERROR(__xludf.DUMMYFUNCTION("""COMPUTED_VALUE"""),"☝️☝️☝️💖💖💖💖💖☝️☝️☝️☝️")</f>
        <v>☝️☝️☝️💖💖💖💖💖☝️☝️☝️☝️</v>
      </c>
      <c r="F2410" s="1">
        <f>IFERROR(__xludf.DUMMYFUNCTION("""COMPUTED_VALUE"""),1.0)</f>
        <v>1</v>
      </c>
      <c r="G2410" s="1" t="str">
        <f>IFERROR(__xludf.DUMMYFUNCTION("""COMPUTED_VALUE"""),"3 mos")</f>
        <v>3 mos</v>
      </c>
      <c r="H2410" s="1" t="str">
        <f>IFERROR(__xludf.DUMMYFUNCTION("""COMPUTED_VALUE"""),"comment")</f>
        <v>comment</v>
      </c>
      <c r="I2410" s="2" t="str">
        <f>IFERROR(__xludf.DUMMYFUNCTION("""COMPUTED_VALUE"""),"https://www.facebook.com/watch/live/?ref=watch_permalink&amp;v=923735834984653")</f>
        <v>https://www.facebook.com/watch/live/?ref=watch_permalink&amp;v=923735834984653</v>
      </c>
      <c r="J2410" s="1" t="str">
        <f>IFERROR(__xludf.DUMMYFUNCTION("""COMPUTED_VALUE"""),"2022-07-04T15:49:26.539Z")</f>
        <v>2022-07-04T15:49:26.539Z</v>
      </c>
      <c r="K2410" s="1"/>
    </row>
    <row r="2411">
      <c r="A2411" s="2" t="str">
        <f>IFERROR(__xludf.DUMMYFUNCTION("""COMPUTED_VALUE"""),"https://www.facebook.com/mayeth.suller")</f>
        <v>https://www.facebook.com/mayeth.suller</v>
      </c>
      <c r="B2411" s="1" t="str">
        <f>IFERROR(__xludf.DUMMYFUNCTION("""COMPUTED_VALUE"""),"Mayeth Suller")</f>
        <v>Mayeth Suller</v>
      </c>
      <c r="C2411" s="1" t="str">
        <f>IFERROR(__xludf.DUMMYFUNCTION("""COMPUTED_VALUE"""),"Mayeth")</f>
        <v>Mayeth</v>
      </c>
      <c r="D2411" s="1" t="str">
        <f>IFERROR(__xludf.DUMMYFUNCTION("""COMPUTED_VALUE"""),"Suller")</f>
        <v>Suller</v>
      </c>
      <c r="E2411" s="1" t="str">
        <f>IFERROR(__xludf.DUMMYFUNCTION("""COMPUTED_VALUE"""),"👆👆👆👆👆👆👆🙏👆🙏🙏🙏🙏👆👆👆👆👆👆")</f>
        <v>👆👆👆👆👆👆👆🙏👆🙏🙏🙏🙏👆👆👆👆👆👆</v>
      </c>
      <c r="F2411" s="1">
        <f>IFERROR(__xludf.DUMMYFUNCTION("""COMPUTED_VALUE"""),1.0)</f>
        <v>1</v>
      </c>
      <c r="G2411" s="1" t="str">
        <f>IFERROR(__xludf.DUMMYFUNCTION("""COMPUTED_VALUE"""),"3 mos")</f>
        <v>3 mos</v>
      </c>
      <c r="H2411" s="1" t="str">
        <f>IFERROR(__xludf.DUMMYFUNCTION("""COMPUTED_VALUE"""),"comment")</f>
        <v>comment</v>
      </c>
      <c r="I2411" s="2" t="str">
        <f>IFERROR(__xludf.DUMMYFUNCTION("""COMPUTED_VALUE"""),"https://www.facebook.com/watch/live/?ref=watch_permalink&amp;v=923735834984653")</f>
        <v>https://www.facebook.com/watch/live/?ref=watch_permalink&amp;v=923735834984653</v>
      </c>
      <c r="J2411" s="1" t="str">
        <f>IFERROR(__xludf.DUMMYFUNCTION("""COMPUTED_VALUE"""),"2022-07-04T15:49:26.539Z")</f>
        <v>2022-07-04T15:49:26.539Z</v>
      </c>
      <c r="K2411" s="1"/>
    </row>
    <row r="2412">
      <c r="A2412" s="2" t="str">
        <f>IFERROR(__xludf.DUMMYFUNCTION("""COMPUTED_VALUE"""),"https://www.facebook.com/MarjunRPh")</f>
        <v>https://www.facebook.com/MarjunRPh</v>
      </c>
      <c r="B2412" s="1" t="str">
        <f>IFERROR(__xludf.DUMMYFUNCTION("""COMPUTED_VALUE"""),"Marjun Aringo")</f>
        <v>Marjun Aringo</v>
      </c>
      <c r="C2412" s="1" t="str">
        <f>IFERROR(__xludf.DUMMYFUNCTION("""COMPUTED_VALUE"""),"Marjun")</f>
        <v>Marjun</v>
      </c>
      <c r="D2412" s="1" t="str">
        <f>IFERROR(__xludf.DUMMYFUNCTION("""COMPUTED_VALUE"""),"Aringo")</f>
        <v>Aringo</v>
      </c>
      <c r="E2412" s="1" t="str">
        <f>IFERROR(__xludf.DUMMYFUNCTION("""COMPUTED_VALUE"""),"#divosiria")</f>
        <v>#divosiria</v>
      </c>
      <c r="F2412" s="1">
        <f>IFERROR(__xludf.DUMMYFUNCTION("""COMPUTED_VALUE"""),2.0)</f>
        <v>2</v>
      </c>
      <c r="G2412" s="1" t="str">
        <f>IFERROR(__xludf.DUMMYFUNCTION("""COMPUTED_VALUE"""),"3 mos")</f>
        <v>3 mos</v>
      </c>
      <c r="H2412" s="1" t="str">
        <f>IFERROR(__xludf.DUMMYFUNCTION("""COMPUTED_VALUE"""),"comment")</f>
        <v>comment</v>
      </c>
      <c r="I2412" s="2" t="str">
        <f>IFERROR(__xludf.DUMMYFUNCTION("""COMPUTED_VALUE"""),"https://www.facebook.com/watch/live/?ref=watch_permalink&amp;v=923735834984653")</f>
        <v>https://www.facebook.com/watch/live/?ref=watch_permalink&amp;v=923735834984653</v>
      </c>
      <c r="J2412" s="1" t="str">
        <f>IFERROR(__xludf.DUMMYFUNCTION("""COMPUTED_VALUE"""),"2022-07-04T15:49:26.539Z")</f>
        <v>2022-07-04T15:49:26.539Z</v>
      </c>
      <c r="K2412" s="1"/>
    </row>
    <row r="2413">
      <c r="A2413" s="2" t="str">
        <f>IFERROR(__xludf.DUMMYFUNCTION("""COMPUTED_VALUE"""),"https://www.facebook.com/emerald.pieris")</f>
        <v>https://www.facebook.com/emerald.pieris</v>
      </c>
      <c r="B2413" s="1" t="str">
        <f>IFERROR(__xludf.DUMMYFUNCTION("""COMPUTED_VALUE"""),"Emerald Pieris")</f>
        <v>Emerald Pieris</v>
      </c>
      <c r="C2413" s="1" t="str">
        <f>IFERROR(__xludf.DUMMYFUNCTION("""COMPUTED_VALUE"""),"Emerald")</f>
        <v>Emerald</v>
      </c>
      <c r="D2413" s="1" t="str">
        <f>IFERROR(__xludf.DUMMYFUNCTION("""COMPUTED_VALUE"""),"Pieris")</f>
        <v>Pieris</v>
      </c>
      <c r="E2413" s="1" t="str">
        <f>IFERROR(__xludf.DUMMYFUNCTION("""COMPUTED_VALUE"""),"Interview din kasi si erap ask nyo sa anak nya Kung saan sya unitae team anak nun db? 😂Sabihin nyo Kay blogger Mike abe")</f>
        <v>Interview din kasi si erap ask nyo sa anak nya Kung saan sya unitae team anak nun db? 😂Sabihin nyo Kay blogger Mike abe</v>
      </c>
      <c r="F2413" s="1"/>
      <c r="G2413" s="1" t="str">
        <f>IFERROR(__xludf.DUMMYFUNCTION("""COMPUTED_VALUE"""),"3 mos")</f>
        <v>3 mos</v>
      </c>
      <c r="H2413" s="1" t="str">
        <f>IFERROR(__xludf.DUMMYFUNCTION("""COMPUTED_VALUE"""),"reply")</f>
        <v>reply</v>
      </c>
      <c r="I2413" s="2" t="str">
        <f>IFERROR(__xludf.DUMMYFUNCTION("""COMPUTED_VALUE"""),"https://www.facebook.com/watch/live/?ref=watch_permalink&amp;v=923735834984653")</f>
        <v>https://www.facebook.com/watch/live/?ref=watch_permalink&amp;v=923735834984653</v>
      </c>
      <c r="J2413" s="1" t="str">
        <f>IFERROR(__xludf.DUMMYFUNCTION("""COMPUTED_VALUE"""),"2022-07-04T15:49:26.539Z")</f>
        <v>2022-07-04T15:49:26.539Z</v>
      </c>
      <c r="K2413" s="1"/>
    </row>
    <row r="2414">
      <c r="A2414" s="2" t="str">
        <f>IFERROR(__xludf.DUMMYFUNCTION("""COMPUTED_VALUE"""),"https://www.facebook.com/mayde.torillo")</f>
        <v>https://www.facebook.com/mayde.torillo</v>
      </c>
      <c r="B2414" s="1" t="str">
        <f>IFERROR(__xludf.DUMMYFUNCTION("""COMPUTED_VALUE"""),"Mayde Cas Tori")</f>
        <v>Mayde Cas Tori</v>
      </c>
      <c r="C2414" s="1" t="str">
        <f>IFERROR(__xludf.DUMMYFUNCTION("""COMPUTED_VALUE"""),"Mayde")</f>
        <v>Mayde</v>
      </c>
      <c r="D2414" s="1" t="str">
        <f>IFERROR(__xludf.DUMMYFUNCTION("""COMPUTED_VALUE"""),"Cas Tori")</f>
        <v>Cas Tori</v>
      </c>
      <c r="E2414" s="1" t="str">
        <f>IFERROR(__xludf.DUMMYFUNCTION("""COMPUTED_VALUE"""),"Yorme lang totoong tao..")</f>
        <v>Yorme lang totoong tao..</v>
      </c>
      <c r="F2414" s="1"/>
      <c r="G2414" s="1" t="str">
        <f>IFERROR(__xludf.DUMMYFUNCTION("""COMPUTED_VALUE"""),"3 mos")</f>
        <v>3 mos</v>
      </c>
      <c r="H2414" s="1" t="str">
        <f>IFERROR(__xludf.DUMMYFUNCTION("""COMPUTED_VALUE"""),"comment")</f>
        <v>comment</v>
      </c>
      <c r="I2414" s="2" t="str">
        <f>IFERROR(__xludf.DUMMYFUNCTION("""COMPUTED_VALUE"""),"https://www.facebook.com/watch/live/?ref=watch_permalink&amp;v=923735834984653")</f>
        <v>https://www.facebook.com/watch/live/?ref=watch_permalink&amp;v=923735834984653</v>
      </c>
      <c r="J2414" s="1" t="str">
        <f>IFERROR(__xludf.DUMMYFUNCTION("""COMPUTED_VALUE"""),"2022-07-04T15:49:26.539Z")</f>
        <v>2022-07-04T15:49:26.539Z</v>
      </c>
      <c r="K2414" s="1"/>
    </row>
    <row r="2415">
      <c r="A2415" s="2" t="str">
        <f>IFERROR(__xludf.DUMMYFUNCTION("""COMPUTED_VALUE"""),"https://www.facebook.com/profile.php?id=100011572841614")</f>
        <v>https://www.facebook.com/profile.php?id=100011572841614</v>
      </c>
      <c r="B2415" s="1" t="str">
        <f>IFERROR(__xludf.DUMMYFUNCTION("""COMPUTED_VALUE"""),"Aprilrose Pabillo Cabral")</f>
        <v>Aprilrose Pabillo Cabral</v>
      </c>
      <c r="C2415" s="1" t="str">
        <f>IFERROR(__xludf.DUMMYFUNCTION("""COMPUTED_VALUE"""),"Aprilrose")</f>
        <v>Aprilrose</v>
      </c>
      <c r="D2415" s="1" t="str">
        <f>IFERROR(__xludf.DUMMYFUNCTION("""COMPUTED_VALUE"""),"Pabillo Cabral")</f>
        <v>Pabillo Cabral</v>
      </c>
      <c r="E2415" s="1" t="str">
        <f>IFERROR(__xludf.DUMMYFUNCTION("""COMPUTED_VALUE"""),"☝️💙💙💙💙💙💙☝️☝️☝️☝️💙☝️")</f>
        <v>☝️💙💙💙💙💙💙☝️☝️☝️☝️💙☝️</v>
      </c>
      <c r="F2415" s="1"/>
      <c r="G2415" s="1" t="str">
        <f>IFERROR(__xludf.DUMMYFUNCTION("""COMPUTED_VALUE"""),"3 mos")</f>
        <v>3 mos</v>
      </c>
      <c r="H2415" s="1" t="str">
        <f>IFERROR(__xludf.DUMMYFUNCTION("""COMPUTED_VALUE"""),"comment")</f>
        <v>comment</v>
      </c>
      <c r="I2415" s="2" t="str">
        <f>IFERROR(__xludf.DUMMYFUNCTION("""COMPUTED_VALUE"""),"https://www.facebook.com/watch/live/?ref=watch_permalink&amp;v=923735834984653")</f>
        <v>https://www.facebook.com/watch/live/?ref=watch_permalink&amp;v=923735834984653</v>
      </c>
      <c r="J2415" s="1" t="str">
        <f>IFERROR(__xludf.DUMMYFUNCTION("""COMPUTED_VALUE"""),"2022-07-04T15:49:26.539Z")</f>
        <v>2022-07-04T15:49:26.539Z</v>
      </c>
      <c r="K2415" s="1"/>
    </row>
    <row r="2416">
      <c r="A2416" s="2" t="str">
        <f>IFERROR(__xludf.DUMMYFUNCTION("""COMPUTED_VALUE"""),"https://www.facebook.com/randy.b.auxtero")</f>
        <v>https://www.facebook.com/randy.b.auxtero</v>
      </c>
      <c r="B2416" s="1" t="str">
        <f>IFERROR(__xludf.DUMMYFUNCTION("""COMPUTED_VALUE"""),"Rhanz Boquila Auxtero")</f>
        <v>Rhanz Boquila Auxtero</v>
      </c>
      <c r="C2416" s="1" t="str">
        <f>IFERROR(__xludf.DUMMYFUNCTION("""COMPUTED_VALUE"""),"Rhanz")</f>
        <v>Rhanz</v>
      </c>
      <c r="D2416" s="1" t="str">
        <f>IFERROR(__xludf.DUMMYFUNCTION("""COMPUTED_VALUE"""),"Boquila Auxtero")</f>
        <v>Boquila Auxtero</v>
      </c>
      <c r="E2416" s="1" t="str">
        <f>IFERROR(__xludf.DUMMYFUNCTION("""COMPUTED_VALUE"""),"☝️☝️☝️")</f>
        <v>☝️☝️☝️</v>
      </c>
      <c r="F2416" s="1"/>
      <c r="G2416" s="1" t="str">
        <f>IFERROR(__xludf.DUMMYFUNCTION("""COMPUTED_VALUE"""),"3 mos")</f>
        <v>3 mos</v>
      </c>
      <c r="H2416" s="1" t="str">
        <f>IFERROR(__xludf.DUMMYFUNCTION("""COMPUTED_VALUE"""),"comment")</f>
        <v>comment</v>
      </c>
      <c r="I2416" s="2" t="str">
        <f>IFERROR(__xludf.DUMMYFUNCTION("""COMPUTED_VALUE"""),"https://www.facebook.com/watch/live/?ref=watch_permalink&amp;v=923735834984653")</f>
        <v>https://www.facebook.com/watch/live/?ref=watch_permalink&amp;v=923735834984653</v>
      </c>
      <c r="J2416" s="1" t="str">
        <f>IFERROR(__xludf.DUMMYFUNCTION("""COMPUTED_VALUE"""),"2022-07-04T15:49:26.539Z")</f>
        <v>2022-07-04T15:49:26.539Z</v>
      </c>
      <c r="K2416" s="1"/>
    </row>
    <row r="2417">
      <c r="A2417" s="2" t="str">
        <f>IFERROR(__xludf.DUMMYFUNCTION("""COMPUTED_VALUE"""),"https://www.facebook.com/danica.ucillos.90")</f>
        <v>https://www.facebook.com/danica.ucillos.90</v>
      </c>
      <c r="B2417" s="1" t="str">
        <f>IFERROR(__xludf.DUMMYFUNCTION("""COMPUTED_VALUE"""),"Danica Ucillos")</f>
        <v>Danica Ucillos</v>
      </c>
      <c r="C2417" s="1" t="str">
        <f>IFERROR(__xludf.DUMMYFUNCTION("""COMPUTED_VALUE"""),"Danica")</f>
        <v>Danica</v>
      </c>
      <c r="D2417" s="1" t="str">
        <f>IFERROR(__xludf.DUMMYFUNCTION("""COMPUTED_VALUE"""),"Ucillos")</f>
        <v>Ucillos</v>
      </c>
      <c r="E2417" s="1" t="str">
        <f>IFERROR(__xludf.DUMMYFUNCTION("""COMPUTED_VALUE"""),"Benta boy")</f>
        <v>Benta boy</v>
      </c>
      <c r="F2417" s="1"/>
      <c r="G2417" s="1" t="str">
        <f>IFERROR(__xludf.DUMMYFUNCTION("""COMPUTED_VALUE"""),"3 mos")</f>
        <v>3 mos</v>
      </c>
      <c r="H2417" s="1" t="str">
        <f>IFERROR(__xludf.DUMMYFUNCTION("""COMPUTED_VALUE"""),"comment")</f>
        <v>comment</v>
      </c>
      <c r="I2417" s="2" t="str">
        <f>IFERROR(__xludf.DUMMYFUNCTION("""COMPUTED_VALUE"""),"https://www.facebook.com/watch/live/?ref=watch_permalink&amp;v=923735834984653")</f>
        <v>https://www.facebook.com/watch/live/?ref=watch_permalink&amp;v=923735834984653</v>
      </c>
      <c r="J2417" s="1" t="str">
        <f>IFERROR(__xludf.DUMMYFUNCTION("""COMPUTED_VALUE"""),"2022-07-04T15:49:26.539Z")</f>
        <v>2022-07-04T15:49:26.539Z</v>
      </c>
      <c r="K2417" s="1"/>
    </row>
    <row r="2418">
      <c r="A2418" s="2" t="str">
        <f>IFERROR(__xludf.DUMMYFUNCTION("""COMPUTED_VALUE"""),"https://www.facebook.com/gilbey.huisken")</f>
        <v>https://www.facebook.com/gilbey.huisken</v>
      </c>
      <c r="B2418" s="1" t="str">
        <f>IFERROR(__xludf.DUMMYFUNCTION("""COMPUTED_VALUE"""),"Gilbz Huisken")</f>
        <v>Gilbz Huisken</v>
      </c>
      <c r="C2418" s="1" t="str">
        <f>IFERROR(__xludf.DUMMYFUNCTION("""COMPUTED_VALUE"""),"Gilbz")</f>
        <v>Gilbz</v>
      </c>
      <c r="D2418" s="1" t="str">
        <f>IFERROR(__xludf.DUMMYFUNCTION("""COMPUTED_VALUE"""),"Huisken")</f>
        <v>Huisken</v>
      </c>
      <c r="E2418" s="1" t="str">
        <f>IFERROR(__xludf.DUMMYFUNCTION("""COMPUTED_VALUE"""),"👏")</f>
        <v>👏</v>
      </c>
      <c r="F2418" s="1"/>
      <c r="G2418" s="1" t="str">
        <f>IFERROR(__xludf.DUMMYFUNCTION("""COMPUTED_VALUE"""),"3 mos")</f>
        <v>3 mos</v>
      </c>
      <c r="H2418" s="1" t="str">
        <f>IFERROR(__xludf.DUMMYFUNCTION("""COMPUTED_VALUE"""),"comment")</f>
        <v>comment</v>
      </c>
      <c r="I2418" s="2" t="str">
        <f>IFERROR(__xludf.DUMMYFUNCTION("""COMPUTED_VALUE"""),"https://www.facebook.com/watch/live/?ref=watch_permalink&amp;v=923735834984653")</f>
        <v>https://www.facebook.com/watch/live/?ref=watch_permalink&amp;v=923735834984653</v>
      </c>
      <c r="J2418" s="1" t="str">
        <f>IFERROR(__xludf.DUMMYFUNCTION("""COMPUTED_VALUE"""),"2022-07-04T15:49:26.539Z")</f>
        <v>2022-07-04T15:49:26.539Z</v>
      </c>
      <c r="K2418" s="1"/>
    </row>
    <row r="2419">
      <c r="A2419" s="2" t="str">
        <f>IFERROR(__xludf.DUMMYFUNCTION("""COMPUTED_VALUE"""),"https://www.facebook.com/profile.php?id=100074054030710")</f>
        <v>https://www.facebook.com/profile.php?id=100074054030710</v>
      </c>
      <c r="B2419" s="1" t="str">
        <f>IFERROR(__xludf.DUMMYFUNCTION("""COMPUTED_VALUE"""),"Lyndell An Navarro")</f>
        <v>Lyndell An Navarro</v>
      </c>
      <c r="C2419" s="1" t="str">
        <f>IFERROR(__xludf.DUMMYFUNCTION("""COMPUTED_VALUE"""),"Lyndell")</f>
        <v>Lyndell</v>
      </c>
      <c r="D2419" s="1" t="str">
        <f>IFERROR(__xludf.DUMMYFUNCTION("""COMPUTED_VALUE"""),"An Navarro")</f>
        <v>An Navarro</v>
      </c>
      <c r="E2419" s="1" t="str">
        <f>IFERROR(__xludf.DUMMYFUNCTION("""COMPUTED_VALUE"""),"Pag binastos ka idol. Babanatan ko sila")</f>
        <v>Pag binastos ka idol. Babanatan ko sila</v>
      </c>
      <c r="F2419" s="1"/>
      <c r="G2419" s="1" t="str">
        <f>IFERROR(__xludf.DUMMYFUNCTION("""COMPUTED_VALUE"""),"3 mos")</f>
        <v>3 mos</v>
      </c>
      <c r="H2419" s="1" t="str">
        <f>IFERROR(__xludf.DUMMYFUNCTION("""COMPUTED_VALUE"""),"comment")</f>
        <v>comment</v>
      </c>
      <c r="I2419" s="2" t="str">
        <f>IFERROR(__xludf.DUMMYFUNCTION("""COMPUTED_VALUE"""),"https://www.facebook.com/watch/live/?ref=watch_permalink&amp;v=923735834984653")</f>
        <v>https://www.facebook.com/watch/live/?ref=watch_permalink&amp;v=923735834984653</v>
      </c>
      <c r="J2419" s="1" t="str">
        <f>IFERROR(__xludf.DUMMYFUNCTION("""COMPUTED_VALUE"""),"2022-07-04T15:49:26.539Z")</f>
        <v>2022-07-04T15:49:26.539Z</v>
      </c>
      <c r="K2419" s="1"/>
    </row>
    <row r="2420">
      <c r="A2420" s="2" t="str">
        <f>IFERROR(__xludf.DUMMYFUNCTION("""COMPUTED_VALUE"""),"https://www.facebook.com/ryan.vandolf")</f>
        <v>https://www.facebook.com/ryan.vandolf</v>
      </c>
      <c r="B2420" s="1" t="str">
        <f>IFERROR(__xludf.DUMMYFUNCTION("""COMPUTED_VALUE"""),"Ryan Vandolf")</f>
        <v>Ryan Vandolf</v>
      </c>
      <c r="C2420" s="1" t="str">
        <f>IFERROR(__xludf.DUMMYFUNCTION("""COMPUTED_VALUE"""),"Ryan")</f>
        <v>Ryan</v>
      </c>
      <c r="D2420" s="1" t="str">
        <f>IFERROR(__xludf.DUMMYFUNCTION("""COMPUTED_VALUE"""),"Vandolf")</f>
        <v>Vandolf</v>
      </c>
      <c r="E2420" s="1" t="str">
        <f>IFERROR(__xludf.DUMMYFUNCTION("""COMPUTED_VALUE"""),"boy benta")</f>
        <v>boy benta</v>
      </c>
      <c r="F2420" s="1"/>
      <c r="G2420" s="1" t="str">
        <f>IFERROR(__xludf.DUMMYFUNCTION("""COMPUTED_VALUE"""),"3 mos")</f>
        <v>3 mos</v>
      </c>
      <c r="H2420" s="1" t="str">
        <f>IFERROR(__xludf.DUMMYFUNCTION("""COMPUTED_VALUE"""),"comment")</f>
        <v>comment</v>
      </c>
      <c r="I2420" s="2" t="str">
        <f>IFERROR(__xludf.DUMMYFUNCTION("""COMPUTED_VALUE"""),"https://www.facebook.com/watch/live/?ref=watch_permalink&amp;v=923735834984653")</f>
        <v>https://www.facebook.com/watch/live/?ref=watch_permalink&amp;v=923735834984653</v>
      </c>
      <c r="J2420" s="1" t="str">
        <f>IFERROR(__xludf.DUMMYFUNCTION("""COMPUTED_VALUE"""),"2022-07-04T15:49:26.539Z")</f>
        <v>2022-07-04T15:49:26.539Z</v>
      </c>
      <c r="K2420" s="1"/>
    </row>
    <row r="2421">
      <c r="A2421" s="2" t="str">
        <f>IFERROR(__xludf.DUMMYFUNCTION("""COMPUTED_VALUE"""),"https://www.facebook.com/irene.bolano.56")</f>
        <v>https://www.facebook.com/irene.bolano.56</v>
      </c>
      <c r="B2421" s="1" t="str">
        <f>IFERROR(__xludf.DUMMYFUNCTION("""COMPUTED_VALUE"""),"Ren BoLaño")</f>
        <v>Ren BoLaño</v>
      </c>
      <c r="C2421" s="1" t="str">
        <f>IFERROR(__xludf.DUMMYFUNCTION("""COMPUTED_VALUE"""),"Ren")</f>
        <v>Ren</v>
      </c>
      <c r="D2421" s="1" t="str">
        <f>IFERROR(__xludf.DUMMYFUNCTION("""COMPUTED_VALUE"""),"BoLaño")</f>
        <v>BoLaño</v>
      </c>
      <c r="E2421" s="1" t="str">
        <f>IFERROR(__xludf.DUMMYFUNCTION("""COMPUTED_VALUE"""),"Basta poh ako cgurado sa TGP Partylist #30 sa balota subok na may nagawa at me magagawa pa sa President sino ba talaga dun sa may napatunayan na me nagawa sa mga nagdaan nilang panunungkulan maging mabusisi tayo wag basta babasi sa salita pagkat lahat ng "&amp;"kandidato me mgagandang pangako matatamis n pananalita...👀maging mapagmatyag poh tayo at alalahanin ang mga nkaraan kabanata ng buhay sino o kanino nyo nakikita ang tunay na pagbabago...wag kalilimutan TGP partylist poh #30 sa balota..loveyou all mga kab"&amp;"abayan.💙❤️💙")</f>
        <v>Basta poh ako cgurado sa TGP Partylist #30 sa balota subok na may nagawa at me magagawa pa sa President sino ba talaga dun sa may napatunayan na me nagawa sa mga nagdaan nilang panunungkulan maging mabusisi tayo wag basta babasi sa salita pagkat lahat ng kandidato me mgagandang pangako matatamis n pananalita...👀maging mapagmatyag poh tayo at alalahanin ang mga nkaraan kabanata ng buhay sino o kanino nyo nakikita ang tunay na pagbabago...wag kalilimutan TGP partylist poh #30 sa balota..loveyou all mga kababayan.💙❤️💙</v>
      </c>
      <c r="F2421" s="1">
        <f>IFERROR(__xludf.DUMMYFUNCTION("""COMPUTED_VALUE"""),1.0)</f>
        <v>1</v>
      </c>
      <c r="G2421" s="1" t="str">
        <f>IFERROR(__xludf.DUMMYFUNCTION("""COMPUTED_VALUE"""),"3 mos")</f>
        <v>3 mos</v>
      </c>
      <c r="H2421" s="1" t="str">
        <f>IFERROR(__xludf.DUMMYFUNCTION("""COMPUTED_VALUE"""),"comment")</f>
        <v>comment</v>
      </c>
      <c r="I2421" s="2" t="str">
        <f>IFERROR(__xludf.DUMMYFUNCTION("""COMPUTED_VALUE"""),"https://www.facebook.com/watch/live/?ref=watch_permalink&amp;v=923735834984653")</f>
        <v>https://www.facebook.com/watch/live/?ref=watch_permalink&amp;v=923735834984653</v>
      </c>
      <c r="J2421" s="1" t="str">
        <f>IFERROR(__xludf.DUMMYFUNCTION("""COMPUTED_VALUE"""),"2022-07-04T15:49:26.539Z")</f>
        <v>2022-07-04T15:49:26.539Z</v>
      </c>
      <c r="K2421" s="1"/>
    </row>
    <row r="2422">
      <c r="A2422" s="2" t="str">
        <f>IFERROR(__xludf.DUMMYFUNCTION("""COMPUTED_VALUE"""),"https://www.facebook.com/danisley.casalme.7")</f>
        <v>https://www.facebook.com/danisley.casalme.7</v>
      </c>
      <c r="B2422" s="1" t="str">
        <f>IFERROR(__xludf.DUMMYFUNCTION("""COMPUTED_VALUE"""),"Dan Isley Casalme")</f>
        <v>Dan Isley Casalme</v>
      </c>
      <c r="C2422" s="1" t="str">
        <f>IFERROR(__xludf.DUMMYFUNCTION("""COMPUTED_VALUE"""),"Dan")</f>
        <v>Dan</v>
      </c>
      <c r="D2422" s="1" t="str">
        <f>IFERROR(__xludf.DUMMYFUNCTION("""COMPUTED_VALUE"""),"Isley Casalme")</f>
        <v>Isley Casalme</v>
      </c>
      <c r="E2422" s="1" t="str">
        <f>IFERROR(__xludf.DUMMYFUNCTION("""COMPUTED_VALUE"""),"kahit di ka manalo yorme ikaw pa rin ang presidente ko,kasi kung sila ang magiging presidente magpupunyagi na naman ang mayayaman tama na sila pinaiikot lang tayong mga mahihirap kayong mayayaman tigilan nyo na ang pagsuporta sa mga politikong mag papaunl"&amp;"ad sa inyo kaya walang mangayari sa pilipinas dahil sa inyong mayayaman puro kayo na lang ang pinapapaboran ng mga presidente,di iboboto yan si yorme kasi kawawa naman ang mayayaman di na sila makaporma mababawasan na ang kayamanan nila kapag isko na ang "&amp;"presidente😀😀😀☝️☝️☝️")</f>
        <v>kahit di ka manalo yorme ikaw pa rin ang presidente ko,kasi kung sila ang magiging presidente magpupunyagi na naman ang mayayaman tama na sila pinaiikot lang tayong mga mahihirap kayong mayayaman tigilan nyo na ang pagsuporta sa mga politikong mag papaunlad sa inyo kaya walang mangayari sa pilipinas dahil sa inyong mayayaman puro kayo na lang ang pinapapaboran ng mga presidente,di iboboto yan si yorme kasi kawawa naman ang mayayaman di na sila makaporma mababawasan na ang kayamanan nila kapag isko na ang presidente😀😀😀☝️☝️☝️</v>
      </c>
      <c r="F2422" s="1"/>
      <c r="G2422" s="1" t="str">
        <f>IFERROR(__xludf.DUMMYFUNCTION("""COMPUTED_VALUE"""),"3 mos")</f>
        <v>3 mos</v>
      </c>
      <c r="H2422" s="1" t="str">
        <f>IFERROR(__xludf.DUMMYFUNCTION("""COMPUTED_VALUE"""),"comment")</f>
        <v>comment</v>
      </c>
      <c r="I2422" s="2" t="str">
        <f>IFERROR(__xludf.DUMMYFUNCTION("""COMPUTED_VALUE"""),"https://www.facebook.com/watch/live/?ref=watch_permalink&amp;v=923735834984653")</f>
        <v>https://www.facebook.com/watch/live/?ref=watch_permalink&amp;v=923735834984653</v>
      </c>
      <c r="J2422" s="1" t="str">
        <f>IFERROR(__xludf.DUMMYFUNCTION("""COMPUTED_VALUE"""),"2022-07-04T15:49:26.539Z")</f>
        <v>2022-07-04T15:49:26.539Z</v>
      </c>
      <c r="K2422" s="1"/>
    </row>
    <row r="2423">
      <c r="A2423" s="2" t="str">
        <f>IFERROR(__xludf.DUMMYFUNCTION("""COMPUTED_VALUE"""),"https://www.facebook.com/leony.dumantay")</f>
        <v>https://www.facebook.com/leony.dumantay</v>
      </c>
      <c r="B2423" s="1" t="str">
        <f>IFERROR(__xludf.DUMMYFUNCTION("""COMPUTED_VALUE"""),"Leony Dumantay")</f>
        <v>Leony Dumantay</v>
      </c>
      <c r="C2423" s="1" t="str">
        <f>IFERROR(__xludf.DUMMYFUNCTION("""COMPUTED_VALUE"""),"Leony")</f>
        <v>Leony</v>
      </c>
      <c r="D2423" s="1" t="str">
        <f>IFERROR(__xludf.DUMMYFUNCTION("""COMPUTED_VALUE"""),"Dumantay")</f>
        <v>Dumantay</v>
      </c>
      <c r="E2423" s="1" t="str">
        <f>IFERROR(__xludf.DUMMYFUNCTION("""COMPUTED_VALUE"""),"Isko is my First Choice..Isko has a heart to his fellowmen.. Pantay syang tumingin..In my life natutukan ko si Yorme Isko ng sya ay maraming nagawa sa Maynila. .Bagamat sa Maynila ako naging bata, nag aral noon ay naibalik nya ang Ganda ng Maynila..Ngayon"&amp;" Senior na ako may Awa ang Dios mkatira uli sa Maynila..Bilang nsa huling Yugto ng aming buhay, naway sa tulong ng Dios ay manalo ka po Isko...hangad namin ang iyong Tagumpay..d man nyo kilala na isa rin katulad mo na nkaranas ng hirap sa aking kabataan.."&amp;"Dito lang ako patuloy na mananalangin sa iyo..Manalo ka nawa sa Pangalan ni Jesus..")</f>
        <v>Isko is my First Choice..Isko has a heart to his fellowmen.. Pantay syang tumingin..In my life natutukan ko si Yorme Isko ng sya ay maraming nagawa sa Maynila. .Bagamat sa Maynila ako naging bata, nag aral noon ay naibalik nya ang Ganda ng Maynila..Ngayon Senior na ako may Awa ang Dios mkatira uli sa Maynila..Bilang nsa huling Yugto ng aming buhay, naway sa tulong ng Dios ay manalo ka po Isko...hangad namin ang iyong Tagumpay..d man nyo kilala na isa rin katulad mo na nkaranas ng hirap sa aking kabataan..Dito lang ako patuloy na mananalangin sa iyo..Manalo ka nawa sa Pangalan ni Jesus..</v>
      </c>
      <c r="F2423" s="1">
        <f>IFERROR(__xludf.DUMMYFUNCTION("""COMPUTED_VALUE"""),1.0)</f>
        <v>1</v>
      </c>
      <c r="G2423" s="1" t="str">
        <f>IFERROR(__xludf.DUMMYFUNCTION("""COMPUTED_VALUE"""),"3 mos")</f>
        <v>3 mos</v>
      </c>
      <c r="H2423" s="1" t="str">
        <f>IFERROR(__xludf.DUMMYFUNCTION("""COMPUTED_VALUE"""),"comment")</f>
        <v>comment</v>
      </c>
      <c r="I2423" s="2" t="str">
        <f>IFERROR(__xludf.DUMMYFUNCTION("""COMPUTED_VALUE"""),"https://www.facebook.com/watch/live/?ref=watch_permalink&amp;v=923735834984653")</f>
        <v>https://www.facebook.com/watch/live/?ref=watch_permalink&amp;v=923735834984653</v>
      </c>
      <c r="J2423" s="1" t="str">
        <f>IFERROR(__xludf.DUMMYFUNCTION("""COMPUTED_VALUE"""),"2022-07-04T15:49:26.540Z")</f>
        <v>2022-07-04T15:49:26.540Z</v>
      </c>
      <c r="K2423" s="1"/>
    </row>
    <row r="2424">
      <c r="A2424" s="2" t="str">
        <f>IFERROR(__xludf.DUMMYFUNCTION("""COMPUTED_VALUE"""),"https://www.facebook.com/profile.php?id=100075363020565")</f>
        <v>https://www.facebook.com/profile.php?id=100075363020565</v>
      </c>
      <c r="B2424" s="1" t="str">
        <f>IFERROR(__xludf.DUMMYFUNCTION("""COMPUTED_VALUE"""),"Ariel Telap")</f>
        <v>Ariel Telap</v>
      </c>
      <c r="C2424" s="1" t="str">
        <f>IFERROR(__xludf.DUMMYFUNCTION("""COMPUTED_VALUE"""),"Ariel")</f>
        <v>Ariel</v>
      </c>
      <c r="D2424" s="1" t="str">
        <f>IFERROR(__xludf.DUMMYFUNCTION("""COMPUTED_VALUE"""),"Telap")</f>
        <v>Telap</v>
      </c>
      <c r="E2424" s="1" t="str">
        <f>IFERROR(__xludf.DUMMYFUNCTION("""COMPUTED_VALUE"""),"Boy benta")</f>
        <v>Boy benta</v>
      </c>
      <c r="F2424" s="1"/>
      <c r="G2424" s="1" t="str">
        <f>IFERROR(__xludf.DUMMYFUNCTION("""COMPUTED_VALUE"""),"3 mos")</f>
        <v>3 mos</v>
      </c>
      <c r="H2424" s="1" t="str">
        <f>IFERROR(__xludf.DUMMYFUNCTION("""COMPUTED_VALUE"""),"comment")</f>
        <v>comment</v>
      </c>
      <c r="I2424" s="2" t="str">
        <f>IFERROR(__xludf.DUMMYFUNCTION("""COMPUTED_VALUE"""),"https://www.facebook.com/watch/live/?ref=watch_permalink&amp;v=923735834984653")</f>
        <v>https://www.facebook.com/watch/live/?ref=watch_permalink&amp;v=923735834984653</v>
      </c>
      <c r="J2424" s="1" t="str">
        <f>IFERROR(__xludf.DUMMYFUNCTION("""COMPUTED_VALUE"""),"2022-07-04T15:49:26.540Z")</f>
        <v>2022-07-04T15:49:26.540Z</v>
      </c>
      <c r="K2424" s="1"/>
    </row>
    <row r="2425">
      <c r="A2425" s="2" t="str">
        <f>IFERROR(__xludf.DUMMYFUNCTION("""COMPUTED_VALUE"""),"https://www.facebook.com/profile.php?id=100078777143189")</f>
        <v>https://www.facebook.com/profile.php?id=100078777143189</v>
      </c>
      <c r="B2425" s="1" t="str">
        <f>IFERROR(__xludf.DUMMYFUNCTION("""COMPUTED_VALUE"""),"JiguLo Malupets")</f>
        <v>JiguLo Malupets</v>
      </c>
      <c r="C2425" s="1" t="str">
        <f>IFERROR(__xludf.DUMMYFUNCTION("""COMPUTED_VALUE"""),"JiguLo")</f>
        <v>JiguLo</v>
      </c>
      <c r="D2425" s="1" t="str">
        <f>IFERROR(__xludf.DUMMYFUNCTION("""COMPUTED_VALUE"""),"Malupets")</f>
        <v>Malupets</v>
      </c>
      <c r="E2425" s="1" t="str">
        <f>IFERROR(__xludf.DUMMYFUNCTION("""COMPUTED_VALUE"""),"Benta pa morw")</f>
        <v>Benta pa morw</v>
      </c>
      <c r="F2425" s="1"/>
      <c r="G2425" s="1" t="str">
        <f>IFERROR(__xludf.DUMMYFUNCTION("""COMPUTED_VALUE"""),"3 mos")</f>
        <v>3 mos</v>
      </c>
      <c r="H2425" s="1" t="str">
        <f>IFERROR(__xludf.DUMMYFUNCTION("""COMPUTED_VALUE"""),"comment")</f>
        <v>comment</v>
      </c>
      <c r="I2425" s="2" t="str">
        <f>IFERROR(__xludf.DUMMYFUNCTION("""COMPUTED_VALUE"""),"https://www.facebook.com/watch/live/?ref=watch_permalink&amp;v=923735834984653")</f>
        <v>https://www.facebook.com/watch/live/?ref=watch_permalink&amp;v=923735834984653</v>
      </c>
      <c r="J2425" s="1" t="str">
        <f>IFERROR(__xludf.DUMMYFUNCTION("""COMPUTED_VALUE"""),"2022-07-04T15:49:26.540Z")</f>
        <v>2022-07-04T15:49:26.540Z</v>
      </c>
      <c r="K2425" s="1"/>
    </row>
    <row r="2426">
      <c r="A2426" s="2" t="str">
        <f>IFERROR(__xludf.DUMMYFUNCTION("""COMPUTED_VALUE"""),"https://www.facebook.com/profile.php?id=100078786653080")</f>
        <v>https://www.facebook.com/profile.php?id=100078786653080</v>
      </c>
      <c r="B2426" s="1" t="str">
        <f>IFERROR(__xludf.DUMMYFUNCTION("""COMPUTED_VALUE"""),"Bai Rehma Gutierrez Utto")</f>
        <v>Bai Rehma Gutierrez Utto</v>
      </c>
      <c r="C2426" s="1" t="str">
        <f>IFERROR(__xludf.DUMMYFUNCTION("""COMPUTED_VALUE"""),"Bai")</f>
        <v>Bai</v>
      </c>
      <c r="D2426" s="1" t="str">
        <f>IFERROR(__xludf.DUMMYFUNCTION("""COMPUTED_VALUE"""),"Rehma Gutierrez Utto")</f>
        <v>Rehma Gutierrez Utto</v>
      </c>
      <c r="E2426" s="1" t="str">
        <f>IFERROR(__xludf.DUMMYFUNCTION("""COMPUTED_VALUE"""),"💙💙💙💙💙💙💙💙💙💙💙💙💙💙💙💙💙💙💙💙💙")</f>
        <v>💙💙💙💙💙💙💙💙💙💙💙💙💙💙💙💙💙💙💙💙💙</v>
      </c>
      <c r="F2426" s="1">
        <f>IFERROR(__xludf.DUMMYFUNCTION("""COMPUTED_VALUE"""),1.0)</f>
        <v>1</v>
      </c>
      <c r="G2426" s="1" t="str">
        <f>IFERROR(__xludf.DUMMYFUNCTION("""COMPUTED_VALUE"""),"3 mos")</f>
        <v>3 mos</v>
      </c>
      <c r="H2426" s="1" t="str">
        <f>IFERROR(__xludf.DUMMYFUNCTION("""COMPUTED_VALUE"""),"comment")</f>
        <v>comment</v>
      </c>
      <c r="I2426" s="2" t="str">
        <f>IFERROR(__xludf.DUMMYFUNCTION("""COMPUTED_VALUE"""),"https://www.facebook.com/watch/live/?ref=watch_permalink&amp;v=923735834984653")</f>
        <v>https://www.facebook.com/watch/live/?ref=watch_permalink&amp;v=923735834984653</v>
      </c>
      <c r="J2426" s="1" t="str">
        <f>IFERROR(__xludf.DUMMYFUNCTION("""COMPUTED_VALUE"""),"2022-07-04T15:49:26.540Z")</f>
        <v>2022-07-04T15:49:26.540Z</v>
      </c>
      <c r="K2426" s="1"/>
    </row>
    <row r="2427">
      <c r="A2427" s="2" t="str">
        <f>IFERROR(__xludf.DUMMYFUNCTION("""COMPUTED_VALUE"""),"https://www.facebook.com/profile.php?id=100009525769322")</f>
        <v>https://www.facebook.com/profile.php?id=100009525769322</v>
      </c>
      <c r="B2427" s="1" t="str">
        <f>IFERROR(__xludf.DUMMYFUNCTION("""COMPUTED_VALUE"""),"Bogart Tragob")</f>
        <v>Bogart Tragob</v>
      </c>
      <c r="C2427" s="1" t="str">
        <f>IFERROR(__xludf.DUMMYFUNCTION("""COMPUTED_VALUE"""),"Bogart")</f>
        <v>Bogart</v>
      </c>
      <c r="D2427" s="1" t="str">
        <f>IFERROR(__xludf.DUMMYFUNCTION("""COMPUTED_VALUE"""),"Tragob")</f>
        <v>Tragob</v>
      </c>
      <c r="E2427" s="1" t="str">
        <f>IFERROR(__xludf.DUMMYFUNCTION("""COMPUTED_VALUE"""),"Pilipinas God first")</f>
        <v>Pilipinas God first</v>
      </c>
      <c r="F2427" s="1"/>
      <c r="G2427" s="1" t="str">
        <f>IFERROR(__xludf.DUMMYFUNCTION("""COMPUTED_VALUE"""),"3 mos")</f>
        <v>3 mos</v>
      </c>
      <c r="H2427" s="1" t="str">
        <f>IFERROR(__xludf.DUMMYFUNCTION("""COMPUTED_VALUE"""),"comment")</f>
        <v>comment</v>
      </c>
      <c r="I2427" s="2" t="str">
        <f>IFERROR(__xludf.DUMMYFUNCTION("""COMPUTED_VALUE"""),"https://www.facebook.com/watch/live/?ref=watch_permalink&amp;v=923735834984653")</f>
        <v>https://www.facebook.com/watch/live/?ref=watch_permalink&amp;v=923735834984653</v>
      </c>
      <c r="J2427" s="1" t="str">
        <f>IFERROR(__xludf.DUMMYFUNCTION("""COMPUTED_VALUE"""),"2022-07-04T15:49:26.540Z")</f>
        <v>2022-07-04T15:49:26.540Z</v>
      </c>
      <c r="K2427" s="1"/>
    </row>
    <row r="2428">
      <c r="A2428" s="2" t="str">
        <f>IFERROR(__xludf.DUMMYFUNCTION("""COMPUTED_VALUE"""),"https://www.facebook.com/luzviminda.tanedo.3")</f>
        <v>https://www.facebook.com/luzviminda.tanedo.3</v>
      </c>
      <c r="B2428" s="1" t="str">
        <f>IFERROR(__xludf.DUMMYFUNCTION("""COMPUTED_VALUE"""),"Luzviminda Tanedo")</f>
        <v>Luzviminda Tanedo</v>
      </c>
      <c r="C2428" s="1" t="str">
        <f>IFERROR(__xludf.DUMMYFUNCTION("""COMPUTED_VALUE"""),"Luzviminda")</f>
        <v>Luzviminda</v>
      </c>
      <c r="D2428" s="1" t="str">
        <f>IFERROR(__xludf.DUMMYFUNCTION("""COMPUTED_VALUE"""),"Tanedo")</f>
        <v>Tanedo</v>
      </c>
      <c r="E2428" s="1" t="str">
        <f>IFERROR(__xludf.DUMMYFUNCTION("""COMPUTED_VALUE"""),"God First 🙏☝️ Yes na yes ako para maging Presidente ng ating Pilipinas  🇵🇭  ❤️ Isko Moreno Domagoso he has the ability to Rule our country, a great honest man, strong political will, transparency in all aspects in terms of serving his constituents bcoz"&amp;" of his love and most of all GOD's FEARING PERSON . God bless our dear country Pilipinas  🇵🇭 ❤️ and God bless and protect us all always. amen 🙏 🙏 🙏")</f>
        <v>God First 🙏☝️ Yes na yes ako para maging Presidente ng ating Pilipinas  🇵🇭  ❤️ Isko Moreno Domagoso he has the ability to Rule our country, a great honest man, strong political will, transparency in all aspects in terms of serving his constituents bcoz of his love and most of all GOD's FEARING PERSON . God bless our dear country Pilipinas  🇵🇭 ❤️ and God bless and protect us all always. amen 🙏 🙏 🙏</v>
      </c>
      <c r="F2428" s="1">
        <f>IFERROR(__xludf.DUMMYFUNCTION("""COMPUTED_VALUE"""),2.0)</f>
        <v>2</v>
      </c>
      <c r="G2428" s="1" t="str">
        <f>IFERROR(__xludf.DUMMYFUNCTION("""COMPUTED_VALUE"""),"3 mos")</f>
        <v>3 mos</v>
      </c>
      <c r="H2428" s="1" t="str">
        <f>IFERROR(__xludf.DUMMYFUNCTION("""COMPUTED_VALUE"""),"comment")</f>
        <v>comment</v>
      </c>
      <c r="I2428" s="2" t="str">
        <f>IFERROR(__xludf.DUMMYFUNCTION("""COMPUTED_VALUE"""),"https://www.facebook.com/watch/live/?ref=watch_permalink&amp;v=923735834984653")</f>
        <v>https://www.facebook.com/watch/live/?ref=watch_permalink&amp;v=923735834984653</v>
      </c>
      <c r="J2428" s="1" t="str">
        <f>IFERROR(__xludf.DUMMYFUNCTION("""COMPUTED_VALUE"""),"2022-07-04T15:49:26.540Z")</f>
        <v>2022-07-04T15:49:26.540Z</v>
      </c>
      <c r="K2428" s="1"/>
    </row>
    <row r="2429">
      <c r="A2429" s="2" t="str">
        <f>IFERROR(__xludf.DUMMYFUNCTION("""COMPUTED_VALUE"""),"https://www.facebook.com/canlas.adonis")</f>
        <v>https://www.facebook.com/canlas.adonis</v>
      </c>
      <c r="B2429" s="1" t="str">
        <f>IFERROR(__xludf.DUMMYFUNCTION("""COMPUTED_VALUE"""),"Tito Donz")</f>
        <v>Tito Donz</v>
      </c>
      <c r="C2429" s="1" t="str">
        <f>IFERROR(__xludf.DUMMYFUNCTION("""COMPUTED_VALUE"""),"Tito")</f>
        <v>Tito</v>
      </c>
      <c r="D2429" s="1" t="str">
        <f>IFERROR(__xludf.DUMMYFUNCTION("""COMPUTED_VALUE"""),"Donz")</f>
        <v>Donz</v>
      </c>
      <c r="E2429" s="1" t="str">
        <f>IFERROR(__xludf.DUMMYFUNCTION("""COMPUTED_VALUE"""),"Pilipinas God first")</f>
        <v>Pilipinas God first</v>
      </c>
      <c r="F2429" s="1">
        <f>IFERROR(__xludf.DUMMYFUNCTION("""COMPUTED_VALUE"""),2.0)</f>
        <v>2</v>
      </c>
      <c r="G2429" s="1" t="str">
        <f>IFERROR(__xludf.DUMMYFUNCTION("""COMPUTED_VALUE"""),"3 mos")</f>
        <v>3 mos</v>
      </c>
      <c r="H2429" s="1" t="str">
        <f>IFERROR(__xludf.DUMMYFUNCTION("""COMPUTED_VALUE"""),"comment")</f>
        <v>comment</v>
      </c>
      <c r="I2429" s="2" t="str">
        <f>IFERROR(__xludf.DUMMYFUNCTION("""COMPUTED_VALUE"""),"https://www.facebook.com/watch/live/?ref=watch_permalink&amp;v=923735834984653")</f>
        <v>https://www.facebook.com/watch/live/?ref=watch_permalink&amp;v=923735834984653</v>
      </c>
      <c r="J2429" s="1" t="str">
        <f>IFERROR(__xludf.DUMMYFUNCTION("""COMPUTED_VALUE"""),"2022-07-04T15:49:26.540Z")</f>
        <v>2022-07-04T15:49:26.540Z</v>
      </c>
      <c r="K2429" s="1"/>
    </row>
    <row r="2430">
      <c r="A2430" s="2" t="str">
        <f>IFERROR(__xludf.DUMMYFUNCTION("""COMPUTED_VALUE"""),"https://www.facebook.com/rick.galang.58")</f>
        <v>https://www.facebook.com/rick.galang.58</v>
      </c>
      <c r="B2430" s="1" t="str">
        <f>IFERROR(__xludf.DUMMYFUNCTION("""COMPUTED_VALUE"""),"Rick Galang")</f>
        <v>Rick Galang</v>
      </c>
      <c r="C2430" s="1" t="str">
        <f>IFERROR(__xludf.DUMMYFUNCTION("""COMPUTED_VALUE"""),"Rick")</f>
        <v>Rick</v>
      </c>
      <c r="D2430" s="1" t="str">
        <f>IFERROR(__xludf.DUMMYFUNCTION("""COMPUTED_VALUE"""),"Galang")</f>
        <v>Galang</v>
      </c>
      <c r="E2430" s="1" t="str">
        <f>IFERROR(__xludf.DUMMYFUNCTION("""COMPUTED_VALUE"""),"Mlapit kna ngumanga")</f>
        <v>Mlapit kna ngumanga</v>
      </c>
      <c r="F2430" s="1"/>
      <c r="G2430" s="1" t="str">
        <f>IFERROR(__xludf.DUMMYFUNCTION("""COMPUTED_VALUE"""),"3 mos")</f>
        <v>3 mos</v>
      </c>
      <c r="H2430" s="1" t="str">
        <f>IFERROR(__xludf.DUMMYFUNCTION("""COMPUTED_VALUE"""),"comment")</f>
        <v>comment</v>
      </c>
      <c r="I2430" s="2" t="str">
        <f>IFERROR(__xludf.DUMMYFUNCTION("""COMPUTED_VALUE"""),"https://www.facebook.com/watch/live/?ref=watch_permalink&amp;v=923735834984653")</f>
        <v>https://www.facebook.com/watch/live/?ref=watch_permalink&amp;v=923735834984653</v>
      </c>
      <c r="J2430" s="1" t="str">
        <f>IFERROR(__xludf.DUMMYFUNCTION("""COMPUTED_VALUE"""),"2022-07-04T15:49:26.540Z")</f>
        <v>2022-07-04T15:49:26.540Z</v>
      </c>
      <c r="K2430" s="1"/>
    </row>
    <row r="2431">
      <c r="A2431" s="2" t="str">
        <f>IFERROR(__xludf.DUMMYFUNCTION("""COMPUTED_VALUE"""),"https://www.facebook.com/profile.php?id=100078777143189")</f>
        <v>https://www.facebook.com/profile.php?id=100078777143189</v>
      </c>
      <c r="B2431" s="1" t="str">
        <f>IFERROR(__xludf.DUMMYFUNCTION("""COMPUTED_VALUE"""),"JiguLo Malupets")</f>
        <v>JiguLo Malupets</v>
      </c>
      <c r="C2431" s="1" t="str">
        <f>IFERROR(__xludf.DUMMYFUNCTION("""COMPUTED_VALUE"""),"JiguLo")</f>
        <v>JiguLo</v>
      </c>
      <c r="D2431" s="1" t="str">
        <f>IFERROR(__xludf.DUMMYFUNCTION("""COMPUTED_VALUE"""),"Malupets")</f>
        <v>Malupets</v>
      </c>
      <c r="E2431" s="1" t="str">
        <f>IFERROR(__xludf.DUMMYFUNCTION("""COMPUTED_VALUE"""),"Isko pautang hahaha")</f>
        <v>Isko pautang hahaha</v>
      </c>
      <c r="F2431" s="1"/>
      <c r="G2431" s="1" t="str">
        <f>IFERROR(__xludf.DUMMYFUNCTION("""COMPUTED_VALUE"""),"3 mos")</f>
        <v>3 mos</v>
      </c>
      <c r="H2431" s="1" t="str">
        <f>IFERROR(__xludf.DUMMYFUNCTION("""COMPUTED_VALUE"""),"comment")</f>
        <v>comment</v>
      </c>
      <c r="I2431" s="2" t="str">
        <f>IFERROR(__xludf.DUMMYFUNCTION("""COMPUTED_VALUE"""),"https://www.facebook.com/watch/live/?ref=watch_permalink&amp;v=923735834984653")</f>
        <v>https://www.facebook.com/watch/live/?ref=watch_permalink&amp;v=923735834984653</v>
      </c>
      <c r="J2431" s="1" t="str">
        <f>IFERROR(__xludf.DUMMYFUNCTION("""COMPUTED_VALUE"""),"2022-07-04T15:49:26.540Z")</f>
        <v>2022-07-04T15:49:26.540Z</v>
      </c>
      <c r="K2431" s="1"/>
    </row>
    <row r="2432">
      <c r="A2432" s="2" t="str">
        <f>IFERROR(__xludf.DUMMYFUNCTION("""COMPUTED_VALUE"""),"https://www.facebook.com/robert.reforsado.98")</f>
        <v>https://www.facebook.com/robert.reforsado.98</v>
      </c>
      <c r="B2432" s="1" t="str">
        <f>IFERROR(__xludf.DUMMYFUNCTION("""COMPUTED_VALUE"""),"Robert Reforsado")</f>
        <v>Robert Reforsado</v>
      </c>
      <c r="C2432" s="1" t="str">
        <f>IFERROR(__xludf.DUMMYFUNCTION("""COMPUTED_VALUE"""),"Robert")</f>
        <v>Robert</v>
      </c>
      <c r="D2432" s="1" t="str">
        <f>IFERROR(__xludf.DUMMYFUNCTION("""COMPUTED_VALUE"""),"Reforsado")</f>
        <v>Reforsado</v>
      </c>
      <c r="E2432" s="1" t="str">
        <f>IFERROR(__xludf.DUMMYFUNCTION("""COMPUTED_VALUE"""),".isko. mabuhay.ka.ang.bagong.pangulo.ng.pilipinas")</f>
        <v>.isko. mabuhay.ka.ang.bagong.pangulo.ng.pilipinas</v>
      </c>
      <c r="F2432" s="1"/>
      <c r="G2432" s="1" t="str">
        <f>IFERROR(__xludf.DUMMYFUNCTION("""COMPUTED_VALUE"""),"3 mos")</f>
        <v>3 mos</v>
      </c>
      <c r="H2432" s="1" t="str">
        <f>IFERROR(__xludf.DUMMYFUNCTION("""COMPUTED_VALUE"""),"comment")</f>
        <v>comment</v>
      </c>
      <c r="I2432" s="2" t="str">
        <f>IFERROR(__xludf.DUMMYFUNCTION("""COMPUTED_VALUE"""),"https://www.facebook.com/watch/live/?ref=watch_permalink&amp;v=923735834984653")</f>
        <v>https://www.facebook.com/watch/live/?ref=watch_permalink&amp;v=923735834984653</v>
      </c>
      <c r="J2432" s="1" t="str">
        <f>IFERROR(__xludf.DUMMYFUNCTION("""COMPUTED_VALUE"""),"2022-07-04T15:49:26.540Z")</f>
        <v>2022-07-04T15:49:26.540Z</v>
      </c>
      <c r="K2432" s="1"/>
    </row>
    <row r="2433">
      <c r="A2433" s="2" t="str">
        <f>IFERROR(__xludf.DUMMYFUNCTION("""COMPUTED_VALUE"""),"https://www.facebook.com/mae.caampued.9")</f>
        <v>https://www.facebook.com/mae.caampued.9</v>
      </c>
      <c r="B2433" s="1" t="str">
        <f>IFERROR(__xludf.DUMMYFUNCTION("""COMPUTED_VALUE"""),"Petallo B. Elma")</f>
        <v>Petallo B. Elma</v>
      </c>
      <c r="C2433" s="1" t="str">
        <f>IFERROR(__xludf.DUMMYFUNCTION("""COMPUTED_VALUE"""),"Petallo")</f>
        <v>Petallo</v>
      </c>
      <c r="D2433" s="1" t="str">
        <f>IFERROR(__xludf.DUMMYFUNCTION("""COMPUTED_VALUE"""),"B. Elma")</f>
        <v>B. Elma</v>
      </c>
      <c r="E2433" s="1" t="str">
        <f>IFERROR(__xludf.DUMMYFUNCTION("""COMPUTED_VALUE"""),"Isko TLGA AQO.. kz ramdam k cya tlga mkpa bbagu sa bansa ntin.. alam kz NG isang mahirap ang mga needs NG kapwa mahirap. kya kht anu pa nira nyu. isko p dn aqo. Bkt yung nkaupo ba. DB bgla pres. dn yun. kla nyu ntin mbbago buhay ntin. eh anu nangyari sa b"&amp;"ansa ntin.. Kya DPT Mging Wais TAU. mg Isip2 tau. pra sa ikka gganda NG bansa ntin. pra sa mgmdang knabukasan NG mga anak ntin")</f>
        <v>Isko TLGA AQO.. kz ramdam k cya tlga mkpa bbagu sa bansa ntin.. alam kz NG isang mahirap ang mga needs NG kapwa mahirap. kya kht anu pa nira nyu. isko p dn aqo. Bkt yung nkaupo ba. DB bgla pres. dn yun. kla nyu ntin mbbago buhay ntin. eh anu nangyari sa bansa ntin.. Kya DPT Mging Wais TAU. mg Isip2 tau. pra sa ikka gganda NG bansa ntin. pra sa mgmdang knabukasan NG mga anak ntin</v>
      </c>
      <c r="F2433" s="1"/>
      <c r="G2433" s="1" t="str">
        <f>IFERROR(__xludf.DUMMYFUNCTION("""COMPUTED_VALUE"""),"3 mos")</f>
        <v>3 mos</v>
      </c>
      <c r="H2433" s="1" t="str">
        <f>IFERROR(__xludf.DUMMYFUNCTION("""COMPUTED_VALUE"""),"comment")</f>
        <v>comment</v>
      </c>
      <c r="I2433" s="2" t="str">
        <f>IFERROR(__xludf.DUMMYFUNCTION("""COMPUTED_VALUE"""),"https://www.facebook.com/watch/live/?ref=watch_permalink&amp;v=923735834984653")</f>
        <v>https://www.facebook.com/watch/live/?ref=watch_permalink&amp;v=923735834984653</v>
      </c>
      <c r="J2433" s="1" t="str">
        <f>IFERROR(__xludf.DUMMYFUNCTION("""COMPUTED_VALUE"""),"2022-07-04T15:49:26.540Z")</f>
        <v>2022-07-04T15:49:26.540Z</v>
      </c>
      <c r="K2433" s="1"/>
    </row>
    <row r="2434">
      <c r="A2434" s="2" t="str">
        <f>IFERROR(__xludf.DUMMYFUNCTION("""COMPUTED_VALUE"""),"https://www.facebook.com/oliverioalicabo.orland.9")</f>
        <v>https://www.facebook.com/oliverioalicabo.orland.9</v>
      </c>
      <c r="B2434" s="1" t="str">
        <f>IFERROR(__xludf.DUMMYFUNCTION("""COMPUTED_VALUE"""),"Oliverio Alicabo Orland")</f>
        <v>Oliverio Alicabo Orland</v>
      </c>
      <c r="C2434" s="1" t="str">
        <f>IFERROR(__xludf.DUMMYFUNCTION("""COMPUTED_VALUE"""),"Oliverio")</f>
        <v>Oliverio</v>
      </c>
      <c r="D2434" s="1" t="str">
        <f>IFERROR(__xludf.DUMMYFUNCTION("""COMPUTED_VALUE"""),"Alicabo Orland")</f>
        <v>Alicabo Orland</v>
      </c>
      <c r="E2434" s="1" t="str">
        <f>IFERROR(__xludf.DUMMYFUNCTION("""COMPUTED_VALUE"""),"Boy benta ng pilipinas")</f>
        <v>Boy benta ng pilipinas</v>
      </c>
      <c r="F2434" s="1"/>
      <c r="G2434" s="1" t="str">
        <f>IFERROR(__xludf.DUMMYFUNCTION("""COMPUTED_VALUE"""),"3 mos")</f>
        <v>3 mos</v>
      </c>
      <c r="H2434" s="1" t="str">
        <f>IFERROR(__xludf.DUMMYFUNCTION("""COMPUTED_VALUE"""),"comment")</f>
        <v>comment</v>
      </c>
      <c r="I2434" s="2" t="str">
        <f>IFERROR(__xludf.DUMMYFUNCTION("""COMPUTED_VALUE"""),"https://www.facebook.com/watch/live/?ref=watch_permalink&amp;v=923735834984653")</f>
        <v>https://www.facebook.com/watch/live/?ref=watch_permalink&amp;v=923735834984653</v>
      </c>
      <c r="J2434" s="1" t="str">
        <f>IFERROR(__xludf.DUMMYFUNCTION("""COMPUTED_VALUE"""),"2022-07-04T15:49:26.540Z")</f>
        <v>2022-07-04T15:49:26.540Z</v>
      </c>
      <c r="K2434" s="1"/>
    </row>
    <row r="2435">
      <c r="A2435" s="2" t="str">
        <f>IFERROR(__xludf.DUMMYFUNCTION("""COMPUTED_VALUE"""),"https://www.facebook.com/helen.koike")</f>
        <v>https://www.facebook.com/helen.koike</v>
      </c>
      <c r="B2435" s="1" t="str">
        <f>IFERROR(__xludf.DUMMYFUNCTION("""COMPUTED_VALUE"""),"Helen Koike")</f>
        <v>Helen Koike</v>
      </c>
      <c r="C2435" s="1" t="str">
        <f>IFERROR(__xludf.DUMMYFUNCTION("""COMPUTED_VALUE"""),"Helen")</f>
        <v>Helen</v>
      </c>
      <c r="D2435" s="1" t="str">
        <f>IFERROR(__xludf.DUMMYFUNCTION("""COMPUTED_VALUE"""),"Koike")</f>
        <v>Koike</v>
      </c>
      <c r="E2435" s="1" t="str">
        <f>IFERROR(__xludf.DUMMYFUNCTION("""COMPUTED_VALUE"""),"Ikaw ang piliin ng mga silent majority Yorme go go go lang! Solid God first hanggang dulo ☝️☝️☝️🇵🇭💙💙💙")</f>
        <v>Ikaw ang piliin ng mga silent majority Yorme go go go lang! Solid God first hanggang dulo ☝️☝️☝️🇵🇭💙💙💙</v>
      </c>
      <c r="F2435" s="1"/>
      <c r="G2435" s="1" t="str">
        <f>IFERROR(__xludf.DUMMYFUNCTION("""COMPUTED_VALUE"""),"3 mos")</f>
        <v>3 mos</v>
      </c>
      <c r="H2435" s="1" t="str">
        <f>IFERROR(__xludf.DUMMYFUNCTION("""COMPUTED_VALUE"""),"comment")</f>
        <v>comment</v>
      </c>
      <c r="I2435" s="2" t="str">
        <f>IFERROR(__xludf.DUMMYFUNCTION("""COMPUTED_VALUE"""),"https://www.facebook.com/watch/live/?ref=watch_permalink&amp;v=923735834984653")</f>
        <v>https://www.facebook.com/watch/live/?ref=watch_permalink&amp;v=923735834984653</v>
      </c>
      <c r="J2435" s="1" t="str">
        <f>IFERROR(__xludf.DUMMYFUNCTION("""COMPUTED_VALUE"""),"2022-07-04T15:49:26.540Z")</f>
        <v>2022-07-04T15:49:26.540Z</v>
      </c>
      <c r="K2435" s="1"/>
    </row>
    <row r="2436">
      <c r="A2436" s="2" t="str">
        <f>IFERROR(__xludf.DUMMYFUNCTION("""COMPUTED_VALUE"""),"https://www.facebook.com/nelia.forteza.1")</f>
        <v>https://www.facebook.com/nelia.forteza.1</v>
      </c>
      <c r="B2436" s="1" t="str">
        <f>IFERROR(__xludf.DUMMYFUNCTION("""COMPUTED_VALUE"""),"Nelia Forteza")</f>
        <v>Nelia Forteza</v>
      </c>
      <c r="C2436" s="1" t="str">
        <f>IFERROR(__xludf.DUMMYFUNCTION("""COMPUTED_VALUE"""),"Nelia")</f>
        <v>Nelia</v>
      </c>
      <c r="D2436" s="1" t="str">
        <f>IFERROR(__xludf.DUMMYFUNCTION("""COMPUTED_VALUE"""),"Forteza")</f>
        <v>Forteza</v>
      </c>
      <c r="E2436" s="1" t="str">
        <f>IFERROR(__xludf.DUMMYFUNCTION("""COMPUTED_VALUE"""),"alis boy ngiwi")</f>
        <v>alis boy ngiwi</v>
      </c>
      <c r="F2436" s="1"/>
      <c r="G2436" s="1" t="str">
        <f>IFERROR(__xludf.DUMMYFUNCTION("""COMPUTED_VALUE"""),"3 mos")</f>
        <v>3 mos</v>
      </c>
      <c r="H2436" s="1" t="str">
        <f>IFERROR(__xludf.DUMMYFUNCTION("""COMPUTED_VALUE"""),"comment")</f>
        <v>comment</v>
      </c>
      <c r="I2436" s="2" t="str">
        <f>IFERROR(__xludf.DUMMYFUNCTION("""COMPUTED_VALUE"""),"https://www.facebook.com/watch/live/?ref=watch_permalink&amp;v=923735834984653")</f>
        <v>https://www.facebook.com/watch/live/?ref=watch_permalink&amp;v=923735834984653</v>
      </c>
      <c r="J2436" s="1" t="str">
        <f>IFERROR(__xludf.DUMMYFUNCTION("""COMPUTED_VALUE"""),"2022-07-04T15:49:26.540Z")</f>
        <v>2022-07-04T15:49:26.540Z</v>
      </c>
      <c r="K2436" s="1"/>
    </row>
    <row r="2437">
      <c r="A2437" s="2" t="str">
        <f>IFERROR(__xludf.DUMMYFUNCTION("""COMPUTED_VALUE"""),"https://www.facebook.com/nelia.forteza.1")</f>
        <v>https://www.facebook.com/nelia.forteza.1</v>
      </c>
      <c r="B2437" s="1" t="str">
        <f>IFERROR(__xludf.DUMMYFUNCTION("""COMPUTED_VALUE"""),"Nelia Forteza")</f>
        <v>Nelia Forteza</v>
      </c>
      <c r="C2437" s="1" t="str">
        <f>IFERROR(__xludf.DUMMYFUNCTION("""COMPUTED_VALUE"""),"Nelia")</f>
        <v>Nelia</v>
      </c>
      <c r="D2437" s="1" t="str">
        <f>IFERROR(__xludf.DUMMYFUNCTION("""COMPUTED_VALUE"""),"Forteza")</f>
        <v>Forteza</v>
      </c>
      <c r="E2437" s="1" t="str">
        <f>IFERROR(__xludf.DUMMYFUNCTION("""COMPUTED_VALUE"""),"alis mga boy ngiwi")</f>
        <v>alis mga boy ngiwi</v>
      </c>
      <c r="F2437" s="1"/>
      <c r="G2437" s="1" t="str">
        <f>IFERROR(__xludf.DUMMYFUNCTION("""COMPUTED_VALUE"""),"3 mos")</f>
        <v>3 mos</v>
      </c>
      <c r="H2437" s="1" t="str">
        <f>IFERROR(__xludf.DUMMYFUNCTION("""COMPUTED_VALUE"""),"comment")</f>
        <v>comment</v>
      </c>
      <c r="I2437" s="2" t="str">
        <f>IFERROR(__xludf.DUMMYFUNCTION("""COMPUTED_VALUE"""),"https://www.facebook.com/watch/live/?ref=watch_permalink&amp;v=923735834984653")</f>
        <v>https://www.facebook.com/watch/live/?ref=watch_permalink&amp;v=923735834984653</v>
      </c>
      <c r="J2437" s="1" t="str">
        <f>IFERROR(__xludf.DUMMYFUNCTION("""COMPUTED_VALUE"""),"2022-07-04T15:49:26.540Z")</f>
        <v>2022-07-04T15:49:26.540Z</v>
      </c>
      <c r="K2437" s="1"/>
    </row>
    <row r="2438">
      <c r="A2438" s="2" t="str">
        <f>IFERROR(__xludf.DUMMYFUNCTION("""COMPUTED_VALUE"""),"https://www.facebook.com/nelia.forteza.1")</f>
        <v>https://www.facebook.com/nelia.forteza.1</v>
      </c>
      <c r="B2438" s="1" t="str">
        <f>IFERROR(__xludf.DUMMYFUNCTION("""COMPUTED_VALUE"""),"Nelia Forteza")</f>
        <v>Nelia Forteza</v>
      </c>
      <c r="C2438" s="1" t="str">
        <f>IFERROR(__xludf.DUMMYFUNCTION("""COMPUTED_VALUE"""),"Nelia")</f>
        <v>Nelia</v>
      </c>
      <c r="D2438" s="1" t="str">
        <f>IFERROR(__xludf.DUMMYFUNCTION("""COMPUTED_VALUE"""),"Forteza")</f>
        <v>Forteza</v>
      </c>
      <c r="E2438" s="1" t="str">
        <f>IFERROR(__xludf.DUMMYFUNCTION("""COMPUTED_VALUE"""),"alis mga boy ngiwi")</f>
        <v>alis mga boy ngiwi</v>
      </c>
      <c r="F2438" s="1"/>
      <c r="G2438" s="1" t="str">
        <f>IFERROR(__xludf.DUMMYFUNCTION("""COMPUTED_VALUE"""),"3 mos")</f>
        <v>3 mos</v>
      </c>
      <c r="H2438" s="1" t="str">
        <f>IFERROR(__xludf.DUMMYFUNCTION("""COMPUTED_VALUE"""),"comment")</f>
        <v>comment</v>
      </c>
      <c r="I2438" s="2" t="str">
        <f>IFERROR(__xludf.DUMMYFUNCTION("""COMPUTED_VALUE"""),"https://www.facebook.com/watch/live/?ref=watch_permalink&amp;v=923735834984653")</f>
        <v>https://www.facebook.com/watch/live/?ref=watch_permalink&amp;v=923735834984653</v>
      </c>
      <c r="J2438" s="1" t="str">
        <f>IFERROR(__xludf.DUMMYFUNCTION("""COMPUTED_VALUE"""),"2022-07-04T15:49:26.540Z")</f>
        <v>2022-07-04T15:49:26.540Z</v>
      </c>
      <c r="K2438" s="1"/>
    </row>
    <row r="2439">
      <c r="A2439" s="2" t="str">
        <f>IFERROR(__xludf.DUMMYFUNCTION("""COMPUTED_VALUE"""),"https://www.facebook.com/aida.tytco")</f>
        <v>https://www.facebook.com/aida.tytco</v>
      </c>
      <c r="B2439" s="1" t="str">
        <f>IFERROR(__xludf.DUMMYFUNCTION("""COMPUTED_VALUE"""),"Ayds Ty")</f>
        <v>Ayds Ty</v>
      </c>
      <c r="C2439" s="1" t="str">
        <f>IFERROR(__xludf.DUMMYFUNCTION("""COMPUTED_VALUE"""),"Ayds")</f>
        <v>Ayds</v>
      </c>
      <c r="D2439" s="1" t="str">
        <f>IFERROR(__xludf.DUMMYFUNCTION("""COMPUTED_VALUE"""),"Ty")</f>
        <v>Ty</v>
      </c>
      <c r="E2439" s="1" t="str">
        <f>IFERROR(__xludf.DUMMYFUNCTION("""COMPUTED_VALUE"""),"Lets vote for Yorme...a leader not a politician....wag na po tyong bumoto ng mga pulitiko dahil puro pangako nnman cla habang tyo ay nganga. Nkita nman natin mga nagawa ni Yorme sa manila in a short span of time..meron bagong hospital, available ang gamot"&amp;" para sa mga covid patient...di nya kinuha ung PF nya from Belo, Jag etc. Madali cyang tumulong sa mga nangangailangan. Di nya sinukuan ang hamon ng buhay nya..nag pursige hanggang dumating sya sa kanyang kinalalagyan..he is an inspiration sa atin lahat.."&amp;".kya sana lets give Yorme a chance to rule our country para mabago nman ang buhay nating mga mahirap...si doc Willie pag naging VP, hahawakan nya Philhealth pra cguradong ang hulog ntin ay mapupunta sa dapat puntahan at di ma kuralot💙☝️ #SwitchToIsko #Re"&amp;"sultsOriented #WalangSusuko #GawingPosibleangimposible")</f>
        <v>Lets vote for Yorme...a leader not a politician....wag na po tyong bumoto ng mga pulitiko dahil puro pangako nnman cla habang tyo ay nganga. Nkita nman natin mga nagawa ni Yorme sa manila in a short span of time..meron bagong hospital, available ang gamot para sa mga covid patient...di nya kinuha ung PF nya from Belo, Jag etc. Madali cyang tumulong sa mga nangangailangan. Di nya sinukuan ang hamon ng buhay nya..nag pursige hanggang dumating sya sa kanyang kinalalagyan..he is an inspiration sa atin lahat...kya sana lets give Yorme a chance to rule our country para mabago nman ang buhay nating mga mahirap...si doc Willie pag naging VP, hahawakan nya Philhealth pra cguradong ang hulog ntin ay mapupunta sa dapat puntahan at di ma kuralot💙☝️ #SwitchToIsko #ResultsOriented #WalangSusuko #GawingPosibleangimposible</v>
      </c>
      <c r="F2439" s="1">
        <f>IFERROR(__xludf.DUMMYFUNCTION("""COMPUTED_VALUE"""),1.0)</f>
        <v>1</v>
      </c>
      <c r="G2439" s="1" t="str">
        <f>IFERROR(__xludf.DUMMYFUNCTION("""COMPUTED_VALUE"""),"3 mos")</f>
        <v>3 mos</v>
      </c>
      <c r="H2439" s="1" t="str">
        <f>IFERROR(__xludf.DUMMYFUNCTION("""COMPUTED_VALUE"""),"comment")</f>
        <v>comment</v>
      </c>
      <c r="I2439" s="2" t="str">
        <f>IFERROR(__xludf.DUMMYFUNCTION("""COMPUTED_VALUE"""),"https://www.facebook.com/watch/live/?ref=watch_permalink&amp;v=923735834984653")</f>
        <v>https://www.facebook.com/watch/live/?ref=watch_permalink&amp;v=923735834984653</v>
      </c>
      <c r="J2439" s="1" t="str">
        <f>IFERROR(__xludf.DUMMYFUNCTION("""COMPUTED_VALUE"""),"2022-07-04T15:49:26.540Z")</f>
        <v>2022-07-04T15:49:26.540Z</v>
      </c>
      <c r="K2439" s="1"/>
    </row>
    <row r="2440">
      <c r="A2440" s="2" t="str">
        <f>IFERROR(__xludf.DUMMYFUNCTION("""COMPUTED_VALUE"""),"https://www.facebook.com/randy.aniano")</f>
        <v>https://www.facebook.com/randy.aniano</v>
      </c>
      <c r="B2440" s="1" t="str">
        <f>IFERROR(__xludf.DUMMYFUNCTION("""COMPUTED_VALUE"""),"Randy Aniano")</f>
        <v>Randy Aniano</v>
      </c>
      <c r="C2440" s="1" t="str">
        <f>IFERROR(__xludf.DUMMYFUNCTION("""COMPUTED_VALUE"""),"Randy")</f>
        <v>Randy</v>
      </c>
      <c r="D2440" s="1" t="str">
        <f>IFERROR(__xludf.DUMMYFUNCTION("""COMPUTED_VALUE"""),"Aniano")</f>
        <v>Aniano</v>
      </c>
      <c r="E2440" s="1" t="str">
        <f>IFERROR(__xludf.DUMMYFUNCTION("""COMPUTED_VALUE"""),"Boy benta")</f>
        <v>Boy benta</v>
      </c>
      <c r="F2440" s="1"/>
      <c r="G2440" s="1" t="str">
        <f>IFERROR(__xludf.DUMMYFUNCTION("""COMPUTED_VALUE"""),"3 mos")</f>
        <v>3 mos</v>
      </c>
      <c r="H2440" s="1" t="str">
        <f>IFERROR(__xludf.DUMMYFUNCTION("""COMPUTED_VALUE"""),"comment")</f>
        <v>comment</v>
      </c>
      <c r="I2440" s="2" t="str">
        <f>IFERROR(__xludf.DUMMYFUNCTION("""COMPUTED_VALUE"""),"https://www.facebook.com/watch/live/?ref=watch_permalink&amp;v=923735834984653")</f>
        <v>https://www.facebook.com/watch/live/?ref=watch_permalink&amp;v=923735834984653</v>
      </c>
      <c r="J2440" s="1" t="str">
        <f>IFERROR(__xludf.DUMMYFUNCTION("""COMPUTED_VALUE"""),"2022-07-04T15:49:26.540Z")</f>
        <v>2022-07-04T15:49:26.540Z</v>
      </c>
      <c r="K2440" s="1"/>
    </row>
    <row r="2441">
      <c r="A2441" s="2" t="str">
        <f>IFERROR(__xludf.DUMMYFUNCTION("""COMPUTED_VALUE"""),"https://www.facebook.com/vhengvheng.manlapaz")</f>
        <v>https://www.facebook.com/vhengvheng.manlapaz</v>
      </c>
      <c r="B2441" s="1" t="str">
        <f>IFERROR(__xludf.DUMMYFUNCTION("""COMPUTED_VALUE"""),"Vheng-vheng Manlapaz")</f>
        <v>Vheng-vheng Manlapaz</v>
      </c>
      <c r="C2441" s="1" t="str">
        <f>IFERROR(__xludf.DUMMYFUNCTION("""COMPUTED_VALUE"""),"Vheng-vheng")</f>
        <v>Vheng-vheng</v>
      </c>
      <c r="D2441" s="1" t="str">
        <f>IFERROR(__xludf.DUMMYFUNCTION("""COMPUTED_VALUE"""),"Manlapaz")</f>
        <v>Manlapaz</v>
      </c>
      <c r="E2441" s="1" t="str">
        <f>IFERROR(__xludf.DUMMYFUNCTION("""COMPUTED_VALUE"""),"paliwanag mo ang Divisoria pr iboto k")</f>
        <v>paliwanag mo ang Divisoria pr iboto k</v>
      </c>
      <c r="F2441" s="1">
        <f>IFERROR(__xludf.DUMMYFUNCTION("""COMPUTED_VALUE"""),1.0)</f>
        <v>1</v>
      </c>
      <c r="G2441" s="1" t="str">
        <f>IFERROR(__xludf.DUMMYFUNCTION("""COMPUTED_VALUE"""),"3 mos")</f>
        <v>3 mos</v>
      </c>
      <c r="H2441" s="1" t="str">
        <f>IFERROR(__xludf.DUMMYFUNCTION("""COMPUTED_VALUE"""),"comment")</f>
        <v>comment</v>
      </c>
      <c r="I2441" s="2" t="str">
        <f>IFERROR(__xludf.DUMMYFUNCTION("""COMPUTED_VALUE"""),"https://www.facebook.com/watch/live/?ref=watch_permalink&amp;v=923735834984653")</f>
        <v>https://www.facebook.com/watch/live/?ref=watch_permalink&amp;v=923735834984653</v>
      </c>
      <c r="J2441" s="1" t="str">
        <f>IFERROR(__xludf.DUMMYFUNCTION("""COMPUTED_VALUE"""),"2022-07-04T15:49:26.540Z")</f>
        <v>2022-07-04T15:49:26.540Z</v>
      </c>
      <c r="K2441" s="1"/>
    </row>
    <row r="2442">
      <c r="A2442" s="2" t="str">
        <f>IFERROR(__xludf.DUMMYFUNCTION("""COMPUTED_VALUE"""),"https://www.facebook.com/ricardo.malonzo")</f>
        <v>https://www.facebook.com/ricardo.malonzo</v>
      </c>
      <c r="B2442" s="1" t="str">
        <f>IFERROR(__xludf.DUMMYFUNCTION("""COMPUTED_VALUE"""),"Ricardo Malonzo")</f>
        <v>Ricardo Malonzo</v>
      </c>
      <c r="C2442" s="1" t="str">
        <f>IFERROR(__xludf.DUMMYFUNCTION("""COMPUTED_VALUE"""),"Ricardo")</f>
        <v>Ricardo</v>
      </c>
      <c r="D2442" s="1" t="str">
        <f>IFERROR(__xludf.DUMMYFUNCTION("""COMPUTED_VALUE"""),"Malonzo")</f>
        <v>Malonzo</v>
      </c>
      <c r="E2442" s="1" t="str">
        <f>IFERROR(__xludf.DUMMYFUNCTION("""COMPUTED_VALUE"""),"Daming etneb etneb ni Yorme pagtapos Ng election..😀😀😀")</f>
        <v>Daming etneb etneb ni Yorme pagtapos Ng election..😀😀😀</v>
      </c>
      <c r="F2442" s="1">
        <f>IFERROR(__xludf.DUMMYFUNCTION("""COMPUTED_VALUE"""),1.0)</f>
        <v>1</v>
      </c>
      <c r="G2442" s="1" t="str">
        <f>IFERROR(__xludf.DUMMYFUNCTION("""COMPUTED_VALUE"""),"3 mos")</f>
        <v>3 mos</v>
      </c>
      <c r="H2442" s="1" t="str">
        <f>IFERROR(__xludf.DUMMYFUNCTION("""COMPUTED_VALUE"""),"reply")</f>
        <v>reply</v>
      </c>
      <c r="I2442" s="2" t="str">
        <f>IFERROR(__xludf.DUMMYFUNCTION("""COMPUTED_VALUE"""),"https://www.facebook.com/watch/live/?ref=watch_permalink&amp;v=923735834984653")</f>
        <v>https://www.facebook.com/watch/live/?ref=watch_permalink&amp;v=923735834984653</v>
      </c>
      <c r="J2442" s="1" t="str">
        <f>IFERROR(__xludf.DUMMYFUNCTION("""COMPUTED_VALUE"""),"2022-07-04T15:49:26.540Z")</f>
        <v>2022-07-04T15:49:26.540Z</v>
      </c>
      <c r="K2442" s="1"/>
    </row>
    <row r="2443">
      <c r="A2443" s="2" t="str">
        <f>IFERROR(__xludf.DUMMYFUNCTION("""COMPUTED_VALUE"""),"https://www.facebook.com/belen.simbul.58")</f>
        <v>https://www.facebook.com/belen.simbul.58</v>
      </c>
      <c r="B2443" s="1" t="str">
        <f>IFERROR(__xludf.DUMMYFUNCTION("""COMPUTED_VALUE"""),"Belen Simbul")</f>
        <v>Belen Simbul</v>
      </c>
      <c r="C2443" s="1" t="str">
        <f>IFERROR(__xludf.DUMMYFUNCTION("""COMPUTED_VALUE"""),"Belen")</f>
        <v>Belen</v>
      </c>
      <c r="D2443" s="1" t="str">
        <f>IFERROR(__xludf.DUMMYFUNCTION("""COMPUTED_VALUE"""),"Simbul")</f>
        <v>Simbul</v>
      </c>
      <c r="E2443" s="1" t="str">
        <f>IFERROR(__xludf.DUMMYFUNCTION("""COMPUTED_VALUE"""),"Francisco Isko Moreno Domagoso Ang Ibubuto Ko Sa Mayo 9 Number 3 Sa Baluta Para Sa Pagka Pangulo  2022x God First Bilis Kilos☝️☝️☝️☝️☝️☝️☝️☝️☝️☝️☝️✨✨✨✨✨✨✨✨✨🙏🙏🙏🙏🙏🙏🙏🙏🙏🙏🙏🙏")</f>
        <v>Francisco Isko Moreno Domagoso Ang Ibubuto Ko Sa Mayo 9 Number 3 Sa Baluta Para Sa Pagka Pangulo  2022x God First Bilis Kilos☝️☝️☝️☝️☝️☝️☝️☝️☝️☝️☝️✨✨✨✨✨✨✨✨✨🙏🙏🙏🙏🙏🙏🙏🙏🙏🙏🙏🙏</v>
      </c>
      <c r="F2443" s="1"/>
      <c r="G2443" s="1" t="str">
        <f>IFERROR(__xludf.DUMMYFUNCTION("""COMPUTED_VALUE"""),"3 mos")</f>
        <v>3 mos</v>
      </c>
      <c r="H2443" s="1" t="str">
        <f>IFERROR(__xludf.DUMMYFUNCTION("""COMPUTED_VALUE"""),"comment")</f>
        <v>comment</v>
      </c>
      <c r="I2443" s="2" t="str">
        <f>IFERROR(__xludf.DUMMYFUNCTION("""COMPUTED_VALUE"""),"https://www.facebook.com/watch/live/?ref=watch_permalink&amp;v=923735834984653")</f>
        <v>https://www.facebook.com/watch/live/?ref=watch_permalink&amp;v=923735834984653</v>
      </c>
      <c r="J2443" s="1" t="str">
        <f>IFERROR(__xludf.DUMMYFUNCTION("""COMPUTED_VALUE"""),"2022-07-04T15:49:26.540Z")</f>
        <v>2022-07-04T15:49:26.540Z</v>
      </c>
      <c r="K2443" s="1"/>
    </row>
    <row r="2444">
      <c r="A2444" s="2" t="str">
        <f>IFERROR(__xludf.DUMMYFUNCTION("""COMPUTED_VALUE"""),"https://www.facebook.com/profile.php?id=100069812281148")</f>
        <v>https://www.facebook.com/profile.php?id=100069812281148</v>
      </c>
      <c r="B2444" s="1" t="str">
        <f>IFERROR(__xludf.DUMMYFUNCTION("""COMPUTED_VALUE"""),"Alexander Mendoza")</f>
        <v>Alexander Mendoza</v>
      </c>
      <c r="C2444" s="1" t="str">
        <f>IFERROR(__xludf.DUMMYFUNCTION("""COMPUTED_VALUE"""),"Alexander")</f>
        <v>Alexander</v>
      </c>
      <c r="D2444" s="1" t="str">
        <f>IFERROR(__xludf.DUMMYFUNCTION("""COMPUTED_VALUE"""),"Mendoza")</f>
        <v>Mendoza</v>
      </c>
      <c r="E2444" s="1" t="str">
        <f>IFERROR(__xludf.DUMMYFUNCTION("""COMPUTED_VALUE"""),"Isko alam namin ung inutang mong billion billion para sa manila zoo, binenta mo pa ung divisoria, ang lupit mo isko may dugong boy benta ka din pala isko... hinding hindi ka dapat iboto, baka pag ikaw ung naging pangulo, ibenta mo pa ung buong pilipinas.."&amp;".. kaya hindi ka dapat iboto isko...")</f>
        <v>Isko alam namin ung inutang mong billion billion para sa manila zoo, binenta mo pa ung divisoria, ang lupit mo isko may dugong boy benta ka din pala isko... hinding hindi ka dapat iboto, baka pag ikaw ung naging pangulo, ibenta mo pa ung buong pilipinas.... kaya hindi ka dapat iboto isko...</v>
      </c>
      <c r="F2444" s="1">
        <f>IFERROR(__xludf.DUMMYFUNCTION("""COMPUTED_VALUE"""),1.0)</f>
        <v>1</v>
      </c>
      <c r="G2444" s="1" t="str">
        <f>IFERROR(__xludf.DUMMYFUNCTION("""COMPUTED_VALUE"""),"3 mos")</f>
        <v>3 mos</v>
      </c>
      <c r="H2444" s="1" t="str">
        <f>IFERROR(__xludf.DUMMYFUNCTION("""COMPUTED_VALUE"""),"comment")</f>
        <v>comment</v>
      </c>
      <c r="I2444" s="2" t="str">
        <f>IFERROR(__xludf.DUMMYFUNCTION("""COMPUTED_VALUE"""),"https://www.facebook.com/watch/live/?ref=watch_permalink&amp;v=923735834984653")</f>
        <v>https://www.facebook.com/watch/live/?ref=watch_permalink&amp;v=923735834984653</v>
      </c>
      <c r="J2444" s="1" t="str">
        <f>IFERROR(__xludf.DUMMYFUNCTION("""COMPUTED_VALUE"""),"2022-07-04T15:49:26.540Z")</f>
        <v>2022-07-04T15:49:26.540Z</v>
      </c>
      <c r="K2444" s="1"/>
    </row>
    <row r="2445">
      <c r="A2445" s="2" t="str">
        <f>IFERROR(__xludf.DUMMYFUNCTION("""COMPUTED_VALUE"""),"https://www.facebook.com/neilson.beltran.75")</f>
        <v>https://www.facebook.com/neilson.beltran.75</v>
      </c>
      <c r="B2445" s="1" t="str">
        <f>IFERROR(__xludf.DUMMYFUNCTION("""COMPUTED_VALUE"""),"Neilson Beltran")</f>
        <v>Neilson Beltran</v>
      </c>
      <c r="C2445" s="1" t="str">
        <f>IFERROR(__xludf.DUMMYFUNCTION("""COMPUTED_VALUE"""),"Neilson")</f>
        <v>Neilson</v>
      </c>
      <c r="D2445" s="1" t="str">
        <f>IFERROR(__xludf.DUMMYFUNCTION("""COMPUTED_VALUE"""),"Beltran")</f>
        <v>Beltran</v>
      </c>
      <c r="E2445" s="1" t="str">
        <f>IFERROR(__xludf.DUMMYFUNCTION("""COMPUTED_VALUE"""),"Yung Ang Dami nanaman nag iiyakan kc NAHIGIT AN nanamn Ang mga pambato nila ni PANGULONG ISKO MORENO DOMAGOSO ☝️💙👌🇵🇭💙🇵🇭💙🇵🇭 ...oh Pink lawan at REd lawan SET UP na ulit hahaha 😂😂😂 biruain nyo hinigitan pa Ng Team ISKO NG BATANGAS Yung Pinky at"&amp;" REDLAWAN..pinag sama Ang Dami Ng inyong dalwa... 😂😂😂😂Kaya nag ngangaw ngawan Kau ngaun...hahahaha")</f>
        <v>Yung Ang Dami nanaman nag iiyakan kc NAHIGIT AN nanamn Ang mga pambato nila ni PANGULONG ISKO MORENO DOMAGOSO ☝️💙👌🇵🇭💙🇵🇭💙🇵🇭 ...oh Pink lawan at REd lawan SET UP na ulit hahaha 😂😂😂 biruain nyo hinigitan pa Ng Team ISKO NG BATANGAS Yung Pinky at REDLAWAN..pinag sama Ang Dami Ng inyong dalwa... 😂😂😂😂Kaya nag ngangaw ngawan Kau ngaun...hahahaha</v>
      </c>
      <c r="F2445" s="1"/>
      <c r="G2445" s="1" t="str">
        <f>IFERROR(__xludf.DUMMYFUNCTION("""COMPUTED_VALUE"""),"3 mos")</f>
        <v>3 mos</v>
      </c>
      <c r="H2445" s="1" t="str">
        <f>IFERROR(__xludf.DUMMYFUNCTION("""COMPUTED_VALUE"""),"comment")</f>
        <v>comment</v>
      </c>
      <c r="I2445" s="2" t="str">
        <f>IFERROR(__xludf.DUMMYFUNCTION("""COMPUTED_VALUE"""),"https://www.facebook.com/watch/live/?ref=watch_permalink&amp;v=923735834984653")</f>
        <v>https://www.facebook.com/watch/live/?ref=watch_permalink&amp;v=923735834984653</v>
      </c>
      <c r="J2445" s="1" t="str">
        <f>IFERROR(__xludf.DUMMYFUNCTION("""COMPUTED_VALUE"""),"2022-07-04T15:49:26.540Z")</f>
        <v>2022-07-04T15:49:26.540Z</v>
      </c>
      <c r="K2445" s="1"/>
    </row>
    <row r="2446">
      <c r="A2446" s="2" t="str">
        <f>IFERROR(__xludf.DUMMYFUNCTION("""COMPUTED_VALUE"""),"https://www.facebook.com/dionisiapiano.rebese")</f>
        <v>https://www.facebook.com/dionisiapiano.rebese</v>
      </c>
      <c r="B2446" s="1" t="str">
        <f>IFERROR(__xludf.DUMMYFUNCTION("""COMPUTED_VALUE"""),"Dionisia Piano Rebese")</f>
        <v>Dionisia Piano Rebese</v>
      </c>
      <c r="C2446" s="1" t="str">
        <f>IFERROR(__xludf.DUMMYFUNCTION("""COMPUTED_VALUE"""),"Dionisia")</f>
        <v>Dionisia</v>
      </c>
      <c r="D2446" s="1" t="str">
        <f>IFERROR(__xludf.DUMMYFUNCTION("""COMPUTED_VALUE"""),"Piano Rebese")</f>
        <v>Piano Rebese</v>
      </c>
      <c r="E2446" s="1" t="str">
        <f>IFERROR(__xludf.DUMMYFUNCTION("""COMPUTED_VALUE"""),"Mayor Isko, natutuwa kami na ganyan karaming tao ang sumasampatya sa yo sa Batangas! May kapanalo ka po talaga. Kaya lang ingatan mo po ang sarili mo. Baka magkasakit ka kasi masyado na ang pagod mo at puyat. Please eat proper diet especislly your breakfa"&amp;"st and take some vitamins to help your body strong.  Naipayo ko po ito sa yo kasi mahal ka ng taong bayan. SA YO NAMIN IPAGTITIWALA ANG BOTO NAMIN DAHIL HINAHANGAD NAMIN ANG IYONG PAMUMUNO SA DARATING NA MGA ARAW.  PATNUBAYAN KA LAGI NG DYOS !")</f>
        <v>Mayor Isko, natutuwa kami na ganyan karaming tao ang sumasampatya sa yo sa Batangas! May kapanalo ka po talaga. Kaya lang ingatan mo po ang sarili mo. Baka magkasakit ka kasi masyado na ang pagod mo at puyat. Please eat proper diet especislly your breakfast and take some vitamins to help your body strong.  Naipayo ko po ito sa yo kasi mahal ka ng taong bayan. SA YO NAMIN IPAGTITIWALA ANG BOTO NAMIN DAHIL HINAHANGAD NAMIN ANG IYONG PAMUMUNO SA DARATING NA MGA ARAW.  PATNUBAYAN KA LAGI NG DYOS !</v>
      </c>
      <c r="F2446" s="1"/>
      <c r="G2446" s="1" t="str">
        <f>IFERROR(__xludf.DUMMYFUNCTION("""COMPUTED_VALUE"""),"3 mos")</f>
        <v>3 mos</v>
      </c>
      <c r="H2446" s="1" t="str">
        <f>IFERROR(__xludf.DUMMYFUNCTION("""COMPUTED_VALUE"""),"comment")</f>
        <v>comment</v>
      </c>
      <c r="I2446" s="2" t="str">
        <f>IFERROR(__xludf.DUMMYFUNCTION("""COMPUTED_VALUE"""),"https://www.facebook.com/watch/live/?ref=watch_permalink&amp;v=923735834984653")</f>
        <v>https://www.facebook.com/watch/live/?ref=watch_permalink&amp;v=923735834984653</v>
      </c>
      <c r="J2446" s="1" t="str">
        <f>IFERROR(__xludf.DUMMYFUNCTION("""COMPUTED_VALUE"""),"2022-07-04T15:49:26.540Z")</f>
        <v>2022-07-04T15:49:26.540Z</v>
      </c>
      <c r="K2446" s="1"/>
    </row>
    <row r="2447">
      <c r="A2447" s="2" t="str">
        <f>IFERROR(__xludf.DUMMYFUNCTION("""COMPUTED_VALUE"""),"https://www.facebook.com/profile.php?id=100005160163120")</f>
        <v>https://www.facebook.com/profile.php?id=100005160163120</v>
      </c>
      <c r="B2447" s="1" t="str">
        <f>IFERROR(__xludf.DUMMYFUNCTION("""COMPUTED_VALUE"""),"Carmela  Tanida")</f>
        <v>Carmela  Tanida</v>
      </c>
      <c r="C2447" s="1" t="str">
        <f>IFERROR(__xludf.DUMMYFUNCTION("""COMPUTED_VALUE"""),"Carmela")</f>
        <v>Carmela</v>
      </c>
      <c r="D2447" s="1" t="str">
        <f>IFERROR(__xludf.DUMMYFUNCTION("""COMPUTED_VALUE"""),"Tanida")</f>
        <v>Tanida</v>
      </c>
      <c r="E2447" s="1" t="str">
        <f>IFERROR(__xludf.DUMMYFUNCTION("""COMPUTED_VALUE"""),"Carmela  Tanida")</f>
        <v>Carmela  Tanida</v>
      </c>
      <c r="F2447" s="1">
        <f>IFERROR(__xludf.DUMMYFUNCTION("""COMPUTED_VALUE"""),1.0)</f>
        <v>1</v>
      </c>
      <c r="G2447" s="1" t="str">
        <f>IFERROR(__xludf.DUMMYFUNCTION("""COMPUTED_VALUE"""),"3 mos")</f>
        <v>3 mos</v>
      </c>
      <c r="H2447" s="1" t="str">
        <f>IFERROR(__xludf.DUMMYFUNCTION("""COMPUTED_VALUE"""),"comment")</f>
        <v>comment</v>
      </c>
      <c r="I2447" s="2" t="str">
        <f>IFERROR(__xludf.DUMMYFUNCTION("""COMPUTED_VALUE"""),"https://www.facebook.com/watch/live/?ref=watch_permalink&amp;v=923735834984653")</f>
        <v>https://www.facebook.com/watch/live/?ref=watch_permalink&amp;v=923735834984653</v>
      </c>
      <c r="J2447" s="1" t="str">
        <f>IFERROR(__xludf.DUMMYFUNCTION("""COMPUTED_VALUE"""),"2022-07-04T15:49:26.540Z")</f>
        <v>2022-07-04T15:49:26.540Z</v>
      </c>
      <c r="K2447" s="1"/>
    </row>
    <row r="2448">
      <c r="A2448" s="2" t="str">
        <f>IFERROR(__xludf.DUMMYFUNCTION("""COMPUTED_VALUE"""),"https://www.facebook.com/profile.php?id=100005160163120")</f>
        <v>https://www.facebook.com/profile.php?id=100005160163120</v>
      </c>
      <c r="B2448" s="1" t="str">
        <f>IFERROR(__xludf.DUMMYFUNCTION("""COMPUTED_VALUE"""),"Carmela  Tanida")</f>
        <v>Carmela  Tanida</v>
      </c>
      <c r="C2448" s="1" t="str">
        <f>IFERROR(__xludf.DUMMYFUNCTION("""COMPUTED_VALUE"""),"Carmela")</f>
        <v>Carmela</v>
      </c>
      <c r="D2448" s="1" t="str">
        <f>IFERROR(__xludf.DUMMYFUNCTION("""COMPUTED_VALUE"""),"Tanida")</f>
        <v>Tanida</v>
      </c>
      <c r="E2448" s="1" t="str">
        <f>IFERROR(__xludf.DUMMYFUNCTION("""COMPUTED_VALUE"""),"Carmela  Tanida")</f>
        <v>Carmela  Tanida</v>
      </c>
      <c r="F2448" s="1"/>
      <c r="G2448" s="1" t="str">
        <f>IFERROR(__xludf.DUMMYFUNCTION("""COMPUTED_VALUE"""),"3 mos")</f>
        <v>3 mos</v>
      </c>
      <c r="H2448" s="1" t="str">
        <f>IFERROR(__xludf.DUMMYFUNCTION("""COMPUTED_VALUE"""),"comment")</f>
        <v>comment</v>
      </c>
      <c r="I2448" s="2" t="str">
        <f>IFERROR(__xludf.DUMMYFUNCTION("""COMPUTED_VALUE"""),"https://www.facebook.com/watch/live/?ref=watch_permalink&amp;v=923735834984653")</f>
        <v>https://www.facebook.com/watch/live/?ref=watch_permalink&amp;v=923735834984653</v>
      </c>
      <c r="J2448" s="1" t="str">
        <f>IFERROR(__xludf.DUMMYFUNCTION("""COMPUTED_VALUE"""),"2022-07-04T15:49:26.540Z")</f>
        <v>2022-07-04T15:49:26.540Z</v>
      </c>
      <c r="K2448" s="1"/>
    </row>
    <row r="2449">
      <c r="A2449" s="2" t="str">
        <f>IFERROR(__xludf.DUMMYFUNCTION("""COMPUTED_VALUE"""),"https://www.facebook.com/profile.php?id=100005160163120")</f>
        <v>https://www.facebook.com/profile.php?id=100005160163120</v>
      </c>
      <c r="B2449" s="1" t="str">
        <f>IFERROR(__xludf.DUMMYFUNCTION("""COMPUTED_VALUE"""),"Carmela  Tanida")</f>
        <v>Carmela  Tanida</v>
      </c>
      <c r="C2449" s="1" t="str">
        <f>IFERROR(__xludf.DUMMYFUNCTION("""COMPUTED_VALUE"""),"Carmela")</f>
        <v>Carmela</v>
      </c>
      <c r="D2449" s="1" t="str">
        <f>IFERROR(__xludf.DUMMYFUNCTION("""COMPUTED_VALUE"""),"Tanida")</f>
        <v>Tanida</v>
      </c>
      <c r="E2449" s="1" t="str">
        <f>IFERROR(__xludf.DUMMYFUNCTION("""COMPUTED_VALUE"""),"Carmela  Tanida")</f>
        <v>Carmela  Tanida</v>
      </c>
      <c r="F2449" s="1"/>
      <c r="G2449" s="1" t="str">
        <f>IFERROR(__xludf.DUMMYFUNCTION("""COMPUTED_VALUE"""),"3 mos")</f>
        <v>3 mos</v>
      </c>
      <c r="H2449" s="1" t="str">
        <f>IFERROR(__xludf.DUMMYFUNCTION("""COMPUTED_VALUE"""),"comment")</f>
        <v>comment</v>
      </c>
      <c r="I2449" s="2" t="str">
        <f>IFERROR(__xludf.DUMMYFUNCTION("""COMPUTED_VALUE"""),"https://www.facebook.com/watch/live/?ref=watch_permalink&amp;v=923735834984653")</f>
        <v>https://www.facebook.com/watch/live/?ref=watch_permalink&amp;v=923735834984653</v>
      </c>
      <c r="J2449" s="1" t="str">
        <f>IFERROR(__xludf.DUMMYFUNCTION("""COMPUTED_VALUE"""),"2022-07-04T15:49:26.540Z")</f>
        <v>2022-07-04T15:49:26.540Z</v>
      </c>
      <c r="K2449" s="1"/>
    </row>
    <row r="2450">
      <c r="A2450" s="2" t="str">
        <f>IFERROR(__xludf.DUMMYFUNCTION("""COMPUTED_VALUE"""),"https://www.facebook.com/profile.php?id=100005160163120")</f>
        <v>https://www.facebook.com/profile.php?id=100005160163120</v>
      </c>
      <c r="B2450" s="1" t="str">
        <f>IFERROR(__xludf.DUMMYFUNCTION("""COMPUTED_VALUE"""),"Carmela  Tanida")</f>
        <v>Carmela  Tanida</v>
      </c>
      <c r="C2450" s="1" t="str">
        <f>IFERROR(__xludf.DUMMYFUNCTION("""COMPUTED_VALUE"""),"Carmela")</f>
        <v>Carmela</v>
      </c>
      <c r="D2450" s="1" t="str">
        <f>IFERROR(__xludf.DUMMYFUNCTION("""COMPUTED_VALUE"""),"Tanida")</f>
        <v>Tanida</v>
      </c>
      <c r="E2450" s="1" t="str">
        <f>IFERROR(__xludf.DUMMYFUNCTION("""COMPUTED_VALUE"""),"Carmela  Tanida")</f>
        <v>Carmela  Tanida</v>
      </c>
      <c r="F2450" s="1"/>
      <c r="G2450" s="1" t="str">
        <f>IFERROR(__xludf.DUMMYFUNCTION("""COMPUTED_VALUE"""),"3 mos")</f>
        <v>3 mos</v>
      </c>
      <c r="H2450" s="1" t="str">
        <f>IFERROR(__xludf.DUMMYFUNCTION("""COMPUTED_VALUE"""),"comment")</f>
        <v>comment</v>
      </c>
      <c r="I2450" s="2" t="str">
        <f>IFERROR(__xludf.DUMMYFUNCTION("""COMPUTED_VALUE"""),"https://www.facebook.com/watch/live/?ref=watch_permalink&amp;v=923735834984653")</f>
        <v>https://www.facebook.com/watch/live/?ref=watch_permalink&amp;v=923735834984653</v>
      </c>
      <c r="J2450" s="1" t="str">
        <f>IFERROR(__xludf.DUMMYFUNCTION("""COMPUTED_VALUE"""),"2022-07-04T15:49:26.540Z")</f>
        <v>2022-07-04T15:49:26.540Z</v>
      </c>
      <c r="K2450" s="1"/>
    </row>
    <row r="2451">
      <c r="A2451" s="2" t="str">
        <f>IFERROR(__xludf.DUMMYFUNCTION("""COMPUTED_VALUE"""),"https://www.facebook.com/profile.php?id=100005160163120")</f>
        <v>https://www.facebook.com/profile.php?id=100005160163120</v>
      </c>
      <c r="B2451" s="1" t="str">
        <f>IFERROR(__xludf.DUMMYFUNCTION("""COMPUTED_VALUE"""),"Carmela  Tanida")</f>
        <v>Carmela  Tanida</v>
      </c>
      <c r="C2451" s="1" t="str">
        <f>IFERROR(__xludf.DUMMYFUNCTION("""COMPUTED_VALUE"""),"Carmela")</f>
        <v>Carmela</v>
      </c>
      <c r="D2451" s="1" t="str">
        <f>IFERROR(__xludf.DUMMYFUNCTION("""COMPUTED_VALUE"""),"Tanida")</f>
        <v>Tanida</v>
      </c>
      <c r="E2451" s="1" t="str">
        <f>IFERROR(__xludf.DUMMYFUNCTION("""COMPUTED_VALUE"""),"Carmela  Tanida")</f>
        <v>Carmela  Tanida</v>
      </c>
      <c r="F2451" s="1"/>
      <c r="G2451" s="1" t="str">
        <f>IFERROR(__xludf.DUMMYFUNCTION("""COMPUTED_VALUE"""),"3 mos")</f>
        <v>3 mos</v>
      </c>
      <c r="H2451" s="1" t="str">
        <f>IFERROR(__xludf.DUMMYFUNCTION("""COMPUTED_VALUE"""),"comment")</f>
        <v>comment</v>
      </c>
      <c r="I2451" s="2" t="str">
        <f>IFERROR(__xludf.DUMMYFUNCTION("""COMPUTED_VALUE"""),"https://www.facebook.com/watch/live/?ref=watch_permalink&amp;v=923735834984653")</f>
        <v>https://www.facebook.com/watch/live/?ref=watch_permalink&amp;v=923735834984653</v>
      </c>
      <c r="J2451" s="1" t="str">
        <f>IFERROR(__xludf.DUMMYFUNCTION("""COMPUTED_VALUE"""),"2022-07-04T15:49:26.540Z")</f>
        <v>2022-07-04T15:49:26.540Z</v>
      </c>
      <c r="K2451" s="1"/>
    </row>
    <row r="2452">
      <c r="A2452" s="2" t="str">
        <f>IFERROR(__xludf.DUMMYFUNCTION("""COMPUTED_VALUE"""),"https://www.facebook.com/profile.php?id=100005160163120")</f>
        <v>https://www.facebook.com/profile.php?id=100005160163120</v>
      </c>
      <c r="B2452" s="1" t="str">
        <f>IFERROR(__xludf.DUMMYFUNCTION("""COMPUTED_VALUE"""),"Carmela  Tanida")</f>
        <v>Carmela  Tanida</v>
      </c>
      <c r="C2452" s="1" t="str">
        <f>IFERROR(__xludf.DUMMYFUNCTION("""COMPUTED_VALUE"""),"Carmela")</f>
        <v>Carmela</v>
      </c>
      <c r="D2452" s="1" t="str">
        <f>IFERROR(__xludf.DUMMYFUNCTION("""COMPUTED_VALUE"""),"Tanida")</f>
        <v>Tanida</v>
      </c>
      <c r="E2452" s="1" t="str">
        <f>IFERROR(__xludf.DUMMYFUNCTION("""COMPUTED_VALUE"""),"Carmela  Tanida")</f>
        <v>Carmela  Tanida</v>
      </c>
      <c r="F2452" s="1"/>
      <c r="G2452" s="1" t="str">
        <f>IFERROR(__xludf.DUMMYFUNCTION("""COMPUTED_VALUE"""),"3 mos")</f>
        <v>3 mos</v>
      </c>
      <c r="H2452" s="1" t="str">
        <f>IFERROR(__xludf.DUMMYFUNCTION("""COMPUTED_VALUE"""),"comment")</f>
        <v>comment</v>
      </c>
      <c r="I2452" s="2" t="str">
        <f>IFERROR(__xludf.DUMMYFUNCTION("""COMPUTED_VALUE"""),"https://www.facebook.com/watch/live/?ref=watch_permalink&amp;v=923735834984653")</f>
        <v>https://www.facebook.com/watch/live/?ref=watch_permalink&amp;v=923735834984653</v>
      </c>
      <c r="J2452" s="1" t="str">
        <f>IFERROR(__xludf.DUMMYFUNCTION("""COMPUTED_VALUE"""),"2022-07-04T15:49:26.540Z")</f>
        <v>2022-07-04T15:49:26.540Z</v>
      </c>
      <c r="K2452" s="1"/>
    </row>
    <row r="2453">
      <c r="A2453" s="2" t="str">
        <f>IFERROR(__xludf.DUMMYFUNCTION("""COMPUTED_VALUE"""),"https://www.facebook.com/profile.php?id=100005160163120")</f>
        <v>https://www.facebook.com/profile.php?id=100005160163120</v>
      </c>
      <c r="B2453" s="1" t="str">
        <f>IFERROR(__xludf.DUMMYFUNCTION("""COMPUTED_VALUE"""),"Carmela  Tanida")</f>
        <v>Carmela  Tanida</v>
      </c>
      <c r="C2453" s="1" t="str">
        <f>IFERROR(__xludf.DUMMYFUNCTION("""COMPUTED_VALUE"""),"Carmela")</f>
        <v>Carmela</v>
      </c>
      <c r="D2453" s="1" t="str">
        <f>IFERROR(__xludf.DUMMYFUNCTION("""COMPUTED_VALUE"""),"Tanida")</f>
        <v>Tanida</v>
      </c>
      <c r="E2453" s="1" t="str">
        <f>IFERROR(__xludf.DUMMYFUNCTION("""COMPUTED_VALUE"""),"Carmela  Tanida")</f>
        <v>Carmela  Tanida</v>
      </c>
      <c r="F2453" s="1"/>
      <c r="G2453" s="1" t="str">
        <f>IFERROR(__xludf.DUMMYFUNCTION("""COMPUTED_VALUE"""),"3 mos")</f>
        <v>3 mos</v>
      </c>
      <c r="H2453" s="1" t="str">
        <f>IFERROR(__xludf.DUMMYFUNCTION("""COMPUTED_VALUE"""),"comment")</f>
        <v>comment</v>
      </c>
      <c r="I2453" s="2" t="str">
        <f>IFERROR(__xludf.DUMMYFUNCTION("""COMPUTED_VALUE"""),"https://www.facebook.com/watch/live/?ref=watch_permalink&amp;v=923735834984653")</f>
        <v>https://www.facebook.com/watch/live/?ref=watch_permalink&amp;v=923735834984653</v>
      </c>
      <c r="J2453" s="1" t="str">
        <f>IFERROR(__xludf.DUMMYFUNCTION("""COMPUTED_VALUE"""),"2022-07-04T15:49:26.540Z")</f>
        <v>2022-07-04T15:49:26.540Z</v>
      </c>
      <c r="K2453" s="1"/>
    </row>
    <row r="2454">
      <c r="A2454" s="2" t="str">
        <f>IFERROR(__xludf.DUMMYFUNCTION("""COMPUTED_VALUE"""),"https://www.facebook.com/ricky.marquez.58958")</f>
        <v>https://www.facebook.com/ricky.marquez.58958</v>
      </c>
      <c r="B2454" s="1" t="str">
        <f>IFERROR(__xludf.DUMMYFUNCTION("""COMPUTED_VALUE"""),"Ricky Marquez")</f>
        <v>Ricky Marquez</v>
      </c>
      <c r="C2454" s="1" t="str">
        <f>IFERROR(__xludf.DUMMYFUNCTION("""COMPUTED_VALUE"""),"Ricky")</f>
        <v>Ricky</v>
      </c>
      <c r="D2454" s="1" t="str">
        <f>IFERROR(__xludf.DUMMYFUNCTION("""COMPUTED_VALUE"""),"Marquez")</f>
        <v>Marquez</v>
      </c>
      <c r="E2454" s="1" t="str">
        <f>IFERROR(__xludf.DUMMYFUNCTION("""COMPUTED_VALUE"""),"Yan po ang Katotohan sa tingin nyo ba after 39 yrs nag bago ang buhay ng mas nakakaraming Pilipino? Tanging si ISKO lang ang Presidenteng makaka gawa para paangatin ang buhay ng mas Nakakaraming Pilipino Bumuto ng nasa Puso wag sa panandaliang lunas sa ka"&amp;"lam ng ating mga sikmura. Tanging Si ISKO lang ang makakapag pa angat ng mas Nakakaraming Pilipino dahil ang pokus nya ay Tao at Pamumuhay! GODFirst🙏☝️")</f>
        <v>Yan po ang Katotohan sa tingin nyo ba after 39 yrs nag bago ang buhay ng mas nakakaraming Pilipino? Tanging si ISKO lang ang Presidenteng makaka gawa para paangatin ang buhay ng mas Nakakaraming Pilipino Bumuto ng nasa Puso wag sa panandaliang lunas sa kalam ng ating mga sikmura. Tanging Si ISKO lang ang makakapag pa angat ng mas Nakakaraming Pilipino dahil ang pokus nya ay Tao at Pamumuhay! GODFirst🙏☝️</v>
      </c>
      <c r="F2454" s="1"/>
      <c r="G2454" s="1" t="str">
        <f>IFERROR(__xludf.DUMMYFUNCTION("""COMPUTED_VALUE"""),"3 mos")</f>
        <v>3 mos</v>
      </c>
      <c r="H2454" s="1" t="str">
        <f>IFERROR(__xludf.DUMMYFUNCTION("""COMPUTED_VALUE"""),"comment")</f>
        <v>comment</v>
      </c>
      <c r="I2454" s="2" t="str">
        <f>IFERROR(__xludf.DUMMYFUNCTION("""COMPUTED_VALUE"""),"https://www.facebook.com/watch/live/?ref=watch_permalink&amp;v=923735834984653")</f>
        <v>https://www.facebook.com/watch/live/?ref=watch_permalink&amp;v=923735834984653</v>
      </c>
      <c r="J2454" s="1" t="str">
        <f>IFERROR(__xludf.DUMMYFUNCTION("""COMPUTED_VALUE"""),"2022-07-04T15:49:26.540Z")</f>
        <v>2022-07-04T15:49:26.540Z</v>
      </c>
      <c r="K2454" s="1"/>
    </row>
    <row r="2455">
      <c r="A2455" s="2" t="str">
        <f>IFERROR(__xludf.DUMMYFUNCTION("""COMPUTED_VALUE"""),"https://www.facebook.com/kaie.decal")</f>
        <v>https://www.facebook.com/kaie.decal</v>
      </c>
      <c r="B2455" s="1" t="str">
        <f>IFERROR(__xludf.DUMMYFUNCTION("""COMPUTED_VALUE"""),"Erwin Decal")</f>
        <v>Erwin Decal</v>
      </c>
      <c r="C2455" s="1" t="str">
        <f>IFERROR(__xludf.DUMMYFUNCTION("""COMPUTED_VALUE"""),"Erwin")</f>
        <v>Erwin</v>
      </c>
      <c r="D2455" s="1" t="str">
        <f>IFERROR(__xludf.DUMMYFUNCTION("""COMPUTED_VALUE"""),"Decal")</f>
        <v>Decal</v>
      </c>
      <c r="E2455" s="1" t="str">
        <f>IFERROR(__xludf.DUMMYFUNCTION("""COMPUTED_VALUE"""),"May bagong nrratives ang kulto ni Baby M, ""Ikw na lang hinihintay ng korte Mam /Sir"". Consistent at pareparehas, mukhng bagong release n script. 😂 Kpg binigyan mo ng data or facts, ang layo ng sagot. Para kang nakikipagusap sa recording. Haha! 🤣")</f>
        <v>May bagong nrratives ang kulto ni Baby M, "Ikw na lang hinihintay ng korte Mam /Sir". Consistent at pareparehas, mukhng bagong release n script. 😂 Kpg binigyan mo ng data or facts, ang layo ng sagot. Para kang nakikipagusap sa recording. Haha! 🤣</v>
      </c>
      <c r="F2455" s="1">
        <f>IFERROR(__xludf.DUMMYFUNCTION("""COMPUTED_VALUE"""),5.0)</f>
        <v>5</v>
      </c>
      <c r="G2455" s="1" t="str">
        <f>IFERROR(__xludf.DUMMYFUNCTION("""COMPUTED_VALUE"""),"3 mos")</f>
        <v>3 mos</v>
      </c>
      <c r="H2455" s="1" t="str">
        <f>IFERROR(__xludf.DUMMYFUNCTION("""COMPUTED_VALUE"""),"comment")</f>
        <v>comment</v>
      </c>
      <c r="I245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55" s="1" t="str">
        <f>IFERROR(__xludf.DUMMYFUNCTION("""COMPUTED_VALUE"""),"2022-07-04T15:50:11.825Z")</f>
        <v>2022-07-04T15:50:11.825Z</v>
      </c>
      <c r="K2455" s="1"/>
    </row>
    <row r="2456">
      <c r="A2456" s="2" t="str">
        <f>IFERROR(__xludf.DUMMYFUNCTION("""COMPUTED_VALUE"""),"https://www.facebook.com/gesponela")</f>
        <v>https://www.facebook.com/gesponela</v>
      </c>
      <c r="B2456" s="1" t="str">
        <f>IFERROR(__xludf.DUMMYFUNCTION("""COMPUTED_VALUE"""),"Gretch Chen Esponela")</f>
        <v>Gretch Chen Esponela</v>
      </c>
      <c r="C2456" s="1" t="str">
        <f>IFERROR(__xludf.DUMMYFUNCTION("""COMPUTED_VALUE"""),"Gretch")</f>
        <v>Gretch</v>
      </c>
      <c r="D2456" s="1" t="str">
        <f>IFERROR(__xludf.DUMMYFUNCTION("""COMPUTED_VALUE"""),"Chen Esponela")</f>
        <v>Chen Esponela</v>
      </c>
      <c r="E2456" s="1" t="str">
        <f>IFERROR(__xludf.DUMMYFUNCTION("""COMPUTED_VALUE"""),"Erwin Decal lapag mo na ebidensya mo sir 🤣😁")</f>
        <v>Erwin Decal lapag mo na ebidensya mo sir 🤣😁</v>
      </c>
      <c r="F2456" s="1"/>
      <c r="G2456" s="1" t="str">
        <f>IFERROR(__xludf.DUMMYFUNCTION("""COMPUTED_VALUE"""),"3 mos")</f>
        <v>3 mos</v>
      </c>
      <c r="H2456" s="1" t="str">
        <f>IFERROR(__xludf.DUMMYFUNCTION("""COMPUTED_VALUE"""),"reply")</f>
        <v>reply</v>
      </c>
      <c r="I245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56" s="1" t="str">
        <f>IFERROR(__xludf.DUMMYFUNCTION("""COMPUTED_VALUE"""),"2022-07-04T15:50:11.825Z")</f>
        <v>2022-07-04T15:50:11.825Z</v>
      </c>
      <c r="K2456" s="1"/>
    </row>
    <row r="2457">
      <c r="A2457" s="2" t="str">
        <f>IFERROR(__xludf.DUMMYFUNCTION("""COMPUTED_VALUE"""),"https://www.facebook.com/rose.ranario.58")</f>
        <v>https://www.facebook.com/rose.ranario.58</v>
      </c>
      <c r="B2457" s="1" t="str">
        <f>IFERROR(__xludf.DUMMYFUNCTION("""COMPUTED_VALUE"""),"Rose RAnario")</f>
        <v>Rose RAnario</v>
      </c>
      <c r="C2457" s="1" t="str">
        <f>IFERROR(__xludf.DUMMYFUNCTION("""COMPUTED_VALUE"""),"Rose")</f>
        <v>Rose</v>
      </c>
      <c r="D2457" s="1" t="str">
        <f>IFERROR(__xludf.DUMMYFUNCTION("""COMPUTED_VALUE"""),"RAnario")</f>
        <v>RAnario</v>
      </c>
      <c r="E2457" s="1" t="str">
        <f>IFERROR(__xludf.DUMMYFUNCTION("""COMPUTED_VALUE"""),"Alam nmin bayad n sla pero panay paratang prin  d nyo ma uto ang sambayan may net 24hrs.updated po kmi")</f>
        <v>Alam nmin bayad n sla pero panay paratang prin  d nyo ma uto ang sambayan may net 24hrs.updated po kmi</v>
      </c>
      <c r="F2457" s="1">
        <f>IFERROR(__xludf.DUMMYFUNCTION("""COMPUTED_VALUE"""),37.0)</f>
        <v>37</v>
      </c>
      <c r="G2457" s="1" t="str">
        <f>IFERROR(__xludf.DUMMYFUNCTION("""COMPUTED_VALUE"""),"3 mos")</f>
        <v>3 mos</v>
      </c>
      <c r="H2457" s="1" t="str">
        <f>IFERROR(__xludf.DUMMYFUNCTION("""COMPUTED_VALUE"""),"comment")</f>
        <v>comment</v>
      </c>
      <c r="I2457"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57" s="1" t="str">
        <f>IFERROR(__xludf.DUMMYFUNCTION("""COMPUTED_VALUE"""),"2022-07-04T15:50:11.825Z")</f>
        <v>2022-07-04T15:50:11.825Z</v>
      </c>
      <c r="K2457" s="1"/>
    </row>
    <row r="2458">
      <c r="A2458" s="2" t="str">
        <f>IFERROR(__xludf.DUMMYFUNCTION("""COMPUTED_VALUE"""),"https://www.facebook.com/profile.php?id=100071488868784")</f>
        <v>https://www.facebook.com/profile.php?id=100071488868784</v>
      </c>
      <c r="B2458" s="1" t="str">
        <f>IFERROR(__xludf.DUMMYFUNCTION("""COMPUTED_VALUE"""),"Jas Medalla")</f>
        <v>Jas Medalla</v>
      </c>
      <c r="C2458" s="1" t="str">
        <f>IFERROR(__xludf.DUMMYFUNCTION("""COMPUTED_VALUE"""),"Jas")</f>
        <v>Jas</v>
      </c>
      <c r="D2458" s="1" t="str">
        <f>IFERROR(__xludf.DUMMYFUNCTION("""COMPUTED_VALUE"""),"Medalla")</f>
        <v>Medalla</v>
      </c>
      <c r="E2458" s="1" t="str">
        <f>IFERROR(__xludf.DUMMYFUNCTION("""COMPUTED_VALUE"""),"Rose RAnario saan nyo kinukuha ang mga pekeng impormasyon na yan? Kung sino man may pasimuno nyan, deserve nya mapunta sa impyerno")</f>
        <v>Rose RAnario saan nyo kinukuha ang mga pekeng impormasyon na yan? Kung sino man may pasimuno nyan, deserve nya mapunta sa impyerno</v>
      </c>
      <c r="F2458" s="1">
        <f>IFERROR(__xludf.DUMMYFUNCTION("""COMPUTED_VALUE"""),5.0)</f>
        <v>5</v>
      </c>
      <c r="G2458" s="1" t="str">
        <f>IFERROR(__xludf.DUMMYFUNCTION("""COMPUTED_VALUE"""),"3 mos")</f>
        <v>3 mos</v>
      </c>
      <c r="H2458" s="1" t="str">
        <f>IFERROR(__xludf.DUMMYFUNCTION("""COMPUTED_VALUE"""),"reply")</f>
        <v>reply</v>
      </c>
      <c r="I2458"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58" s="1" t="str">
        <f>IFERROR(__xludf.DUMMYFUNCTION("""COMPUTED_VALUE"""),"2022-07-04T15:50:11.825Z")</f>
        <v>2022-07-04T15:50:11.825Z</v>
      </c>
      <c r="K2458" s="1"/>
    </row>
    <row r="2459">
      <c r="A2459" s="2" t="str">
        <f>IFERROR(__xludf.DUMMYFUNCTION("""COMPUTED_VALUE"""),"https://www.facebook.com/rose.ranario.58")</f>
        <v>https://www.facebook.com/rose.ranario.58</v>
      </c>
      <c r="B2459" s="1" t="str">
        <f>IFERROR(__xludf.DUMMYFUNCTION("""COMPUTED_VALUE"""),"Rose RAnario")</f>
        <v>Rose RAnario</v>
      </c>
      <c r="C2459" s="1" t="str">
        <f>IFERROR(__xludf.DUMMYFUNCTION("""COMPUTED_VALUE"""),"Rose")</f>
        <v>Rose</v>
      </c>
      <c r="D2459" s="1" t="str">
        <f>IFERROR(__xludf.DUMMYFUNCTION("""COMPUTED_VALUE"""),"RAnario")</f>
        <v>RAnario</v>
      </c>
      <c r="E2459" s="1" t="str">
        <f>IFERROR(__xludf.DUMMYFUNCTION("""COMPUTED_VALUE"""),"Stephen EL Roma  wla k sgurong net kya dk updated")</f>
        <v>Stephen EL Roma  wla k sgurong net kya dk updated</v>
      </c>
      <c r="F2459" s="1">
        <f>IFERROR(__xludf.DUMMYFUNCTION("""COMPUTED_VALUE"""),1.0)</f>
        <v>1</v>
      </c>
      <c r="G2459" s="1" t="str">
        <f>IFERROR(__xludf.DUMMYFUNCTION("""COMPUTED_VALUE"""),"3 mos")</f>
        <v>3 mos</v>
      </c>
      <c r="H2459" s="1" t="str">
        <f>IFERROR(__xludf.DUMMYFUNCTION("""COMPUTED_VALUE"""),"reply")</f>
        <v>reply</v>
      </c>
      <c r="I2459"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59" s="1" t="str">
        <f>IFERROR(__xludf.DUMMYFUNCTION("""COMPUTED_VALUE"""),"2022-07-04T15:50:11.825Z")</f>
        <v>2022-07-04T15:50:11.825Z</v>
      </c>
      <c r="K2459" s="1"/>
    </row>
    <row r="2460">
      <c r="A2460" s="2" t="str">
        <f>IFERROR(__xludf.DUMMYFUNCTION("""COMPUTED_VALUE"""),"https://www.facebook.com/EyronClavsky")</f>
        <v>https://www.facebook.com/EyronClavsky</v>
      </c>
      <c r="B2460" s="1" t="str">
        <f>IFERROR(__xludf.DUMMYFUNCTION("""COMPUTED_VALUE"""),"Aarön Buëndia")</f>
        <v>Aarön Buëndia</v>
      </c>
      <c r="C2460" s="1" t="str">
        <f>IFERROR(__xludf.DUMMYFUNCTION("""COMPUTED_VALUE"""),"Aarön")</f>
        <v>Aarön</v>
      </c>
      <c r="D2460" s="1" t="str">
        <f>IFERROR(__xludf.DUMMYFUNCTION("""COMPUTED_VALUE"""),"Buëndia")</f>
        <v>Buëndia</v>
      </c>
      <c r="E2460" s="1" t="str">
        <f>IFERROR(__xludf.DUMMYFUNCTION("""COMPUTED_VALUE"""),"Jas Medalla EDUCATED YARN? HAHAHAA")</f>
        <v>Jas Medalla EDUCATED YARN? HAHAHAA</v>
      </c>
      <c r="F2460" s="1"/>
      <c r="G2460" s="1" t="str">
        <f>IFERROR(__xludf.DUMMYFUNCTION("""COMPUTED_VALUE"""),"3 mos")</f>
        <v>3 mos</v>
      </c>
      <c r="H2460" s="1" t="str">
        <f>IFERROR(__xludf.DUMMYFUNCTION("""COMPUTED_VALUE"""),"reply")</f>
        <v>reply</v>
      </c>
      <c r="I2460"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0" s="1" t="str">
        <f>IFERROR(__xludf.DUMMYFUNCTION("""COMPUTED_VALUE"""),"2022-07-04T15:50:11.825Z")</f>
        <v>2022-07-04T15:50:11.825Z</v>
      </c>
      <c r="K2460" s="1"/>
    </row>
    <row r="2461">
      <c r="A2461" s="2" t="str">
        <f>IFERROR(__xludf.DUMMYFUNCTION("""COMPUTED_VALUE"""),"https://www.facebook.com/gerly.amante1")</f>
        <v>https://www.facebook.com/gerly.amante1</v>
      </c>
      <c r="B2461" s="1" t="str">
        <f>IFERROR(__xludf.DUMMYFUNCTION("""COMPUTED_VALUE"""),"Joselyn Amante")</f>
        <v>Joselyn Amante</v>
      </c>
      <c r="C2461" s="1" t="str">
        <f>IFERROR(__xludf.DUMMYFUNCTION("""COMPUTED_VALUE"""),"Joselyn")</f>
        <v>Joselyn</v>
      </c>
      <c r="D2461" s="1" t="str">
        <f>IFERROR(__xludf.DUMMYFUNCTION("""COMPUTED_VALUE"""),"Amante")</f>
        <v>Amante</v>
      </c>
      <c r="E2461" s="1" t="str">
        <f>IFERROR(__xludf.DUMMYFUNCTION("""COMPUTED_VALUE"""),"Rose RAnario kanini  sila nagbayad sa iyo? Hahaha...kung nagbayad sila di sana sila sinisingil... utak utak din sabay dilat ng mata..")</f>
        <v>Rose RAnario kanini  sila nagbayad sa iyo? Hahaha...kung nagbayad sila di sana sila sinisingil... utak utak din sabay dilat ng mata..</v>
      </c>
      <c r="F2461" s="1">
        <f>IFERROR(__xludf.DUMMYFUNCTION("""COMPUTED_VALUE"""),2.0)</f>
        <v>2</v>
      </c>
      <c r="G2461" s="1" t="str">
        <f>IFERROR(__xludf.DUMMYFUNCTION("""COMPUTED_VALUE"""),"3 mos")</f>
        <v>3 mos</v>
      </c>
      <c r="H2461" s="1" t="str">
        <f>IFERROR(__xludf.DUMMYFUNCTION("""COMPUTED_VALUE"""),"reply")</f>
        <v>reply</v>
      </c>
      <c r="I2461"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1" s="1" t="str">
        <f>IFERROR(__xludf.DUMMYFUNCTION("""COMPUTED_VALUE"""),"2022-07-04T15:50:11.825Z")</f>
        <v>2022-07-04T15:50:11.825Z</v>
      </c>
      <c r="K2461" s="1"/>
    </row>
    <row r="2462">
      <c r="A2462" s="2" t="str">
        <f>IFERROR(__xludf.DUMMYFUNCTION("""COMPUTED_VALUE"""),"https://www.facebook.com/rose.ranario.58")</f>
        <v>https://www.facebook.com/rose.ranario.58</v>
      </c>
      <c r="B2462" s="1" t="str">
        <f>IFERROR(__xludf.DUMMYFUNCTION("""COMPUTED_VALUE"""),"Rose RAnario")</f>
        <v>Rose RAnario</v>
      </c>
      <c r="C2462" s="1" t="str">
        <f>IFERROR(__xludf.DUMMYFUNCTION("""COMPUTED_VALUE"""),"Rose")</f>
        <v>Rose</v>
      </c>
      <c r="D2462" s="1" t="str">
        <f>IFERROR(__xludf.DUMMYFUNCTION("""COMPUTED_VALUE"""),"RAnario")</f>
        <v>RAnario</v>
      </c>
      <c r="E2462" s="1" t="str">
        <f>IFERROR(__xludf.DUMMYFUNCTION("""COMPUTED_VALUE"""),"Joselyn Amante ma kalaban lng nman  pra siraan sla bk ikaw tolog lagi kya online k din 24hrs.pra Alam mo bk ihampas syo un resibo😄😄😄")</f>
        <v>Joselyn Amante ma kalaban lng nman  pra siraan sla bk ikaw tolog lagi kya online k din 24hrs.pra Alam mo bk ihampas syo un resibo😄😄😄</v>
      </c>
      <c r="F2462" s="1"/>
      <c r="G2462" s="1" t="str">
        <f>IFERROR(__xludf.DUMMYFUNCTION("""COMPUTED_VALUE"""),"3 mos")</f>
        <v>3 mos</v>
      </c>
      <c r="H2462" s="1" t="str">
        <f>IFERROR(__xludf.DUMMYFUNCTION("""COMPUTED_VALUE"""),"reply")</f>
        <v>reply</v>
      </c>
      <c r="I2462"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2" s="1" t="str">
        <f>IFERROR(__xludf.DUMMYFUNCTION("""COMPUTED_VALUE"""),"2022-07-04T15:50:11.825Z")</f>
        <v>2022-07-04T15:50:11.825Z</v>
      </c>
      <c r="K2462" s="1"/>
    </row>
    <row r="2463">
      <c r="A2463" s="2" t="str">
        <f>IFERROR(__xludf.DUMMYFUNCTION("""COMPUTED_VALUE"""),"https://www.facebook.com/profile.php?id=100075051973694")</f>
        <v>https://www.facebook.com/profile.php?id=100075051973694</v>
      </c>
      <c r="B2463" s="1" t="str">
        <f>IFERROR(__xludf.DUMMYFUNCTION("""COMPUTED_VALUE"""),"Neneng Verrana")</f>
        <v>Neneng Verrana</v>
      </c>
      <c r="C2463" s="1" t="str">
        <f>IFERROR(__xludf.DUMMYFUNCTION("""COMPUTED_VALUE"""),"Neneng")</f>
        <v>Neneng</v>
      </c>
      <c r="D2463" s="1" t="str">
        <f>IFERROR(__xludf.DUMMYFUNCTION("""COMPUTED_VALUE"""),"Verrana")</f>
        <v>Verrana</v>
      </c>
      <c r="E2463" s="1" t="str">
        <f>IFERROR(__xludf.DUMMYFUNCTION("""COMPUTED_VALUE"""),"Rose RAnario collect it to the MOON.....")</f>
        <v>Rose RAnario collect it to the MOON.....</v>
      </c>
      <c r="F2463" s="1"/>
      <c r="G2463" s="1" t="str">
        <f>IFERROR(__xludf.DUMMYFUNCTION("""COMPUTED_VALUE"""),"3 mos")</f>
        <v>3 mos</v>
      </c>
      <c r="H2463" s="1" t="str">
        <f>IFERROR(__xludf.DUMMYFUNCTION("""COMPUTED_VALUE"""),"reply")</f>
        <v>reply</v>
      </c>
      <c r="I2463"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3" s="1" t="str">
        <f>IFERROR(__xludf.DUMMYFUNCTION("""COMPUTED_VALUE"""),"2022-07-04T15:50:11.825Z")</f>
        <v>2022-07-04T15:50:11.825Z</v>
      </c>
      <c r="K2463" s="1"/>
    </row>
    <row r="2464">
      <c r="A2464" s="2" t="str">
        <f>IFERROR(__xludf.DUMMYFUNCTION("""COMPUTED_VALUE"""),"https://www.facebook.com/gerly.amante1")</f>
        <v>https://www.facebook.com/gerly.amante1</v>
      </c>
      <c r="B2464" s="1" t="str">
        <f>IFERROR(__xludf.DUMMYFUNCTION("""COMPUTED_VALUE"""),"Joselyn Amante")</f>
        <v>Joselyn Amante</v>
      </c>
      <c r="C2464" s="1" t="str">
        <f>IFERROR(__xludf.DUMMYFUNCTION("""COMPUTED_VALUE"""),"Joselyn")</f>
        <v>Joselyn</v>
      </c>
      <c r="D2464" s="1" t="str">
        <f>IFERROR(__xludf.DUMMYFUNCTION("""COMPUTED_VALUE"""),"Amante")</f>
        <v>Amante</v>
      </c>
      <c r="E2464" s="1" t="str">
        <f>IFERROR(__xludf.DUMMYFUNCTION("""COMPUTED_VALUE"""),"Gising na gising ako kabayan... hindi ako tulog sa katotohanan sige nga asan ang resibo na ihahampas mo sa hintayin ko...")</f>
        <v>Gising na gising ako kabayan... hindi ako tulog sa katotohanan sige nga asan ang resibo na ihahampas mo sa hintayin ko...</v>
      </c>
      <c r="F2464" s="1"/>
      <c r="G2464" s="1" t="str">
        <f>IFERROR(__xludf.DUMMYFUNCTION("""COMPUTED_VALUE"""),"3 mos")</f>
        <v>3 mos</v>
      </c>
      <c r="H2464" s="1" t="str">
        <f>IFERROR(__xludf.DUMMYFUNCTION("""COMPUTED_VALUE"""),"reply")</f>
        <v>reply</v>
      </c>
      <c r="I2464"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4" s="1" t="str">
        <f>IFERROR(__xludf.DUMMYFUNCTION("""COMPUTED_VALUE"""),"2022-07-04T15:50:11.825Z")</f>
        <v>2022-07-04T15:50:11.825Z</v>
      </c>
      <c r="K2464" s="1"/>
    </row>
    <row r="2465">
      <c r="A2465" s="2" t="str">
        <f>IFERROR(__xludf.DUMMYFUNCTION("""COMPUTED_VALUE"""),"https://www.facebook.com/barry.taganas.7")</f>
        <v>https://www.facebook.com/barry.taganas.7</v>
      </c>
      <c r="B2465" s="1" t="str">
        <f>IFERROR(__xludf.DUMMYFUNCTION("""COMPUTED_VALUE"""),"Raul Moises")</f>
        <v>Raul Moises</v>
      </c>
      <c r="C2465" s="1" t="str">
        <f>IFERROR(__xludf.DUMMYFUNCTION("""COMPUTED_VALUE"""),"Raul")</f>
        <v>Raul</v>
      </c>
      <c r="D2465" s="1" t="str">
        <f>IFERROR(__xludf.DUMMYFUNCTION("""COMPUTED_VALUE"""),"Moises")</f>
        <v>Moises</v>
      </c>
      <c r="E2465" s="1" t="str">
        <f>IFERROR(__xludf.DUMMYFUNCTION("""COMPUTED_VALUE"""),"Rose RAnario updated po kayo sa katangahan")</f>
        <v>Rose RAnario updated po kayo sa katangahan</v>
      </c>
      <c r="F2465" s="1">
        <f>IFERROR(__xludf.DUMMYFUNCTION("""COMPUTED_VALUE"""),3.0)</f>
        <v>3</v>
      </c>
      <c r="G2465" s="1" t="str">
        <f>IFERROR(__xludf.DUMMYFUNCTION("""COMPUTED_VALUE"""),"3 mos")</f>
        <v>3 mos</v>
      </c>
      <c r="H2465" s="1" t="str">
        <f>IFERROR(__xludf.DUMMYFUNCTION("""COMPUTED_VALUE"""),"reply")</f>
        <v>reply</v>
      </c>
      <c r="I246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5" s="1" t="str">
        <f>IFERROR(__xludf.DUMMYFUNCTION("""COMPUTED_VALUE"""),"2022-07-04T15:50:11.825Z")</f>
        <v>2022-07-04T15:50:11.825Z</v>
      </c>
      <c r="K2465" s="1"/>
    </row>
    <row r="2466">
      <c r="A2466" s="2" t="str">
        <f>IFERROR(__xludf.DUMMYFUNCTION("""COMPUTED_VALUE"""),"https://www.facebook.com/violet.panuringan")</f>
        <v>https://www.facebook.com/violet.panuringan</v>
      </c>
      <c r="B2466" s="1" t="str">
        <f>IFERROR(__xludf.DUMMYFUNCTION("""COMPUTED_VALUE"""),"Vholet Lualhati Panuringan")</f>
        <v>Vholet Lualhati Panuringan</v>
      </c>
      <c r="C2466" s="1" t="str">
        <f>IFERROR(__xludf.DUMMYFUNCTION("""COMPUTED_VALUE"""),"Vholet")</f>
        <v>Vholet</v>
      </c>
      <c r="D2466" s="1" t="str">
        <f>IFERROR(__xludf.DUMMYFUNCTION("""COMPUTED_VALUE"""),"Lualhati Panuringan")</f>
        <v>Lualhati Panuringan</v>
      </c>
      <c r="E2466" s="1" t="str">
        <f>IFERROR(__xludf.DUMMYFUNCTION("""COMPUTED_VALUE"""),"Rose RAnario d p cla bayad100x")</f>
        <v>Rose RAnario d p cla bayad100x</v>
      </c>
      <c r="F2466" s="1"/>
      <c r="G2466" s="1" t="str">
        <f>IFERROR(__xludf.DUMMYFUNCTION("""COMPUTED_VALUE"""),"3 mos")</f>
        <v>3 mos</v>
      </c>
      <c r="H2466" s="1" t="str">
        <f>IFERROR(__xludf.DUMMYFUNCTION("""COMPUTED_VALUE"""),"reply")</f>
        <v>reply</v>
      </c>
      <c r="I246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6" s="1" t="str">
        <f>IFERROR(__xludf.DUMMYFUNCTION("""COMPUTED_VALUE"""),"2022-07-04T15:50:11.825Z")</f>
        <v>2022-07-04T15:50:11.825Z</v>
      </c>
      <c r="K2466" s="1"/>
    </row>
    <row r="2467">
      <c r="A2467" s="2" t="str">
        <f>IFERROR(__xludf.DUMMYFUNCTION("""COMPUTED_VALUE"""),"https://www.facebook.com/rolen.danque")</f>
        <v>https://www.facebook.com/rolen.danque</v>
      </c>
      <c r="B2467" s="1" t="str">
        <f>IFERROR(__xludf.DUMMYFUNCTION("""COMPUTED_VALUE"""),"Rolen Salandanan Danque")</f>
        <v>Rolen Salandanan Danque</v>
      </c>
      <c r="C2467" s="1" t="str">
        <f>IFERROR(__xludf.DUMMYFUNCTION("""COMPUTED_VALUE"""),"Rolen")</f>
        <v>Rolen</v>
      </c>
      <c r="D2467" s="1" t="str">
        <f>IFERROR(__xludf.DUMMYFUNCTION("""COMPUTED_VALUE"""),"Salandanan Danque")</f>
        <v>Salandanan Danque</v>
      </c>
      <c r="E2467" s="1" t="str">
        <f>IFERROR(__xludf.DUMMYFUNCTION("""COMPUTED_VALUE"""),"Rose RAnario madam saang planeta nyo nasagap ang balitang bayad na yan..gising npo ba kyo..updated daw 🤣🤣🤣")</f>
        <v>Rose RAnario madam saang planeta nyo nasagap ang balitang bayad na yan..gising npo ba kyo..updated daw 🤣🤣🤣</v>
      </c>
      <c r="F2467" s="1">
        <f>IFERROR(__xludf.DUMMYFUNCTION("""COMPUTED_VALUE"""),1.0)</f>
        <v>1</v>
      </c>
      <c r="G2467" s="1" t="str">
        <f>IFERROR(__xludf.DUMMYFUNCTION("""COMPUTED_VALUE"""),"3 mos")</f>
        <v>3 mos</v>
      </c>
      <c r="H2467" s="1" t="str">
        <f>IFERROR(__xludf.DUMMYFUNCTION("""COMPUTED_VALUE"""),"reply")</f>
        <v>reply</v>
      </c>
      <c r="I2467"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7" s="1" t="str">
        <f>IFERROR(__xludf.DUMMYFUNCTION("""COMPUTED_VALUE"""),"2022-07-04T15:50:11.826Z")</f>
        <v>2022-07-04T15:50:11.826Z</v>
      </c>
      <c r="K2467" s="1"/>
    </row>
    <row r="2468">
      <c r="A2468" s="2" t="str">
        <f>IFERROR(__xludf.DUMMYFUNCTION("""COMPUTED_VALUE"""),"https://www.facebook.com/profile.php?id=100061205663342")</f>
        <v>https://www.facebook.com/profile.php?id=100061205663342</v>
      </c>
      <c r="B2468" s="1" t="str">
        <f>IFERROR(__xludf.DUMMYFUNCTION("""COMPUTED_VALUE"""),"Ernesto Perez")</f>
        <v>Ernesto Perez</v>
      </c>
      <c r="C2468" s="1" t="str">
        <f>IFERROR(__xludf.DUMMYFUNCTION("""COMPUTED_VALUE"""),"Ernesto")</f>
        <v>Ernesto</v>
      </c>
      <c r="D2468" s="1" t="str">
        <f>IFERROR(__xludf.DUMMYFUNCTION("""COMPUTED_VALUE"""),"Perez")</f>
        <v>Perez</v>
      </c>
      <c r="E2468" s="1" t="str">
        <f>IFERROR(__xludf.DUMMYFUNCTION("""COMPUTED_VALUE"""),"Rolen Salandanan Danque")</f>
        <v>Rolen Salandanan Danque</v>
      </c>
      <c r="F2468" s="1"/>
      <c r="G2468" s="1" t="str">
        <f>IFERROR(__xludf.DUMMYFUNCTION("""COMPUTED_VALUE"""),"3 mos")</f>
        <v>3 mos</v>
      </c>
      <c r="H2468" s="1" t="str">
        <f>IFERROR(__xludf.DUMMYFUNCTION("""COMPUTED_VALUE"""),"reply")</f>
        <v>reply</v>
      </c>
      <c r="I2468"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8" s="1" t="str">
        <f>IFERROR(__xludf.DUMMYFUNCTION("""COMPUTED_VALUE"""),"2022-07-04T15:50:11.826Z")</f>
        <v>2022-07-04T15:50:11.826Z</v>
      </c>
      <c r="K2468" s="1"/>
    </row>
    <row r="2469">
      <c r="A2469" s="2" t="str">
        <f>IFERROR(__xludf.DUMMYFUNCTION("""COMPUTED_VALUE"""),"https://www.facebook.com/ruben.musni")</f>
        <v>https://www.facebook.com/ruben.musni</v>
      </c>
      <c r="B2469" s="1" t="str">
        <f>IFERROR(__xludf.DUMMYFUNCTION("""COMPUTED_VALUE"""),"Ben M Espina")</f>
        <v>Ben M Espina</v>
      </c>
      <c r="C2469" s="1" t="str">
        <f>IFERROR(__xludf.DUMMYFUNCTION("""COMPUTED_VALUE"""),"Ben")</f>
        <v>Ben</v>
      </c>
      <c r="D2469" s="1" t="str">
        <f>IFERROR(__xludf.DUMMYFUNCTION("""COMPUTED_VALUE"""),"M Espina")</f>
        <v>M Espina</v>
      </c>
      <c r="E2469" s="1" t="str">
        <f>IFERROR(__xludf.DUMMYFUNCTION("""COMPUTED_VALUE"""),"Yan 203 billion na yang issue hindi na yan papatok sa mamayan Pilipino! Alam na ng buong mundo kung ano ang totoo!")</f>
        <v>Yan 203 billion na yang issue hindi na yan papatok sa mamayan Pilipino! Alam na ng buong mundo kung ano ang totoo!</v>
      </c>
      <c r="F2469" s="1">
        <f>IFERROR(__xludf.DUMMYFUNCTION("""COMPUTED_VALUE"""),7.0)</f>
        <v>7</v>
      </c>
      <c r="G2469" s="1" t="str">
        <f>IFERROR(__xludf.DUMMYFUNCTION("""COMPUTED_VALUE"""),"3 mos")</f>
        <v>3 mos</v>
      </c>
      <c r="H2469" s="1" t="str">
        <f>IFERROR(__xludf.DUMMYFUNCTION("""COMPUTED_VALUE"""),"comment")</f>
        <v>comment</v>
      </c>
      <c r="I2469"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69" s="1" t="str">
        <f>IFERROR(__xludf.DUMMYFUNCTION("""COMPUTED_VALUE"""),"2022-07-04T15:50:11.826Z")</f>
        <v>2022-07-04T15:50:11.826Z</v>
      </c>
      <c r="K2469" s="1"/>
    </row>
    <row r="2470">
      <c r="A2470" s="2" t="str">
        <f>IFERROR(__xludf.DUMMYFUNCTION("""COMPUTED_VALUE"""),"https://www.facebook.com/abetsuarez")</f>
        <v>https://www.facebook.com/abetsuarez</v>
      </c>
      <c r="B2470" s="1" t="str">
        <f>IFERROR(__xludf.DUMMYFUNCTION("""COMPUTED_VALUE"""),"Abet Farin")</f>
        <v>Abet Farin</v>
      </c>
      <c r="C2470" s="1" t="str">
        <f>IFERROR(__xludf.DUMMYFUNCTION("""COMPUTED_VALUE"""),"Abet")</f>
        <v>Abet</v>
      </c>
      <c r="D2470" s="1" t="str">
        <f>IFERROR(__xludf.DUMMYFUNCTION("""COMPUTED_VALUE"""),"Farin")</f>
        <v>Farin</v>
      </c>
      <c r="E2470" s="1" t="str">
        <f>IFERROR(__xludf.DUMMYFUNCTION("""COMPUTED_VALUE"""),"Kau ang dapat ifact check hahaha")</f>
        <v>Kau ang dapat ifact check hahaha</v>
      </c>
      <c r="F2470" s="1">
        <f>IFERROR(__xludf.DUMMYFUNCTION("""COMPUTED_VALUE"""),7.0)</f>
        <v>7</v>
      </c>
      <c r="G2470" s="1" t="str">
        <f>IFERROR(__xludf.DUMMYFUNCTION("""COMPUTED_VALUE"""),"3 mos")</f>
        <v>3 mos</v>
      </c>
      <c r="H2470" s="1" t="str">
        <f>IFERROR(__xludf.DUMMYFUNCTION("""COMPUTED_VALUE"""),"comment")</f>
        <v>comment</v>
      </c>
      <c r="I2470"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0" s="1" t="str">
        <f>IFERROR(__xludf.DUMMYFUNCTION("""COMPUTED_VALUE"""),"2022-07-04T15:50:11.826Z")</f>
        <v>2022-07-04T15:50:11.826Z</v>
      </c>
      <c r="K2470" s="1"/>
    </row>
    <row r="2471">
      <c r="A2471" s="2" t="str">
        <f>IFERROR(__xludf.DUMMYFUNCTION("""COMPUTED_VALUE"""),"https://www.facebook.com/carlos.ligan")</f>
        <v>https://www.facebook.com/carlos.ligan</v>
      </c>
      <c r="B2471" s="1" t="str">
        <f>IFERROR(__xludf.DUMMYFUNCTION("""COMPUTED_VALUE"""),"Carlos Ligan")</f>
        <v>Carlos Ligan</v>
      </c>
      <c r="C2471" s="1" t="str">
        <f>IFERROR(__xludf.DUMMYFUNCTION("""COMPUTED_VALUE"""),"Carlos")</f>
        <v>Carlos</v>
      </c>
      <c r="D2471" s="1" t="str">
        <f>IFERROR(__xludf.DUMMYFUNCTION("""COMPUTED_VALUE"""),"Ligan")</f>
        <v>Ligan</v>
      </c>
      <c r="E2471" s="1" t="str">
        <f>IFERROR(__xludf.DUMMYFUNCTION("""COMPUTED_VALUE"""),"I hate partisan media. They are of Cabals.")</f>
        <v>I hate partisan media. They are of Cabals.</v>
      </c>
      <c r="F2471" s="1"/>
      <c r="G2471" s="1" t="str">
        <f>IFERROR(__xludf.DUMMYFUNCTION("""COMPUTED_VALUE"""),"3 mos")</f>
        <v>3 mos</v>
      </c>
      <c r="H2471" s="1" t="str">
        <f>IFERROR(__xludf.DUMMYFUNCTION("""COMPUTED_VALUE"""),"comment")</f>
        <v>comment</v>
      </c>
      <c r="I2471"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1" s="1" t="str">
        <f>IFERROR(__xludf.DUMMYFUNCTION("""COMPUTED_VALUE"""),"2022-07-04T15:50:11.826Z")</f>
        <v>2022-07-04T15:50:11.826Z</v>
      </c>
      <c r="K2471" s="1"/>
    </row>
    <row r="2472">
      <c r="A2472" s="2" t="str">
        <f>IFERROR(__xludf.DUMMYFUNCTION("""COMPUTED_VALUE"""),"https://www.facebook.com/melinda.santelices")</f>
        <v>https://www.facebook.com/melinda.santelices</v>
      </c>
      <c r="B2472" s="1" t="str">
        <f>IFERROR(__xludf.DUMMYFUNCTION("""COMPUTED_VALUE"""),"Melinda Santelices")</f>
        <v>Melinda Santelices</v>
      </c>
      <c r="C2472" s="1" t="str">
        <f>IFERROR(__xludf.DUMMYFUNCTION("""COMPUTED_VALUE"""),"Melinda")</f>
        <v>Melinda</v>
      </c>
      <c r="D2472" s="1" t="str">
        <f>IFERROR(__xludf.DUMMYFUNCTION("""COMPUTED_VALUE"""),"Santelices")</f>
        <v>Santelices</v>
      </c>
      <c r="E2472" s="1" t="str">
        <f>IFERROR(__xludf.DUMMYFUNCTION("""COMPUTED_VALUE"""),"Bayad na please, MAKATULONG pa SA NASA laylayan na Pilipino")</f>
        <v>Bayad na please, MAKATULONG pa SA NASA laylayan na Pilipino</v>
      </c>
      <c r="F2472" s="1">
        <f>IFERROR(__xludf.DUMMYFUNCTION("""COMPUTED_VALUE"""),12.0)</f>
        <v>12</v>
      </c>
      <c r="G2472" s="1" t="str">
        <f>IFERROR(__xludf.DUMMYFUNCTION("""COMPUTED_VALUE"""),"3 mos")</f>
        <v>3 mos</v>
      </c>
      <c r="H2472" s="1" t="str">
        <f>IFERROR(__xludf.DUMMYFUNCTION("""COMPUTED_VALUE"""),"comment")</f>
        <v>comment</v>
      </c>
      <c r="I2472"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2" s="1" t="str">
        <f>IFERROR(__xludf.DUMMYFUNCTION("""COMPUTED_VALUE"""),"2022-07-04T15:50:11.826Z")</f>
        <v>2022-07-04T15:50:11.826Z</v>
      </c>
      <c r="K2472" s="1"/>
    </row>
    <row r="2473">
      <c r="A2473" s="2" t="str">
        <f>IFERROR(__xludf.DUMMYFUNCTION("""COMPUTED_VALUE"""),"https://www.facebook.com/pinedaRuda")</f>
        <v>https://www.facebook.com/pinedaRuda</v>
      </c>
      <c r="B2473" s="1" t="str">
        <f>IFERROR(__xludf.DUMMYFUNCTION("""COMPUTED_VALUE"""),"Leena Pineda")</f>
        <v>Leena Pineda</v>
      </c>
      <c r="C2473" s="1" t="str">
        <f>IFERROR(__xludf.DUMMYFUNCTION("""COMPUTED_VALUE"""),"Leena")</f>
        <v>Leena</v>
      </c>
      <c r="D2473" s="1" t="str">
        <f>IFERROR(__xludf.DUMMYFUNCTION("""COMPUTED_VALUE"""),"Pineda")</f>
        <v>Pineda</v>
      </c>
      <c r="E2473" s="1" t="str">
        <f>IFERROR(__xludf.DUMMYFUNCTION("""COMPUTED_VALUE"""),"Ericka Chan Racelis sino nagbalita sa inyo? Ung mga bloggers na puro edited videos? Hindi titirahin mayat maya ng mainstream media yan kung bayad na yan. Ayaw nga magbayad kaya gusto mag presidente para lusot na sa lahat ng kaso")</f>
        <v>Ericka Chan Racelis sino nagbalita sa inyo? Ung mga bloggers na puro edited videos? Hindi titirahin mayat maya ng mainstream media yan kung bayad na yan. Ayaw nga magbayad kaya gusto mag presidente para lusot na sa lahat ng kaso</v>
      </c>
      <c r="F2473" s="1"/>
      <c r="G2473" s="1" t="str">
        <f>IFERROR(__xludf.DUMMYFUNCTION("""COMPUTED_VALUE"""),"3 mos")</f>
        <v>3 mos</v>
      </c>
      <c r="H2473" s="1" t="str">
        <f>IFERROR(__xludf.DUMMYFUNCTION("""COMPUTED_VALUE"""),"reply")</f>
        <v>reply</v>
      </c>
      <c r="I2473"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3" s="1" t="str">
        <f>IFERROR(__xludf.DUMMYFUNCTION("""COMPUTED_VALUE"""),"2022-07-04T15:50:11.826Z")</f>
        <v>2022-07-04T15:50:11.826Z</v>
      </c>
      <c r="K2473" s="1"/>
    </row>
    <row r="2474">
      <c r="A2474" s="2" t="str">
        <f>IFERROR(__xludf.DUMMYFUNCTION("""COMPUTED_VALUE"""),"https://www.facebook.com/pangetkoh30")</f>
        <v>https://www.facebook.com/pangetkoh30</v>
      </c>
      <c r="B2474" s="1" t="str">
        <f>IFERROR(__xludf.DUMMYFUNCTION("""COMPUTED_VALUE"""),"Ericka Chan Racelis")</f>
        <v>Ericka Chan Racelis</v>
      </c>
      <c r="C2474" s="1" t="str">
        <f>IFERROR(__xludf.DUMMYFUNCTION("""COMPUTED_VALUE"""),"Ericka")</f>
        <v>Ericka</v>
      </c>
      <c r="D2474" s="1" t="str">
        <f>IFERROR(__xludf.DUMMYFUNCTION("""COMPUTED_VALUE"""),"Chan Racelis")</f>
        <v>Chan Racelis</v>
      </c>
      <c r="E2474" s="1" t="str">
        <f>IFERROR(__xludf.DUMMYFUNCTION("""COMPUTED_VALUE"""),"check nyo sa tv patrol")</f>
        <v>check nyo sa tv patrol</v>
      </c>
      <c r="F2474" s="1"/>
      <c r="G2474" s="1" t="str">
        <f>IFERROR(__xludf.DUMMYFUNCTION("""COMPUTED_VALUE"""),"3 mos")</f>
        <v>3 mos</v>
      </c>
      <c r="H2474" s="1" t="str">
        <f>IFERROR(__xludf.DUMMYFUNCTION("""COMPUTED_VALUE"""),"reply")</f>
        <v>reply</v>
      </c>
      <c r="I2474"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4" s="1" t="str">
        <f>IFERROR(__xludf.DUMMYFUNCTION("""COMPUTED_VALUE"""),"2022-07-04T15:50:11.826Z")</f>
        <v>2022-07-04T15:50:11.826Z</v>
      </c>
      <c r="K2474" s="1"/>
    </row>
    <row r="2475">
      <c r="A2475" s="2" t="str">
        <f>IFERROR(__xludf.DUMMYFUNCTION("""COMPUTED_VALUE"""),"https://www.facebook.com/dawatanpaulo")</f>
        <v>https://www.facebook.com/dawatanpaulo</v>
      </c>
      <c r="B2475" s="1" t="str">
        <f>IFERROR(__xludf.DUMMYFUNCTION("""COMPUTED_VALUE"""),"Paulo Dawatan")</f>
        <v>Paulo Dawatan</v>
      </c>
      <c r="C2475" s="1" t="str">
        <f>IFERROR(__xludf.DUMMYFUNCTION("""COMPUTED_VALUE"""),"Paulo")</f>
        <v>Paulo</v>
      </c>
      <c r="D2475" s="1" t="str">
        <f>IFERROR(__xludf.DUMMYFUNCTION("""COMPUTED_VALUE"""),"Dawatan")</f>
        <v>Dawatan</v>
      </c>
      <c r="E2475" s="1" t="str">
        <f>IFERROR(__xludf.DUMMYFUNCTION("""COMPUTED_VALUE"""),"Melinda Santelices ikaw nalang Ang hinihintay Ng korte maam")</f>
        <v>Melinda Santelices ikaw nalang Ang hinihintay Ng korte maam</v>
      </c>
      <c r="F2475" s="1">
        <f>IFERROR(__xludf.DUMMYFUNCTION("""COMPUTED_VALUE"""),3.0)</f>
        <v>3</v>
      </c>
      <c r="G2475" s="1" t="str">
        <f>IFERROR(__xludf.DUMMYFUNCTION("""COMPUTED_VALUE"""),"3 mos")</f>
        <v>3 mos</v>
      </c>
      <c r="H2475" s="1" t="str">
        <f>IFERROR(__xludf.DUMMYFUNCTION("""COMPUTED_VALUE"""),"reply")</f>
        <v>reply</v>
      </c>
      <c r="I247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5" s="1" t="str">
        <f>IFERROR(__xludf.DUMMYFUNCTION("""COMPUTED_VALUE"""),"2022-07-04T15:50:11.826Z")</f>
        <v>2022-07-04T15:50:11.826Z</v>
      </c>
      <c r="K2475" s="1"/>
    </row>
    <row r="2476">
      <c r="A2476" s="2" t="str">
        <f>IFERROR(__xludf.DUMMYFUNCTION("""COMPUTED_VALUE"""),"https://www.facebook.com/melinda.santelices")</f>
        <v>https://www.facebook.com/melinda.santelices</v>
      </c>
      <c r="B2476" s="1" t="str">
        <f>IFERROR(__xludf.DUMMYFUNCTION("""COMPUTED_VALUE"""),"Melinda Santelices")</f>
        <v>Melinda Santelices</v>
      </c>
      <c r="C2476" s="1" t="str">
        <f>IFERROR(__xludf.DUMMYFUNCTION("""COMPUTED_VALUE"""),"Melinda")</f>
        <v>Melinda</v>
      </c>
      <c r="D2476" s="1" t="str">
        <f>IFERROR(__xludf.DUMMYFUNCTION("""COMPUTED_VALUE"""),"Santelices")</f>
        <v>Santelices</v>
      </c>
      <c r="E2476" s="1" t="str">
        <f>IFERROR(__xludf.DUMMYFUNCTION("""COMPUTED_VALUE"""),"Prince Paasa  IBIGAY PERA PARA SA MGA PILIPINO, P203 Bilyon mgbayad.")</f>
        <v>Prince Paasa  IBIGAY PERA PARA SA MGA PILIPINO, P203 Bilyon mgbayad.</v>
      </c>
      <c r="F2476" s="1">
        <f>IFERROR(__xludf.DUMMYFUNCTION("""COMPUTED_VALUE"""),1.0)</f>
        <v>1</v>
      </c>
      <c r="G2476" s="1" t="str">
        <f>IFERROR(__xludf.DUMMYFUNCTION("""COMPUTED_VALUE"""),"3 mos")</f>
        <v>3 mos</v>
      </c>
      <c r="H2476" s="1" t="str">
        <f>IFERROR(__xludf.DUMMYFUNCTION("""COMPUTED_VALUE"""),"reply")</f>
        <v>reply</v>
      </c>
      <c r="I247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6" s="1" t="str">
        <f>IFERROR(__xludf.DUMMYFUNCTION("""COMPUTED_VALUE"""),"2022-07-04T15:50:11.826Z")</f>
        <v>2022-07-04T15:50:11.826Z</v>
      </c>
      <c r="K2476" s="1"/>
    </row>
    <row r="2477">
      <c r="A2477" s="2" t="str">
        <f>IFERROR(__xludf.DUMMYFUNCTION("""COMPUTED_VALUE"""),"https://www.facebook.com/melinda.santelices")</f>
        <v>https://www.facebook.com/melinda.santelices</v>
      </c>
      <c r="B2477" s="1" t="str">
        <f>IFERROR(__xludf.DUMMYFUNCTION("""COMPUTED_VALUE"""),"Melinda Santelices")</f>
        <v>Melinda Santelices</v>
      </c>
      <c r="C2477" s="1" t="str">
        <f>IFERROR(__xludf.DUMMYFUNCTION("""COMPUTED_VALUE"""),"Melinda")</f>
        <v>Melinda</v>
      </c>
      <c r="D2477" s="1" t="str">
        <f>IFERROR(__xludf.DUMMYFUNCTION("""COMPUTED_VALUE"""),"Santelices")</f>
        <v>Santelices</v>
      </c>
      <c r="E2477" s="1" t="str">
        <f>IFERROR(__xludf.DUMMYFUNCTION("""COMPUTED_VALUE"""),"Ericka Chan Racelis IN YOUR DREAMS WAG KONSINTIHIN ANG MAGNA CUMLAUDE SA PAGNANAKAW")</f>
        <v>Ericka Chan Racelis IN YOUR DREAMS WAG KONSINTIHIN ANG MAGNA CUMLAUDE SA PAGNANAKAW</v>
      </c>
      <c r="F2477" s="1">
        <f>IFERROR(__xludf.DUMMYFUNCTION("""COMPUTED_VALUE"""),1.0)</f>
        <v>1</v>
      </c>
      <c r="G2477" s="1" t="str">
        <f>IFERROR(__xludf.DUMMYFUNCTION("""COMPUTED_VALUE"""),"3 mos")</f>
        <v>3 mos</v>
      </c>
      <c r="H2477" s="1" t="str">
        <f>IFERROR(__xludf.DUMMYFUNCTION("""COMPUTED_VALUE"""),"reply")</f>
        <v>reply</v>
      </c>
      <c r="I2477"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7" s="1" t="str">
        <f>IFERROR(__xludf.DUMMYFUNCTION("""COMPUTED_VALUE"""),"2022-07-04T15:50:11.826Z")</f>
        <v>2022-07-04T15:50:11.826Z</v>
      </c>
      <c r="K2477" s="1"/>
    </row>
    <row r="2478">
      <c r="A2478" s="2" t="str">
        <f>IFERROR(__xludf.DUMMYFUNCTION("""COMPUTED_VALUE"""),"https://www.facebook.com/pangetkoh30")</f>
        <v>https://www.facebook.com/pangetkoh30</v>
      </c>
      <c r="B2478" s="1" t="str">
        <f>IFERROR(__xludf.DUMMYFUNCTION("""COMPUTED_VALUE"""),"Ericka Chan Racelis")</f>
        <v>Ericka Chan Racelis</v>
      </c>
      <c r="C2478" s="1" t="str">
        <f>IFERROR(__xludf.DUMMYFUNCTION("""COMPUTED_VALUE"""),"Ericka")</f>
        <v>Ericka</v>
      </c>
      <c r="D2478" s="1" t="str">
        <f>IFERROR(__xludf.DUMMYFUNCTION("""COMPUTED_VALUE"""),"Chan Racelis")</f>
        <v>Chan Racelis</v>
      </c>
      <c r="E2478" s="1" t="str">
        <f>IFERROR(__xludf.DUMMYFUNCTION("""COMPUTED_VALUE"""),"Melinda Santelices sinasabi mo ? kulelat na manok nyo")</f>
        <v>Melinda Santelices sinasabi mo ? kulelat na manok nyo</v>
      </c>
      <c r="F2478" s="1"/>
      <c r="G2478" s="1" t="str">
        <f>IFERROR(__xludf.DUMMYFUNCTION("""COMPUTED_VALUE"""),"3 mos")</f>
        <v>3 mos</v>
      </c>
      <c r="H2478" s="1" t="str">
        <f>IFERROR(__xludf.DUMMYFUNCTION("""COMPUTED_VALUE"""),"reply")</f>
        <v>reply</v>
      </c>
      <c r="I2478"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8" s="1" t="str">
        <f>IFERROR(__xludf.DUMMYFUNCTION("""COMPUTED_VALUE"""),"2022-07-04T15:50:11.826Z")</f>
        <v>2022-07-04T15:50:11.826Z</v>
      </c>
      <c r="K2478" s="1"/>
    </row>
    <row r="2479">
      <c r="A2479" s="2" t="str">
        <f>IFERROR(__xludf.DUMMYFUNCTION("""COMPUTED_VALUE"""),"https://www.facebook.com/pangetkoh30")</f>
        <v>https://www.facebook.com/pangetkoh30</v>
      </c>
      <c r="B2479" s="1" t="str">
        <f>IFERROR(__xludf.DUMMYFUNCTION("""COMPUTED_VALUE"""),"Ericka Chan Racelis")</f>
        <v>Ericka Chan Racelis</v>
      </c>
      <c r="C2479" s="1" t="str">
        <f>IFERROR(__xludf.DUMMYFUNCTION("""COMPUTED_VALUE"""),"Ericka")</f>
        <v>Ericka</v>
      </c>
      <c r="D2479" s="1" t="str">
        <f>IFERROR(__xludf.DUMMYFUNCTION("""COMPUTED_VALUE"""),"Chan Racelis")</f>
        <v>Chan Racelis</v>
      </c>
      <c r="E2479" s="1" t="str">
        <f>IFERROR(__xludf.DUMMYFUNCTION("""COMPUTED_VALUE"""),"Melinda Santelices tutal alam mo lahat edi mag star witness ka alam mo pala lahat eh mag sampa ka ng kaso di yung puro ka kuda")</f>
        <v>Melinda Santelices tutal alam mo lahat edi mag star witness ka alam mo pala lahat eh mag sampa ka ng kaso di yung puro ka kuda</v>
      </c>
      <c r="F2479" s="1"/>
      <c r="G2479" s="1" t="str">
        <f>IFERROR(__xludf.DUMMYFUNCTION("""COMPUTED_VALUE"""),"3 mos")</f>
        <v>3 mos</v>
      </c>
      <c r="H2479" s="1" t="str">
        <f>IFERROR(__xludf.DUMMYFUNCTION("""COMPUTED_VALUE"""),"reply")</f>
        <v>reply</v>
      </c>
      <c r="I2479"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79" s="1" t="str">
        <f>IFERROR(__xludf.DUMMYFUNCTION("""COMPUTED_VALUE"""),"2022-07-04T15:50:11.826Z")</f>
        <v>2022-07-04T15:50:11.826Z</v>
      </c>
      <c r="K2479" s="1"/>
    </row>
    <row r="2480">
      <c r="A2480" s="2" t="str">
        <f>IFERROR(__xludf.DUMMYFUNCTION("""COMPUTED_VALUE"""),"https://www.facebook.com/melinda.santelices")</f>
        <v>https://www.facebook.com/melinda.santelices</v>
      </c>
      <c r="B2480" s="1" t="str">
        <f>IFERROR(__xludf.DUMMYFUNCTION("""COMPUTED_VALUE"""),"Melinda Santelices")</f>
        <v>Melinda Santelices</v>
      </c>
      <c r="C2480" s="1" t="str">
        <f>IFERROR(__xludf.DUMMYFUNCTION("""COMPUTED_VALUE"""),"Melinda")</f>
        <v>Melinda</v>
      </c>
      <c r="D2480" s="1" t="str">
        <f>IFERROR(__xludf.DUMMYFUNCTION("""COMPUTED_VALUE"""),"Santelices")</f>
        <v>Santelices</v>
      </c>
      <c r="E2480" s="1" t="str">
        <f>IFERROR(__xludf.DUMMYFUNCTION("""COMPUTED_VALUE"""),"Ericka Chan Racelis  let  us wait and see bka manok mo MAKULONG GALINGAN NYO ha...")</f>
        <v>Ericka Chan Racelis  let  us wait and see bka manok mo MAKULONG GALINGAN NYO ha...</v>
      </c>
      <c r="F2480" s="1">
        <f>IFERROR(__xludf.DUMMYFUNCTION("""COMPUTED_VALUE"""),1.0)</f>
        <v>1</v>
      </c>
      <c r="G2480" s="1" t="str">
        <f>IFERROR(__xludf.DUMMYFUNCTION("""COMPUTED_VALUE"""),"3 mos")</f>
        <v>3 mos</v>
      </c>
      <c r="H2480" s="1" t="str">
        <f>IFERROR(__xludf.DUMMYFUNCTION("""COMPUTED_VALUE"""),"reply")</f>
        <v>reply</v>
      </c>
      <c r="I2480"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0" s="1" t="str">
        <f>IFERROR(__xludf.DUMMYFUNCTION("""COMPUTED_VALUE"""),"2022-07-04T15:50:11.826Z")</f>
        <v>2022-07-04T15:50:11.826Z</v>
      </c>
      <c r="K2480" s="1"/>
    </row>
    <row r="2481">
      <c r="A2481" s="2" t="str">
        <f>IFERROR(__xludf.DUMMYFUNCTION("""COMPUTED_VALUE"""),"https://www.facebook.com/rebecca.teodoro.79")</f>
        <v>https://www.facebook.com/rebecca.teodoro.79</v>
      </c>
      <c r="B2481" s="1" t="str">
        <f>IFERROR(__xludf.DUMMYFUNCTION("""COMPUTED_VALUE"""),"Rebecca Teodoro")</f>
        <v>Rebecca Teodoro</v>
      </c>
      <c r="C2481" s="1" t="str">
        <f>IFERROR(__xludf.DUMMYFUNCTION("""COMPUTED_VALUE"""),"Rebecca")</f>
        <v>Rebecca</v>
      </c>
      <c r="D2481" s="1" t="str">
        <f>IFERROR(__xludf.DUMMYFUNCTION("""COMPUTED_VALUE"""),"Teodoro")</f>
        <v>Teodoro</v>
      </c>
      <c r="E2481" s="1" t="str">
        <f>IFERROR(__xludf.DUMMYFUNCTION("""COMPUTED_VALUE"""),"Melinda Santelices hinihintay po kayo sa Korte para tumistigo hahhaa")</f>
        <v>Melinda Santelices hinihintay po kayo sa Korte para tumistigo hahhaa</v>
      </c>
      <c r="F2481" s="1"/>
      <c r="G2481" s="1" t="str">
        <f>IFERROR(__xludf.DUMMYFUNCTION("""COMPUTED_VALUE"""),"3 mos")</f>
        <v>3 mos</v>
      </c>
      <c r="H2481" s="1" t="str">
        <f>IFERROR(__xludf.DUMMYFUNCTION("""COMPUTED_VALUE"""),"reply")</f>
        <v>reply</v>
      </c>
      <c r="I2481"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1" s="1" t="str">
        <f>IFERROR(__xludf.DUMMYFUNCTION("""COMPUTED_VALUE"""),"2022-07-04T15:50:11.826Z")</f>
        <v>2022-07-04T15:50:11.826Z</v>
      </c>
      <c r="K2481" s="1"/>
    </row>
    <row r="2482">
      <c r="A2482" s="2" t="str">
        <f>IFERROR(__xludf.DUMMYFUNCTION("""COMPUTED_VALUE"""),"https://www.facebook.com/melinda.santelices")</f>
        <v>https://www.facebook.com/melinda.santelices</v>
      </c>
      <c r="B2482" s="1" t="str">
        <f>IFERROR(__xludf.DUMMYFUNCTION("""COMPUTED_VALUE"""),"Melinda Santelices")</f>
        <v>Melinda Santelices</v>
      </c>
      <c r="C2482" s="1" t="str">
        <f>IFERROR(__xludf.DUMMYFUNCTION("""COMPUTED_VALUE"""),"Melinda")</f>
        <v>Melinda</v>
      </c>
      <c r="D2482" s="1" t="str">
        <f>IFERROR(__xludf.DUMMYFUNCTION("""COMPUTED_VALUE"""),"Santelices")</f>
        <v>Santelices</v>
      </c>
      <c r="E2482" s="1" t="str">
        <f>IFERROR(__xludf.DUMMYFUNCTION("""COMPUTED_VALUE"""),"Rebecca Teodoro MARAMING Martial Law victims  na nilagyan Ng red tagged Ang tetestigo , d nila ko kylangan sapat na mga BIKTIMA Ng Martial Law. KABOBOHAN sagot mo sorry please may sense nman")</f>
        <v>Rebecca Teodoro MARAMING Martial Law victims  na nilagyan Ng red tagged Ang tetestigo , d nila ko kylangan sapat na mga BIKTIMA Ng Martial Law. KABOBOHAN sagot mo sorry please may sense nman</v>
      </c>
      <c r="F2482" s="1"/>
      <c r="G2482" s="1" t="str">
        <f>IFERROR(__xludf.DUMMYFUNCTION("""COMPUTED_VALUE"""),"3 mos")</f>
        <v>3 mos</v>
      </c>
      <c r="H2482" s="1" t="str">
        <f>IFERROR(__xludf.DUMMYFUNCTION("""COMPUTED_VALUE"""),"reply")</f>
        <v>reply</v>
      </c>
      <c r="I2482"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2" s="1" t="str">
        <f>IFERROR(__xludf.DUMMYFUNCTION("""COMPUTED_VALUE"""),"2022-07-04T15:50:11.826Z")</f>
        <v>2022-07-04T15:50:11.826Z</v>
      </c>
      <c r="K2482" s="1"/>
    </row>
    <row r="2483">
      <c r="A2483" s="2" t="str">
        <f>IFERROR(__xludf.DUMMYFUNCTION("""COMPUTED_VALUE"""),"https://www.facebook.com/elena.cayandag.71")</f>
        <v>https://www.facebook.com/elena.cayandag.71</v>
      </c>
      <c r="B2483" s="1" t="str">
        <f>IFERROR(__xludf.DUMMYFUNCTION("""COMPUTED_VALUE"""),"Elena Cayandag")</f>
        <v>Elena Cayandag</v>
      </c>
      <c r="C2483" s="1" t="str">
        <f>IFERROR(__xludf.DUMMYFUNCTION("""COMPUTED_VALUE"""),"Elena")</f>
        <v>Elena</v>
      </c>
      <c r="D2483" s="1" t="str">
        <f>IFERROR(__xludf.DUMMYFUNCTION("""COMPUTED_VALUE"""),"Cayandag")</f>
        <v>Cayandag</v>
      </c>
      <c r="E2483" s="1" t="str">
        <f>IFERROR(__xludf.DUMMYFUNCTION("""COMPUTED_VALUE"""),"Melinda Santelices kanila yon hindi para sa kahit kanino")</f>
        <v>Melinda Santelices kanila yon hindi para sa kahit kanino</v>
      </c>
      <c r="F2483" s="1"/>
      <c r="G2483" s="1" t="str">
        <f>IFERROR(__xludf.DUMMYFUNCTION("""COMPUTED_VALUE"""),"3 mos")</f>
        <v>3 mos</v>
      </c>
      <c r="H2483" s="1" t="str">
        <f>IFERROR(__xludf.DUMMYFUNCTION("""COMPUTED_VALUE"""),"reply")</f>
        <v>reply</v>
      </c>
      <c r="I2483"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3" s="1" t="str">
        <f>IFERROR(__xludf.DUMMYFUNCTION("""COMPUTED_VALUE"""),"2022-07-04T15:50:11.826Z")</f>
        <v>2022-07-04T15:50:11.826Z</v>
      </c>
      <c r="K2483" s="1"/>
    </row>
    <row r="2484">
      <c r="A2484" s="2" t="str">
        <f>IFERROR(__xludf.DUMMYFUNCTION("""COMPUTED_VALUE"""),"https://www.facebook.com/melinda.santelices")</f>
        <v>https://www.facebook.com/melinda.santelices</v>
      </c>
      <c r="B2484" s="1" t="str">
        <f>IFERROR(__xludf.DUMMYFUNCTION("""COMPUTED_VALUE"""),"Melinda Santelices")</f>
        <v>Melinda Santelices</v>
      </c>
      <c r="C2484" s="1" t="str">
        <f>IFERROR(__xludf.DUMMYFUNCTION("""COMPUTED_VALUE"""),"Melinda")</f>
        <v>Melinda</v>
      </c>
      <c r="D2484" s="1" t="str">
        <f>IFERROR(__xludf.DUMMYFUNCTION("""COMPUTED_VALUE"""),"Santelices")</f>
        <v>Santelices</v>
      </c>
      <c r="E2484" s="1" t="str">
        <f>IFERROR(__xludf.DUMMYFUNCTION("""COMPUTED_VALUE"""),"Elena Cayandag Yun pala bkit ka nakikisawsaw")</f>
        <v>Elena Cayandag Yun pala bkit ka nakikisawsaw</v>
      </c>
      <c r="F2484" s="1"/>
      <c r="G2484" s="1" t="str">
        <f>IFERROR(__xludf.DUMMYFUNCTION("""COMPUTED_VALUE"""),"3 mos")</f>
        <v>3 mos</v>
      </c>
      <c r="H2484" s="1" t="str">
        <f>IFERROR(__xludf.DUMMYFUNCTION("""COMPUTED_VALUE"""),"reply")</f>
        <v>reply</v>
      </c>
      <c r="I2484"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4" s="1" t="str">
        <f>IFERROR(__xludf.DUMMYFUNCTION("""COMPUTED_VALUE"""),"2022-07-04T15:50:11.826Z")</f>
        <v>2022-07-04T15:50:11.826Z</v>
      </c>
      <c r="K2484" s="1"/>
    </row>
    <row r="2485">
      <c r="A2485" s="2" t="str">
        <f>IFERROR(__xludf.DUMMYFUNCTION("""COMPUTED_VALUE"""),"https://www.facebook.com/bot.kohtoh")</f>
        <v>https://www.facebook.com/bot.kohtoh</v>
      </c>
      <c r="B2485" s="1" t="str">
        <f>IFERROR(__xludf.DUMMYFUNCTION("""COMPUTED_VALUE"""),"Bot Kohtoh")</f>
        <v>Bot Kohtoh</v>
      </c>
      <c r="C2485" s="1" t="str">
        <f>IFERROR(__xludf.DUMMYFUNCTION("""COMPUTED_VALUE"""),"Bot")</f>
        <v>Bot</v>
      </c>
      <c r="D2485" s="1" t="str">
        <f>IFERROR(__xludf.DUMMYFUNCTION("""COMPUTED_VALUE"""),"Kohtoh")</f>
        <v>Kohtoh</v>
      </c>
      <c r="E2485" s="1" t="str">
        <f>IFERROR(__xludf.DUMMYFUNCTION("""COMPUTED_VALUE"""),"LOL comprehension mo marvin ayusin mo.")</f>
        <v>LOL comprehension mo marvin ayusin mo.</v>
      </c>
      <c r="F2485" s="1"/>
      <c r="G2485" s="1" t="str">
        <f>IFERROR(__xludf.DUMMYFUNCTION("""COMPUTED_VALUE"""),"3 mos")</f>
        <v>3 mos</v>
      </c>
      <c r="H2485" s="1" t="str">
        <f>IFERROR(__xludf.DUMMYFUNCTION("""COMPUTED_VALUE"""),"reply")</f>
        <v>reply</v>
      </c>
      <c r="I248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5" s="1" t="str">
        <f>IFERROR(__xludf.DUMMYFUNCTION("""COMPUTED_VALUE"""),"2022-07-04T15:50:11.826Z")</f>
        <v>2022-07-04T15:50:11.826Z</v>
      </c>
      <c r="K2485" s="1"/>
    </row>
    <row r="2486">
      <c r="A2486" s="2" t="str">
        <f>IFERROR(__xludf.DUMMYFUNCTION("""COMPUTED_VALUE"""),"https://www.facebook.com/josiephine.pajunar")</f>
        <v>https://www.facebook.com/josiephine.pajunar</v>
      </c>
      <c r="B2486" s="1" t="str">
        <f>IFERROR(__xludf.DUMMYFUNCTION("""COMPUTED_VALUE"""),"Josiephine Pajunar")</f>
        <v>Josiephine Pajunar</v>
      </c>
      <c r="C2486" s="1" t="str">
        <f>IFERROR(__xludf.DUMMYFUNCTION("""COMPUTED_VALUE"""),"Josiephine")</f>
        <v>Josiephine</v>
      </c>
      <c r="D2486" s="1" t="str">
        <f>IFERROR(__xludf.DUMMYFUNCTION("""COMPUTED_VALUE"""),"Pajunar")</f>
        <v>Pajunar</v>
      </c>
      <c r="E2486" s="1" t="str">
        <f>IFERROR(__xludf.DUMMYFUNCTION("""COMPUTED_VALUE"""),"IYONG SABI NILA ILL GOTTEN WEALTH  WALA IYON!! TUNAY NASA KANILA IYON")</f>
        <v>IYONG SABI NILA ILL GOTTEN WEALTH  WALA IYON!! TUNAY NASA KANILA IYON</v>
      </c>
      <c r="F2486" s="1">
        <f>IFERROR(__xludf.DUMMYFUNCTION("""COMPUTED_VALUE"""),2.0)</f>
        <v>2</v>
      </c>
      <c r="G2486" s="1" t="str">
        <f>IFERROR(__xludf.DUMMYFUNCTION("""COMPUTED_VALUE"""),"3 mos")</f>
        <v>3 mos</v>
      </c>
      <c r="H2486" s="1" t="str">
        <f>IFERROR(__xludf.DUMMYFUNCTION("""COMPUTED_VALUE"""),"comment")</f>
        <v>comment</v>
      </c>
      <c r="I248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6" s="1" t="str">
        <f>IFERROR(__xludf.DUMMYFUNCTION("""COMPUTED_VALUE"""),"2022-07-04T15:50:11.826Z")</f>
        <v>2022-07-04T15:50:11.826Z</v>
      </c>
      <c r="K2486" s="1"/>
    </row>
    <row r="2487">
      <c r="A2487" s="2" t="str">
        <f>IFERROR(__xludf.DUMMYFUNCTION("""COMPUTED_VALUE"""),"https://www.facebook.com/melai.banirdag")</f>
        <v>https://www.facebook.com/melai.banirdag</v>
      </c>
      <c r="B2487" s="1" t="str">
        <f>IFERROR(__xludf.DUMMYFUNCTION("""COMPUTED_VALUE"""),"MeLbre GaDtu")</f>
        <v>MeLbre GaDtu</v>
      </c>
      <c r="C2487" s="1" t="str">
        <f>IFERROR(__xludf.DUMMYFUNCTION("""COMPUTED_VALUE"""),"MeLbre")</f>
        <v>MeLbre</v>
      </c>
      <c r="D2487" s="1" t="str">
        <f>IFERROR(__xludf.DUMMYFUNCTION("""COMPUTED_VALUE"""),"GaDtu")</f>
        <v>GaDtu</v>
      </c>
      <c r="E2487" s="1" t="str">
        <f>IFERROR(__xludf.DUMMYFUNCTION("""COMPUTED_VALUE"""),"Ok po.")</f>
        <v>Ok po.</v>
      </c>
      <c r="F2487" s="1"/>
      <c r="G2487" s="1" t="str">
        <f>IFERROR(__xludf.DUMMYFUNCTION("""COMPUTED_VALUE"""),"3 mos")</f>
        <v>3 mos</v>
      </c>
      <c r="H2487" s="1" t="str">
        <f>IFERROR(__xludf.DUMMYFUNCTION("""COMPUTED_VALUE"""),"comment")</f>
        <v>comment</v>
      </c>
      <c r="I2487"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7" s="1" t="str">
        <f>IFERROR(__xludf.DUMMYFUNCTION("""COMPUTED_VALUE"""),"2022-07-04T15:50:11.826Z")</f>
        <v>2022-07-04T15:50:11.826Z</v>
      </c>
      <c r="K2487" s="1"/>
    </row>
    <row r="2488">
      <c r="A2488" s="2" t="str">
        <f>IFERROR(__xludf.DUMMYFUNCTION("""COMPUTED_VALUE"""),"https://www.facebook.com/cel.servando")</f>
        <v>https://www.facebook.com/cel.servando</v>
      </c>
      <c r="B2488" s="1" t="str">
        <f>IFERROR(__xludf.DUMMYFUNCTION("""COMPUTED_VALUE"""),"Cecile Servando")</f>
        <v>Cecile Servando</v>
      </c>
      <c r="C2488" s="1" t="str">
        <f>IFERROR(__xludf.DUMMYFUNCTION("""COMPUTED_VALUE"""),"Cecile")</f>
        <v>Cecile</v>
      </c>
      <c r="D2488" s="1" t="str">
        <f>IFERROR(__xludf.DUMMYFUNCTION("""COMPUTED_VALUE"""),"Servando")</f>
        <v>Servando</v>
      </c>
      <c r="E2488" s="1" t="str">
        <f>IFERROR(__xludf.DUMMYFUNCTION("""COMPUTED_VALUE"""),"Ilusyon nyo lang yan😄")</f>
        <v>Ilusyon nyo lang yan😄</v>
      </c>
      <c r="F2488" s="1">
        <f>IFERROR(__xludf.DUMMYFUNCTION("""COMPUTED_VALUE"""),3.0)</f>
        <v>3</v>
      </c>
      <c r="G2488" s="1" t="str">
        <f>IFERROR(__xludf.DUMMYFUNCTION("""COMPUTED_VALUE"""),"3 mos")</f>
        <v>3 mos</v>
      </c>
      <c r="H2488" s="1" t="str">
        <f>IFERROR(__xludf.DUMMYFUNCTION("""COMPUTED_VALUE"""),"comment")</f>
        <v>comment</v>
      </c>
      <c r="I2488"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8" s="1" t="str">
        <f>IFERROR(__xludf.DUMMYFUNCTION("""COMPUTED_VALUE"""),"2022-07-04T15:50:11.826Z")</f>
        <v>2022-07-04T15:50:11.826Z</v>
      </c>
      <c r="K2488" s="1"/>
    </row>
    <row r="2489">
      <c r="A2489" s="2" t="str">
        <f>IFERROR(__xludf.DUMMYFUNCTION("""COMPUTED_VALUE"""),"https://www.facebook.com/raullongkoy.palad")</f>
        <v>https://www.facebook.com/raullongkoy.palad</v>
      </c>
      <c r="B2489" s="1" t="str">
        <f>IFERROR(__xludf.DUMMYFUNCTION("""COMPUTED_VALUE"""),"Raul Longkoy Castellano Palad")</f>
        <v>Raul Longkoy Castellano Palad</v>
      </c>
      <c r="C2489" s="1" t="str">
        <f>IFERROR(__xludf.DUMMYFUNCTION("""COMPUTED_VALUE"""),"Raul")</f>
        <v>Raul</v>
      </c>
      <c r="D2489" s="1" t="str">
        <f>IFERROR(__xludf.DUMMYFUNCTION("""COMPUTED_VALUE"""),"Longkoy Castellano Palad")</f>
        <v>Longkoy Castellano Palad</v>
      </c>
      <c r="E2489" s="1" t="str">
        <f>IFERROR(__xludf.DUMMYFUNCTION("""COMPUTED_VALUE"""),"Of course. Otherwise mabubura lahat ng kasalanan nila sa taumbayan!")</f>
        <v>Of course. Otherwise mabubura lahat ng kasalanan nila sa taumbayan!</v>
      </c>
      <c r="F2489" s="1"/>
      <c r="G2489" s="1" t="str">
        <f>IFERROR(__xludf.DUMMYFUNCTION("""COMPUTED_VALUE"""),"3 mos")</f>
        <v>3 mos</v>
      </c>
      <c r="H2489" s="1" t="str">
        <f>IFERROR(__xludf.DUMMYFUNCTION("""COMPUTED_VALUE"""),"comment")</f>
        <v>comment</v>
      </c>
      <c r="I2489"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89" s="1" t="str">
        <f>IFERROR(__xludf.DUMMYFUNCTION("""COMPUTED_VALUE"""),"2022-07-04T15:50:11.826Z")</f>
        <v>2022-07-04T15:50:11.826Z</v>
      </c>
      <c r="K2489" s="1"/>
    </row>
    <row r="2490">
      <c r="A2490" s="2" t="str">
        <f>IFERROR(__xludf.DUMMYFUNCTION("""COMPUTED_VALUE"""),"https://www.facebook.com/profile.php?id=100061205663342")</f>
        <v>https://www.facebook.com/profile.php?id=100061205663342</v>
      </c>
      <c r="B2490" s="1" t="str">
        <f>IFERROR(__xludf.DUMMYFUNCTION("""COMPUTED_VALUE"""),"Ernesto Perez")</f>
        <v>Ernesto Perez</v>
      </c>
      <c r="C2490" s="1" t="str">
        <f>IFERROR(__xludf.DUMMYFUNCTION("""COMPUTED_VALUE"""),"Ernesto")</f>
        <v>Ernesto</v>
      </c>
      <c r="D2490" s="1" t="str">
        <f>IFERROR(__xludf.DUMMYFUNCTION("""COMPUTED_VALUE"""),"Perez")</f>
        <v>Perez</v>
      </c>
      <c r="E2490" s="1" t="str">
        <f>IFERROR(__xludf.DUMMYFUNCTION("""COMPUTED_VALUE"""),"Kya pala wla cya sa debate nka tago sa culprit nkikinig lng ha ha ha the  joker president")</f>
        <v>Kya pala wla cya sa debate nka tago sa culprit nkikinig lng ha ha ha the  joker president</v>
      </c>
      <c r="F2490" s="1"/>
      <c r="G2490" s="1" t="str">
        <f>IFERROR(__xludf.DUMMYFUNCTION("""COMPUTED_VALUE"""),"3 mos")</f>
        <v>3 mos</v>
      </c>
      <c r="H2490" s="1" t="str">
        <f>IFERROR(__xludf.DUMMYFUNCTION("""COMPUTED_VALUE"""),"comment")</f>
        <v>comment</v>
      </c>
      <c r="I2490"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0" s="1" t="str">
        <f>IFERROR(__xludf.DUMMYFUNCTION("""COMPUTED_VALUE"""),"2022-07-04T15:50:11.826Z")</f>
        <v>2022-07-04T15:50:11.826Z</v>
      </c>
      <c r="K2490" s="1"/>
    </row>
    <row r="2491">
      <c r="A2491" s="2" t="str">
        <f>IFERROR(__xludf.DUMMYFUNCTION("""COMPUTED_VALUE"""),"https://www.facebook.com/roldan.lago.75")</f>
        <v>https://www.facebook.com/roldan.lago.75</v>
      </c>
      <c r="B2491" s="1" t="str">
        <f>IFERROR(__xludf.DUMMYFUNCTION("""COMPUTED_VALUE"""),"Roldan Lago")</f>
        <v>Roldan Lago</v>
      </c>
      <c r="C2491" s="1" t="str">
        <f>IFERROR(__xludf.DUMMYFUNCTION("""COMPUTED_VALUE"""),"Roldan")</f>
        <v>Roldan</v>
      </c>
      <c r="D2491" s="1" t="str">
        <f>IFERROR(__xludf.DUMMYFUNCTION("""COMPUTED_VALUE"""),"Lago")</f>
        <v>Lago</v>
      </c>
      <c r="E2491" s="1" t="str">
        <f>IFERROR(__xludf.DUMMYFUNCTION("""COMPUTED_VALUE"""),"bayad na yan wag na papansin")</f>
        <v>bayad na yan wag na papansin</v>
      </c>
      <c r="F2491" s="1">
        <f>IFERROR(__xludf.DUMMYFUNCTION("""COMPUTED_VALUE"""),9.0)</f>
        <v>9</v>
      </c>
      <c r="G2491" s="1" t="str">
        <f>IFERROR(__xludf.DUMMYFUNCTION("""COMPUTED_VALUE"""),"3 mos")</f>
        <v>3 mos</v>
      </c>
      <c r="H2491" s="1" t="str">
        <f>IFERROR(__xludf.DUMMYFUNCTION("""COMPUTED_VALUE"""),"comment")</f>
        <v>comment</v>
      </c>
      <c r="I2491"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1" s="1" t="str">
        <f>IFERROR(__xludf.DUMMYFUNCTION("""COMPUTED_VALUE"""),"2022-07-04T15:50:11.826Z")</f>
        <v>2022-07-04T15:50:11.826Z</v>
      </c>
      <c r="K2491" s="1"/>
    </row>
    <row r="2492">
      <c r="A2492" s="2" t="str">
        <f>IFERROR(__xludf.DUMMYFUNCTION("""COMPUTED_VALUE"""),"https://www.facebook.com/eduardeddie.rocabo")</f>
        <v>https://www.facebook.com/eduardeddie.rocabo</v>
      </c>
      <c r="B2492" s="1" t="str">
        <f>IFERROR(__xludf.DUMMYFUNCTION("""COMPUTED_VALUE"""),"Eddie Rcb")</f>
        <v>Eddie Rcb</v>
      </c>
      <c r="C2492" s="1" t="str">
        <f>IFERROR(__xludf.DUMMYFUNCTION("""COMPUTED_VALUE"""),"Eddie")</f>
        <v>Eddie</v>
      </c>
      <c r="D2492" s="1" t="str">
        <f>IFERROR(__xludf.DUMMYFUNCTION("""COMPUTED_VALUE"""),"Rcb")</f>
        <v>Rcb</v>
      </c>
      <c r="E2492" s="1" t="str">
        <f>IFERROR(__xludf.DUMMYFUNCTION("""COMPUTED_VALUE"""),"Roldan Lago link resibo?")</f>
        <v>Roldan Lago link resibo?</v>
      </c>
      <c r="F2492" s="1">
        <f>IFERROR(__xludf.DUMMYFUNCTION("""COMPUTED_VALUE"""),3.0)</f>
        <v>3</v>
      </c>
      <c r="G2492" s="1" t="str">
        <f>IFERROR(__xludf.DUMMYFUNCTION("""COMPUTED_VALUE"""),"3 mos")</f>
        <v>3 mos</v>
      </c>
      <c r="H2492" s="1" t="str">
        <f>IFERROR(__xludf.DUMMYFUNCTION("""COMPUTED_VALUE"""),"reply")</f>
        <v>reply</v>
      </c>
      <c r="I2492"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2" s="1" t="str">
        <f>IFERROR(__xludf.DUMMYFUNCTION("""COMPUTED_VALUE"""),"2022-07-04T15:50:11.826Z")</f>
        <v>2022-07-04T15:50:11.826Z</v>
      </c>
      <c r="K2492" s="1"/>
    </row>
    <row r="2493">
      <c r="A2493" s="2" t="str">
        <f>IFERROR(__xludf.DUMMYFUNCTION("""COMPUTED_VALUE"""),"https://www.facebook.com/tiu.ag")</f>
        <v>https://www.facebook.com/tiu.ag</v>
      </c>
      <c r="B2493" s="1" t="str">
        <f>IFERROR(__xludf.DUMMYFUNCTION("""COMPUTED_VALUE"""),"Kevin Tiu")</f>
        <v>Kevin Tiu</v>
      </c>
      <c r="C2493" s="1" t="str">
        <f>IFERROR(__xludf.DUMMYFUNCTION("""COMPUTED_VALUE"""),"Kevin")</f>
        <v>Kevin</v>
      </c>
      <c r="D2493" s="1" t="str">
        <f>IFERROR(__xludf.DUMMYFUNCTION("""COMPUTED_VALUE"""),"Tiu")</f>
        <v>Tiu</v>
      </c>
      <c r="E2493" s="1" t="str">
        <f>IFERROR(__xludf.DUMMYFUNCTION("""COMPUTED_VALUE"""),"Roldan Lago nasaan ung resibo na bayad na? Kung wala, cnungaling ka.")</f>
        <v>Roldan Lago nasaan ung resibo na bayad na? Kung wala, cnungaling ka.</v>
      </c>
      <c r="F2493" s="1">
        <f>IFERROR(__xludf.DUMMYFUNCTION("""COMPUTED_VALUE"""),5.0)</f>
        <v>5</v>
      </c>
      <c r="G2493" s="1" t="str">
        <f>IFERROR(__xludf.DUMMYFUNCTION("""COMPUTED_VALUE"""),"3 mos")</f>
        <v>3 mos</v>
      </c>
      <c r="H2493" s="1" t="str">
        <f>IFERROR(__xludf.DUMMYFUNCTION("""COMPUTED_VALUE"""),"reply")</f>
        <v>reply</v>
      </c>
      <c r="I2493"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3" s="1" t="str">
        <f>IFERROR(__xludf.DUMMYFUNCTION("""COMPUTED_VALUE"""),"2022-07-04T15:50:11.826Z")</f>
        <v>2022-07-04T15:50:11.826Z</v>
      </c>
      <c r="K2493" s="1"/>
    </row>
    <row r="2494">
      <c r="A2494" s="2" t="str">
        <f>IFERROR(__xludf.DUMMYFUNCTION("""COMPUTED_VALUE"""),"https://www.facebook.com/roldan.lago.75")</f>
        <v>https://www.facebook.com/roldan.lago.75</v>
      </c>
      <c r="B2494" s="1" t="str">
        <f>IFERROR(__xludf.DUMMYFUNCTION("""COMPUTED_VALUE"""),"Roldan Lago")</f>
        <v>Roldan Lago</v>
      </c>
      <c r="C2494" s="1" t="str">
        <f>IFERROR(__xludf.DUMMYFUNCTION("""COMPUTED_VALUE"""),"Roldan")</f>
        <v>Roldan</v>
      </c>
      <c r="D2494" s="1" t="str">
        <f>IFERROR(__xludf.DUMMYFUNCTION("""COMPUTED_VALUE"""),"Lago")</f>
        <v>Lago</v>
      </c>
      <c r="E2494" s="1" t="str">
        <f>IFERROR(__xludf.DUMMYFUNCTION("""COMPUTED_VALUE"""),"Kevin Tiu kayo san patunay nyo na nd nag bayad")</f>
        <v>Kevin Tiu kayo san patunay nyo na nd nag bayad</v>
      </c>
      <c r="F2494" s="1">
        <f>IFERROR(__xludf.DUMMYFUNCTION("""COMPUTED_VALUE"""),1.0)</f>
        <v>1</v>
      </c>
      <c r="G2494" s="1" t="str">
        <f>IFERROR(__xludf.DUMMYFUNCTION("""COMPUTED_VALUE"""),"3 mos")</f>
        <v>3 mos</v>
      </c>
      <c r="H2494" s="1" t="str">
        <f>IFERROR(__xludf.DUMMYFUNCTION("""COMPUTED_VALUE"""),"reply")</f>
        <v>reply</v>
      </c>
      <c r="I2494"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4" s="1" t="str">
        <f>IFERROR(__xludf.DUMMYFUNCTION("""COMPUTED_VALUE"""),"2022-07-04T15:50:11.826Z")</f>
        <v>2022-07-04T15:50:11.826Z</v>
      </c>
      <c r="K2494" s="1"/>
    </row>
    <row r="2495">
      <c r="A2495" s="2" t="str">
        <f>IFERROR(__xludf.DUMMYFUNCTION("""COMPUTED_VALUE"""),"https://www.facebook.com/roldan.lago.75")</f>
        <v>https://www.facebook.com/roldan.lago.75</v>
      </c>
      <c r="B2495" s="1" t="str">
        <f>IFERROR(__xludf.DUMMYFUNCTION("""COMPUTED_VALUE"""),"Roldan Lago")</f>
        <v>Roldan Lago</v>
      </c>
      <c r="C2495" s="1" t="str">
        <f>IFERROR(__xludf.DUMMYFUNCTION("""COMPUTED_VALUE"""),"Roldan")</f>
        <v>Roldan</v>
      </c>
      <c r="D2495" s="1" t="str">
        <f>IFERROR(__xludf.DUMMYFUNCTION("""COMPUTED_VALUE"""),"Lago")</f>
        <v>Lago</v>
      </c>
      <c r="E2495" s="1" t="str">
        <f>IFERROR(__xludf.DUMMYFUNCTION("""COMPUTED_VALUE"""),"pakita u")</f>
        <v>pakita u</v>
      </c>
      <c r="F2495" s="1"/>
      <c r="G2495" s="1" t="str">
        <f>IFERROR(__xludf.DUMMYFUNCTION("""COMPUTED_VALUE"""),"3 mos")</f>
        <v>3 mos</v>
      </c>
      <c r="H2495" s="1" t="str">
        <f>IFERROR(__xludf.DUMMYFUNCTION("""COMPUTED_VALUE"""),"reply")</f>
        <v>reply</v>
      </c>
      <c r="I249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5" s="1" t="str">
        <f>IFERROR(__xludf.DUMMYFUNCTION("""COMPUTED_VALUE"""),"2022-07-04T15:50:11.826Z")</f>
        <v>2022-07-04T15:50:11.826Z</v>
      </c>
      <c r="K2495" s="1"/>
    </row>
    <row r="2496">
      <c r="A2496" s="2" t="str">
        <f>IFERROR(__xludf.DUMMYFUNCTION("""COMPUTED_VALUE"""),"https://www.facebook.com/roldan.lago.75")</f>
        <v>https://www.facebook.com/roldan.lago.75</v>
      </c>
      <c r="B2496" s="1" t="str">
        <f>IFERROR(__xludf.DUMMYFUNCTION("""COMPUTED_VALUE"""),"Roldan Lago")</f>
        <v>Roldan Lago</v>
      </c>
      <c r="C2496" s="1" t="str">
        <f>IFERROR(__xludf.DUMMYFUNCTION("""COMPUTED_VALUE"""),"Roldan")</f>
        <v>Roldan</v>
      </c>
      <c r="D2496" s="1" t="str">
        <f>IFERROR(__xludf.DUMMYFUNCTION("""COMPUTED_VALUE"""),"Lago")</f>
        <v>Lago</v>
      </c>
      <c r="E2496" s="1" t="str">
        <f>IFERROR(__xludf.DUMMYFUNCTION("""COMPUTED_VALUE"""),"Kevin Tiu anu ilabas u")</f>
        <v>Kevin Tiu anu ilabas u</v>
      </c>
      <c r="F2496" s="1"/>
      <c r="G2496" s="1" t="str">
        <f>IFERROR(__xludf.DUMMYFUNCTION("""COMPUTED_VALUE"""),"3 mos")</f>
        <v>3 mos</v>
      </c>
      <c r="H2496" s="1" t="str">
        <f>IFERROR(__xludf.DUMMYFUNCTION("""COMPUTED_VALUE"""),"reply")</f>
        <v>reply</v>
      </c>
      <c r="I249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6" s="1" t="str">
        <f>IFERROR(__xludf.DUMMYFUNCTION("""COMPUTED_VALUE"""),"2022-07-04T15:50:11.826Z")</f>
        <v>2022-07-04T15:50:11.826Z</v>
      </c>
      <c r="K2496" s="1"/>
    </row>
    <row r="2497">
      <c r="A2497" s="2" t="str">
        <f>IFERROR(__xludf.DUMMYFUNCTION("""COMPUTED_VALUE"""),"https://www.facebook.com/tiu.ag")</f>
        <v>https://www.facebook.com/tiu.ag</v>
      </c>
      <c r="B2497" s="1" t="str">
        <f>IFERROR(__xludf.DUMMYFUNCTION("""COMPUTED_VALUE"""),"Kevin Tiu")</f>
        <v>Kevin Tiu</v>
      </c>
      <c r="C2497" s="1" t="str">
        <f>IFERROR(__xludf.DUMMYFUNCTION("""COMPUTED_VALUE"""),"Kevin")</f>
        <v>Kevin</v>
      </c>
      <c r="D2497" s="1" t="str">
        <f>IFERROR(__xludf.DUMMYFUNCTION("""COMPUTED_VALUE"""),"Tiu")</f>
        <v>Tiu</v>
      </c>
      <c r="E2497" s="1" t="str">
        <f>IFERROR(__xludf.DUMMYFUNCTION("""COMPUTED_VALUE"""),"Roldan Lago Sige send mo link mo. Gusto ko makita kung gaano ka kagago")</f>
        <v>Roldan Lago Sige send mo link mo. Gusto ko makita kung gaano ka kagago</v>
      </c>
      <c r="F2497" s="1"/>
      <c r="G2497" s="1" t="str">
        <f>IFERROR(__xludf.DUMMYFUNCTION("""COMPUTED_VALUE"""),"3 mos")</f>
        <v>3 mos</v>
      </c>
      <c r="H2497" s="1" t="str">
        <f>IFERROR(__xludf.DUMMYFUNCTION("""COMPUTED_VALUE"""),"reply")</f>
        <v>reply</v>
      </c>
      <c r="I2497"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7" s="1" t="str">
        <f>IFERROR(__xludf.DUMMYFUNCTION("""COMPUTED_VALUE"""),"2022-07-04T15:50:11.826Z")</f>
        <v>2022-07-04T15:50:11.826Z</v>
      </c>
      <c r="K2497" s="1"/>
    </row>
    <row r="2498">
      <c r="A2498" s="2" t="str">
        <f>IFERROR(__xludf.DUMMYFUNCTION("""COMPUTED_VALUE"""),"https://www.facebook.com/Bosx.Mikel")</f>
        <v>https://www.facebook.com/Bosx.Mikel</v>
      </c>
      <c r="B2498" s="1" t="str">
        <f>IFERROR(__xludf.DUMMYFUNCTION("""COMPUTED_VALUE"""),"Barbosa Mike")</f>
        <v>Barbosa Mike</v>
      </c>
      <c r="C2498" s="1" t="str">
        <f>IFERROR(__xludf.DUMMYFUNCTION("""COMPUTED_VALUE"""),"Barbosa")</f>
        <v>Barbosa</v>
      </c>
      <c r="D2498" s="1" t="str">
        <f>IFERROR(__xludf.DUMMYFUNCTION("""COMPUTED_VALUE"""),"Mike")</f>
        <v>Mike</v>
      </c>
      <c r="E2498" s="1" t="str">
        <f>IFERROR(__xludf.DUMMYFUNCTION("""COMPUTED_VALUE"""),"Kevin Tiu Pakulong nyo Kung di bayad di yung kuda kayo ng kuda wla nmng ginagawa puro magagaling babawiin pwee! Nung Nkaupo nga sya bilang VP ni di nya ininteresan na bawiin ngaun lakas lakas ng loob maningil purket eleksyon kala nmn nya ikakapanalo nya !")</f>
        <v>Kevin Tiu Pakulong nyo Kung di bayad di yung kuda kayo ng kuda wla nmng ginagawa puro magagaling babawiin pwee! Nung Nkaupo nga sya bilang VP ni di nya ininteresan na bawiin ngaun lakas lakas ng loob maningil purket eleksyon kala nmn nya ikakapanalo nya !</v>
      </c>
      <c r="F2498" s="1"/>
      <c r="G2498" s="1" t="str">
        <f>IFERROR(__xludf.DUMMYFUNCTION("""COMPUTED_VALUE"""),"3 mos")</f>
        <v>3 mos</v>
      </c>
      <c r="H2498" s="1" t="str">
        <f>IFERROR(__xludf.DUMMYFUNCTION("""COMPUTED_VALUE"""),"reply")</f>
        <v>reply</v>
      </c>
      <c r="I2498"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8" s="1" t="str">
        <f>IFERROR(__xludf.DUMMYFUNCTION("""COMPUTED_VALUE"""),"2022-07-04T15:50:11.826Z")</f>
        <v>2022-07-04T15:50:11.826Z</v>
      </c>
      <c r="K2498" s="1"/>
    </row>
    <row r="2499">
      <c r="A2499" s="2" t="str">
        <f>IFERROR(__xludf.DUMMYFUNCTION("""COMPUTED_VALUE"""),"https://www.facebook.com/john.p.garsula")</f>
        <v>https://www.facebook.com/john.p.garsula</v>
      </c>
      <c r="B2499" s="1" t="str">
        <f>IFERROR(__xludf.DUMMYFUNCTION("""COMPUTED_VALUE"""),"John Patrick Garsula")</f>
        <v>John Patrick Garsula</v>
      </c>
      <c r="C2499" s="1" t="str">
        <f>IFERROR(__xludf.DUMMYFUNCTION("""COMPUTED_VALUE"""),"John")</f>
        <v>John</v>
      </c>
      <c r="D2499" s="1" t="str">
        <f>IFERROR(__xludf.DUMMYFUNCTION("""COMPUTED_VALUE"""),"Patrick Garsula")</f>
        <v>Patrick Garsula</v>
      </c>
      <c r="E2499" s="1" t="str">
        <f>IFERROR(__xludf.DUMMYFUNCTION("""COMPUTED_VALUE"""),"Eddie Rcb Bayad na yan, sapagkat yan ay sequestered o kinuha na ng goberno, wla nang mana ang mga anak")</f>
        <v>Eddie Rcb Bayad na yan, sapagkat yan ay sequestered o kinuha na ng goberno, wla nang mana ang mga anak</v>
      </c>
      <c r="F2499" s="1">
        <f>IFERROR(__xludf.DUMMYFUNCTION("""COMPUTED_VALUE"""),1.0)</f>
        <v>1</v>
      </c>
      <c r="G2499" s="1" t="str">
        <f>IFERROR(__xludf.DUMMYFUNCTION("""COMPUTED_VALUE"""),"3 mos")</f>
        <v>3 mos</v>
      </c>
      <c r="H2499" s="1" t="str">
        <f>IFERROR(__xludf.DUMMYFUNCTION("""COMPUTED_VALUE"""),"reply")</f>
        <v>reply</v>
      </c>
      <c r="I2499"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499" s="1" t="str">
        <f>IFERROR(__xludf.DUMMYFUNCTION("""COMPUTED_VALUE"""),"2022-07-04T15:50:11.826Z")</f>
        <v>2022-07-04T15:50:11.826Z</v>
      </c>
      <c r="K2499" s="1"/>
    </row>
    <row r="2500">
      <c r="A2500" s="2" t="str">
        <f>IFERROR(__xludf.DUMMYFUNCTION("""COMPUTED_VALUE"""),"https://www.facebook.com/tiu.ag")</f>
        <v>https://www.facebook.com/tiu.ag</v>
      </c>
      <c r="B2500" s="1" t="str">
        <f>IFERROR(__xludf.DUMMYFUNCTION("""COMPUTED_VALUE"""),"Kevin Tiu")</f>
        <v>Kevin Tiu</v>
      </c>
      <c r="C2500" s="1" t="str">
        <f>IFERROR(__xludf.DUMMYFUNCTION("""COMPUTED_VALUE"""),"Kevin")</f>
        <v>Kevin</v>
      </c>
      <c r="D2500" s="1" t="str">
        <f>IFERROR(__xludf.DUMMYFUNCTION("""COMPUTED_VALUE"""),"Tiu")</f>
        <v>Tiu</v>
      </c>
      <c r="E2500" s="1" t="str">
        <f>IFERROR(__xludf.DUMMYFUNCTION("""COMPUTED_VALUE"""),"Michael B Moraleda fyi, hinahabol yan ng gobyerno maski hindi eleksyon. May reports na lumalabas kada taon sa pag-usad ng proseso. Anong pinagsasasabi mo na tuwing eleksyon lang?")</f>
        <v>Michael B Moraleda fyi, hinahabol yan ng gobyerno maski hindi eleksyon. May reports na lumalabas kada taon sa pag-usad ng proseso. Anong pinagsasasabi mo na tuwing eleksyon lang?</v>
      </c>
      <c r="F2500" s="1"/>
      <c r="G2500" s="1" t="str">
        <f>IFERROR(__xludf.DUMMYFUNCTION("""COMPUTED_VALUE"""),"3 mos")</f>
        <v>3 mos</v>
      </c>
      <c r="H2500" s="1" t="str">
        <f>IFERROR(__xludf.DUMMYFUNCTION("""COMPUTED_VALUE"""),"reply")</f>
        <v>reply</v>
      </c>
      <c r="I2500"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0" s="1" t="str">
        <f>IFERROR(__xludf.DUMMYFUNCTION("""COMPUTED_VALUE"""),"2022-07-04T15:50:11.826Z")</f>
        <v>2022-07-04T15:50:11.826Z</v>
      </c>
      <c r="K2500" s="1"/>
    </row>
    <row r="2501">
      <c r="A2501" s="2" t="str">
        <f>IFERROR(__xludf.DUMMYFUNCTION("""COMPUTED_VALUE"""),"https://www.facebook.com/profile.php?id=100012069823437")</f>
        <v>https://www.facebook.com/profile.php?id=100012069823437</v>
      </c>
      <c r="B2501" s="1" t="str">
        <f>IFERROR(__xludf.DUMMYFUNCTION("""COMPUTED_VALUE"""),"Jaime Amor")</f>
        <v>Jaime Amor</v>
      </c>
      <c r="C2501" s="1" t="str">
        <f>IFERROR(__xludf.DUMMYFUNCTION("""COMPUTED_VALUE"""),"Jaime")</f>
        <v>Jaime</v>
      </c>
      <c r="D2501" s="1" t="str">
        <f>IFERROR(__xludf.DUMMYFUNCTION("""COMPUTED_VALUE"""),"Amor")</f>
        <v>Amor</v>
      </c>
      <c r="E2501" s="1" t="str">
        <f>IFERROR(__xludf.DUMMYFUNCTION("""COMPUTED_VALUE"""),"""The voice of the people is the voice of God"" Amen.")</f>
        <v>"The voice of the people is the voice of God" Amen.</v>
      </c>
      <c r="F2501" s="1"/>
      <c r="G2501" s="1" t="str">
        <f>IFERROR(__xludf.DUMMYFUNCTION("""COMPUTED_VALUE"""),"3 mos")</f>
        <v>3 mos</v>
      </c>
      <c r="H2501" s="1" t="str">
        <f>IFERROR(__xludf.DUMMYFUNCTION("""COMPUTED_VALUE"""),"comment")</f>
        <v>comment</v>
      </c>
      <c r="I2501"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1" s="1" t="str">
        <f>IFERROR(__xludf.DUMMYFUNCTION("""COMPUTED_VALUE"""),"2022-07-04T15:50:11.826Z")</f>
        <v>2022-07-04T15:50:11.826Z</v>
      </c>
      <c r="K2501" s="1"/>
    </row>
    <row r="2502">
      <c r="A2502" s="2" t="str">
        <f>IFERROR(__xludf.DUMMYFUNCTION("""COMPUTED_VALUE"""),"https://www.facebook.com/profile.php?id=100041903862229")</f>
        <v>https://www.facebook.com/profile.php?id=100041903862229</v>
      </c>
      <c r="B2502" s="1" t="str">
        <f>IFERROR(__xludf.DUMMYFUNCTION("""COMPUTED_VALUE"""),"Marian Garcia")</f>
        <v>Marian Garcia</v>
      </c>
      <c r="C2502" s="1" t="str">
        <f>IFERROR(__xludf.DUMMYFUNCTION("""COMPUTED_VALUE"""),"Marian")</f>
        <v>Marian</v>
      </c>
      <c r="D2502" s="1" t="str">
        <f>IFERROR(__xludf.DUMMYFUNCTION("""COMPUTED_VALUE"""),"Garcia")</f>
        <v>Garcia</v>
      </c>
      <c r="E2502" s="1" t="str">
        <f>IFERROR(__xludf.DUMMYFUNCTION("""COMPUTED_VALUE"""),"At sqka abs cbn")</f>
        <v>At sqka abs cbn</v>
      </c>
      <c r="F2502" s="1"/>
      <c r="G2502" s="1" t="str">
        <f>IFERROR(__xludf.DUMMYFUNCTION("""COMPUTED_VALUE"""),"3 mos")</f>
        <v>3 mos</v>
      </c>
      <c r="H2502" s="1" t="str">
        <f>IFERROR(__xludf.DUMMYFUNCTION("""COMPUTED_VALUE"""),"comment")</f>
        <v>comment</v>
      </c>
      <c r="I2502"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2" s="1" t="str">
        <f>IFERROR(__xludf.DUMMYFUNCTION("""COMPUTED_VALUE"""),"2022-07-04T15:50:11.826Z")</f>
        <v>2022-07-04T15:50:11.826Z</v>
      </c>
      <c r="K2502" s="1"/>
    </row>
    <row r="2503">
      <c r="A2503" s="2" t="str">
        <f>IFERROR(__xludf.DUMMYFUNCTION("""COMPUTED_VALUE"""),"https://www.facebook.com/fonzy.alfonso.79")</f>
        <v>https://www.facebook.com/fonzy.alfonso.79</v>
      </c>
      <c r="B2503" s="1" t="str">
        <f>IFERROR(__xludf.DUMMYFUNCTION("""COMPUTED_VALUE"""),"Fonzy Alfonso")</f>
        <v>Fonzy Alfonso</v>
      </c>
      <c r="C2503" s="1" t="str">
        <f>IFERROR(__xludf.DUMMYFUNCTION("""COMPUTED_VALUE"""),"Fonzy")</f>
        <v>Fonzy</v>
      </c>
      <c r="D2503" s="1" t="str">
        <f>IFERROR(__xludf.DUMMYFUNCTION("""COMPUTED_VALUE"""),"Alfonso")</f>
        <v>Alfonso</v>
      </c>
      <c r="E2503" s="1" t="str">
        <f>IFERROR(__xludf.DUMMYFUNCTION("""COMPUTED_VALUE"""),"Last banat sagad nio na ehehe daming banat nde umubra eh✌️✌️✌️")</f>
        <v>Last banat sagad nio na ehehe daming banat nde umubra eh✌️✌️✌️</v>
      </c>
      <c r="F2503" s="1">
        <f>IFERROR(__xludf.DUMMYFUNCTION("""COMPUTED_VALUE"""),6.0)</f>
        <v>6</v>
      </c>
      <c r="G2503" s="1" t="str">
        <f>IFERROR(__xludf.DUMMYFUNCTION("""COMPUTED_VALUE"""),"3 mos")</f>
        <v>3 mos</v>
      </c>
      <c r="H2503" s="1" t="str">
        <f>IFERROR(__xludf.DUMMYFUNCTION("""COMPUTED_VALUE"""),"comment")</f>
        <v>comment</v>
      </c>
      <c r="I2503"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3" s="1" t="str">
        <f>IFERROR(__xludf.DUMMYFUNCTION("""COMPUTED_VALUE"""),"2022-07-04T15:50:11.826Z")</f>
        <v>2022-07-04T15:50:11.826Z</v>
      </c>
      <c r="K2503" s="1"/>
    </row>
    <row r="2504">
      <c r="A2504" s="2" t="str">
        <f>IFERROR(__xludf.DUMMYFUNCTION("""COMPUTED_VALUE"""),"https://www.facebook.com/profile.php?id=100010177068680")</f>
        <v>https://www.facebook.com/profile.php?id=100010177068680</v>
      </c>
      <c r="B2504" s="1" t="str">
        <f>IFERROR(__xludf.DUMMYFUNCTION("""COMPUTED_VALUE"""),"Nenelyn ILustrisimo Miguel")</f>
        <v>Nenelyn ILustrisimo Miguel</v>
      </c>
      <c r="C2504" s="1" t="str">
        <f>IFERROR(__xludf.DUMMYFUNCTION("""COMPUTED_VALUE"""),"Nenelyn")</f>
        <v>Nenelyn</v>
      </c>
      <c r="D2504" s="1" t="str">
        <f>IFERROR(__xludf.DUMMYFUNCTION("""COMPUTED_VALUE"""),"ILustrisimo Miguel")</f>
        <v>ILustrisimo Miguel</v>
      </c>
      <c r="E2504" s="1" t="str">
        <f>IFERROR(__xludf.DUMMYFUNCTION("""COMPUTED_VALUE"""),"I check mo nung Dec. Pa bayad puro ka katangalinuhan haaaayyyzzz")</f>
        <v>I check mo nung Dec. Pa bayad puro ka katangalinuhan haaaayyyzzz</v>
      </c>
      <c r="F2504" s="1">
        <f>IFERROR(__xludf.DUMMYFUNCTION("""COMPUTED_VALUE"""),2.0)</f>
        <v>2</v>
      </c>
      <c r="G2504" s="1" t="str">
        <f>IFERROR(__xludf.DUMMYFUNCTION("""COMPUTED_VALUE"""),"3 mos")</f>
        <v>3 mos</v>
      </c>
      <c r="H2504" s="1" t="str">
        <f>IFERROR(__xludf.DUMMYFUNCTION("""COMPUTED_VALUE"""),"comment")</f>
        <v>comment</v>
      </c>
      <c r="I2504"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4" s="1" t="str">
        <f>IFERROR(__xludf.DUMMYFUNCTION("""COMPUTED_VALUE"""),"2022-07-04T15:50:11.826Z")</f>
        <v>2022-07-04T15:50:11.826Z</v>
      </c>
      <c r="K2504" s="1"/>
    </row>
    <row r="2505">
      <c r="A2505" s="2" t="str">
        <f>IFERROR(__xludf.DUMMYFUNCTION("""COMPUTED_VALUE"""),"https://www.facebook.com/rommel.carpio.315")</f>
        <v>https://www.facebook.com/rommel.carpio.315</v>
      </c>
      <c r="B2505" s="1" t="str">
        <f>IFERROR(__xludf.DUMMYFUNCTION("""COMPUTED_VALUE"""),"Rommel Carpio")</f>
        <v>Rommel Carpio</v>
      </c>
      <c r="C2505" s="1" t="str">
        <f>IFERROR(__xludf.DUMMYFUNCTION("""COMPUTED_VALUE"""),"Rommel")</f>
        <v>Rommel</v>
      </c>
      <c r="D2505" s="1" t="str">
        <f>IFERROR(__xludf.DUMMYFUNCTION("""COMPUTED_VALUE"""),"Carpio")</f>
        <v>Carpio</v>
      </c>
      <c r="E2505" s="1" t="str">
        <f>IFERROR(__xludf.DUMMYFUNCTION("""COMPUTED_VALUE"""),"G n G ang bwaka ng inang wrafer")</f>
        <v>G n G ang bwaka ng inang wrafer</v>
      </c>
      <c r="F2505" s="1">
        <f>IFERROR(__xludf.DUMMYFUNCTION("""COMPUTED_VALUE"""),2.0)</f>
        <v>2</v>
      </c>
      <c r="G2505" s="1" t="str">
        <f>IFERROR(__xludf.DUMMYFUNCTION("""COMPUTED_VALUE"""),"3 mos")</f>
        <v>3 mos</v>
      </c>
      <c r="H2505" s="1" t="str">
        <f>IFERROR(__xludf.DUMMYFUNCTION("""COMPUTED_VALUE"""),"comment")</f>
        <v>comment</v>
      </c>
      <c r="I250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5" s="1" t="str">
        <f>IFERROR(__xludf.DUMMYFUNCTION("""COMPUTED_VALUE"""),"2022-07-04T15:50:11.826Z")</f>
        <v>2022-07-04T15:50:11.826Z</v>
      </c>
      <c r="K2505" s="1"/>
    </row>
    <row r="2506">
      <c r="A2506" s="2" t="str">
        <f>IFERROR(__xludf.DUMMYFUNCTION("""COMPUTED_VALUE"""),"https://www.facebook.com/profile.php?id=100072240556659")</f>
        <v>https://www.facebook.com/profile.php?id=100072240556659</v>
      </c>
      <c r="B2506" s="1" t="str">
        <f>IFERROR(__xludf.DUMMYFUNCTION("""COMPUTED_VALUE"""),"Pabs Bautista")</f>
        <v>Pabs Bautista</v>
      </c>
      <c r="C2506" s="1" t="str">
        <f>IFERROR(__xludf.DUMMYFUNCTION("""COMPUTED_VALUE"""),"Pabs")</f>
        <v>Pabs</v>
      </c>
      <c r="D2506" s="1" t="str">
        <f>IFERROR(__xludf.DUMMYFUNCTION("""COMPUTED_VALUE"""),"Bautista")</f>
        <v>Bautista</v>
      </c>
      <c r="E2506" s="1" t="str">
        <f>IFERROR(__xludf.DUMMYFUNCTION("""COMPUTED_VALUE"""),"Ibalik sa taong Bayan, baKa Sa Bulsa ni0 lang din Bumagsak yang pera na yan siaingilin nio... Mga AbNo!")</f>
        <v>Ibalik sa taong Bayan, baKa Sa Bulsa ni0 lang din Bumagsak yang pera na yan siaingilin nio... Mga AbNo!</v>
      </c>
      <c r="F2506" s="1"/>
      <c r="G2506" s="1" t="str">
        <f>IFERROR(__xludf.DUMMYFUNCTION("""COMPUTED_VALUE"""),"3 mos")</f>
        <v>3 mos</v>
      </c>
      <c r="H2506" s="1" t="str">
        <f>IFERROR(__xludf.DUMMYFUNCTION("""COMPUTED_VALUE"""),"comment")</f>
        <v>comment</v>
      </c>
      <c r="I250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6" s="1" t="str">
        <f>IFERROR(__xludf.DUMMYFUNCTION("""COMPUTED_VALUE"""),"2022-07-04T15:50:11.826Z")</f>
        <v>2022-07-04T15:50:11.826Z</v>
      </c>
      <c r="K2506" s="1"/>
    </row>
    <row r="2507">
      <c r="A2507" s="2" t="str">
        <f>IFERROR(__xludf.DUMMYFUNCTION("""COMPUTED_VALUE"""),"https://www.facebook.com/desireecastroventura")</f>
        <v>https://www.facebook.com/desireecastroventura</v>
      </c>
      <c r="B2507" s="1" t="str">
        <f>IFERROR(__xludf.DUMMYFUNCTION("""COMPUTED_VALUE"""),"Desiree Castro Ventura")</f>
        <v>Desiree Castro Ventura</v>
      </c>
      <c r="C2507" s="1" t="str">
        <f>IFERROR(__xludf.DUMMYFUNCTION("""COMPUTED_VALUE"""),"Desiree")</f>
        <v>Desiree</v>
      </c>
      <c r="D2507" s="1" t="str">
        <f>IFERROR(__xludf.DUMMYFUNCTION("""COMPUTED_VALUE"""),"Castro Ventura")</f>
        <v>Castro Ventura</v>
      </c>
      <c r="E2507" s="1" t="str">
        <f>IFERROR(__xludf.DUMMYFUNCTION("""COMPUTED_VALUE"""),"Inuupdate tayo ng corrapler 24/7 thanks")</f>
        <v>Inuupdate tayo ng corrapler 24/7 thanks</v>
      </c>
      <c r="F2507" s="1">
        <f>IFERROR(__xludf.DUMMYFUNCTION("""COMPUTED_VALUE"""),14.0)</f>
        <v>14</v>
      </c>
      <c r="G2507" s="1" t="str">
        <f>IFERROR(__xludf.DUMMYFUNCTION("""COMPUTED_VALUE"""),"3 mos")</f>
        <v>3 mos</v>
      </c>
      <c r="H2507" s="1" t="str">
        <f>IFERROR(__xludf.DUMMYFUNCTION("""COMPUTED_VALUE"""),"comment")</f>
        <v>comment</v>
      </c>
      <c r="I2507"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7" s="1" t="str">
        <f>IFERROR(__xludf.DUMMYFUNCTION("""COMPUTED_VALUE"""),"2022-07-04T15:50:11.826Z")</f>
        <v>2022-07-04T15:50:11.826Z</v>
      </c>
      <c r="K2507" s="1"/>
    </row>
    <row r="2508">
      <c r="A2508" s="2" t="str">
        <f>IFERROR(__xludf.DUMMYFUNCTION("""COMPUTED_VALUE"""),"https://www.facebook.com/robert.gacayan.3")</f>
        <v>https://www.facebook.com/robert.gacayan.3</v>
      </c>
      <c r="B2508" s="1" t="str">
        <f>IFERROR(__xludf.DUMMYFUNCTION("""COMPUTED_VALUE"""),"Rob Gacayan")</f>
        <v>Rob Gacayan</v>
      </c>
      <c r="C2508" s="1" t="str">
        <f>IFERROR(__xludf.DUMMYFUNCTION("""COMPUTED_VALUE"""),"Rob")</f>
        <v>Rob</v>
      </c>
      <c r="D2508" s="1" t="str">
        <f>IFERROR(__xludf.DUMMYFUNCTION("""COMPUTED_VALUE"""),"Gacayan")</f>
        <v>Gacayan</v>
      </c>
      <c r="E2508" s="1" t="str">
        <f>IFERROR(__xludf.DUMMYFUNCTION("""COMPUTED_VALUE"""),"E fak tsek to😜🤣")</f>
        <v>E fak tsek to😜🤣</v>
      </c>
      <c r="F2508" s="1">
        <f>IFERROR(__xludf.DUMMYFUNCTION("""COMPUTED_VALUE"""),3.0)</f>
        <v>3</v>
      </c>
      <c r="G2508" s="1" t="str">
        <f>IFERROR(__xludf.DUMMYFUNCTION("""COMPUTED_VALUE"""),"3 mos")</f>
        <v>3 mos</v>
      </c>
      <c r="H2508" s="1" t="str">
        <f>IFERROR(__xludf.DUMMYFUNCTION("""COMPUTED_VALUE"""),"comment")</f>
        <v>comment</v>
      </c>
      <c r="I2508"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8" s="1" t="str">
        <f>IFERROR(__xludf.DUMMYFUNCTION("""COMPUTED_VALUE"""),"2022-07-04T15:50:11.826Z")</f>
        <v>2022-07-04T15:50:11.826Z</v>
      </c>
      <c r="K2508" s="1"/>
    </row>
    <row r="2509">
      <c r="A2509" s="2" t="str">
        <f>IFERROR(__xludf.DUMMYFUNCTION("""COMPUTED_VALUE"""),"https://www.facebook.com/pangetkoh30")</f>
        <v>https://www.facebook.com/pangetkoh30</v>
      </c>
      <c r="B2509" s="1" t="str">
        <f>IFERROR(__xludf.DUMMYFUNCTION("""COMPUTED_VALUE"""),"Ericka Chan Racelis")</f>
        <v>Ericka Chan Racelis</v>
      </c>
      <c r="C2509" s="1" t="str">
        <f>IFERROR(__xludf.DUMMYFUNCTION("""COMPUTED_VALUE"""),"Ericka")</f>
        <v>Ericka</v>
      </c>
      <c r="D2509" s="1" t="str">
        <f>IFERROR(__xludf.DUMMYFUNCTION("""COMPUTED_VALUE"""),"Chan Racelis")</f>
        <v>Chan Racelis</v>
      </c>
      <c r="E2509" s="1" t="str">
        <f>IFERROR(__xludf.DUMMYFUNCTION("""COMPUTED_VALUE"""),"bayad na")</f>
        <v>bayad na</v>
      </c>
      <c r="F2509" s="1">
        <f>IFERROR(__xludf.DUMMYFUNCTION("""COMPUTED_VALUE"""),4.0)</f>
        <v>4</v>
      </c>
      <c r="G2509" s="1" t="str">
        <f>IFERROR(__xludf.DUMMYFUNCTION("""COMPUTED_VALUE"""),"3 mos")</f>
        <v>3 mos</v>
      </c>
      <c r="H2509" s="1" t="str">
        <f>IFERROR(__xludf.DUMMYFUNCTION("""COMPUTED_VALUE"""),"comment")</f>
        <v>comment</v>
      </c>
      <c r="I2509"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09" s="1" t="str">
        <f>IFERROR(__xludf.DUMMYFUNCTION("""COMPUTED_VALUE"""),"2022-07-04T15:50:11.826Z")</f>
        <v>2022-07-04T15:50:11.826Z</v>
      </c>
      <c r="K2509" s="1"/>
    </row>
    <row r="2510">
      <c r="A2510" s="2" t="str">
        <f>IFERROR(__xludf.DUMMYFUNCTION("""COMPUTED_VALUE"""),"https://www.facebook.com/rey.sumam")</f>
        <v>https://www.facebook.com/rey.sumam</v>
      </c>
      <c r="B2510" s="1" t="str">
        <f>IFERROR(__xludf.DUMMYFUNCTION("""COMPUTED_VALUE"""),"Rey Sumam")</f>
        <v>Rey Sumam</v>
      </c>
      <c r="C2510" s="1" t="str">
        <f>IFERROR(__xludf.DUMMYFUNCTION("""COMPUTED_VALUE"""),"Rey")</f>
        <v>Rey</v>
      </c>
      <c r="D2510" s="1" t="str">
        <f>IFERROR(__xludf.DUMMYFUNCTION("""COMPUTED_VALUE"""),"Sumam")</f>
        <v>Sumam</v>
      </c>
      <c r="E2510" s="1" t="str">
        <f>IFERROR(__xludf.DUMMYFUNCTION("""COMPUTED_VALUE"""),"Ericka Chan Racelis nah")</f>
        <v>Ericka Chan Racelis nah</v>
      </c>
      <c r="F2510" s="1"/>
      <c r="G2510" s="1" t="str">
        <f>IFERROR(__xludf.DUMMYFUNCTION("""COMPUTED_VALUE"""),"3 mos")</f>
        <v>3 mos</v>
      </c>
      <c r="H2510" s="1" t="str">
        <f>IFERROR(__xludf.DUMMYFUNCTION("""COMPUTED_VALUE"""),"reply")</f>
        <v>reply</v>
      </c>
      <c r="I2510"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0" s="1" t="str">
        <f>IFERROR(__xludf.DUMMYFUNCTION("""COMPUTED_VALUE"""),"2022-07-04T15:50:11.826Z")</f>
        <v>2022-07-04T15:50:11.826Z</v>
      </c>
      <c r="K2510" s="1"/>
    </row>
    <row r="2511">
      <c r="A2511" s="2" t="str">
        <f>IFERROR(__xludf.DUMMYFUNCTION("""COMPUTED_VALUE"""),"https://www.facebook.com/rey.sumam")</f>
        <v>https://www.facebook.com/rey.sumam</v>
      </c>
      <c r="B2511" s="1" t="str">
        <f>IFERROR(__xludf.DUMMYFUNCTION("""COMPUTED_VALUE"""),"Rey Sumam")</f>
        <v>Rey Sumam</v>
      </c>
      <c r="C2511" s="1" t="str">
        <f>IFERROR(__xludf.DUMMYFUNCTION("""COMPUTED_VALUE"""),"Rey")</f>
        <v>Rey</v>
      </c>
      <c r="D2511" s="1" t="str">
        <f>IFERROR(__xludf.DUMMYFUNCTION("""COMPUTED_VALUE"""),"Sumam")</f>
        <v>Sumam</v>
      </c>
      <c r="E2511" s="1" t="str">
        <f>IFERROR(__xludf.DUMMYFUNCTION("""COMPUTED_VALUE"""),"Ericka Chan Racelis link?")</f>
        <v>Ericka Chan Racelis link?</v>
      </c>
      <c r="F2511" s="1"/>
      <c r="G2511" s="1" t="str">
        <f>IFERROR(__xludf.DUMMYFUNCTION("""COMPUTED_VALUE"""),"3 mos")</f>
        <v>3 mos</v>
      </c>
      <c r="H2511" s="1" t="str">
        <f>IFERROR(__xludf.DUMMYFUNCTION("""COMPUTED_VALUE"""),"reply")</f>
        <v>reply</v>
      </c>
      <c r="I2511"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1" s="1" t="str">
        <f>IFERROR(__xludf.DUMMYFUNCTION("""COMPUTED_VALUE"""),"2022-07-04T15:50:11.826Z")</f>
        <v>2022-07-04T15:50:11.826Z</v>
      </c>
      <c r="K2511" s="1"/>
    </row>
    <row r="2512">
      <c r="A2512" s="2" t="str">
        <f>IFERROR(__xludf.DUMMYFUNCTION("""COMPUTED_VALUE"""),"https://www.facebook.com/john.p.garsula")</f>
        <v>https://www.facebook.com/john.p.garsula</v>
      </c>
      <c r="B2512" s="1" t="str">
        <f>IFERROR(__xludf.DUMMYFUNCTION("""COMPUTED_VALUE"""),"John Patrick Garsula")</f>
        <v>John Patrick Garsula</v>
      </c>
      <c r="C2512" s="1" t="str">
        <f>IFERROR(__xludf.DUMMYFUNCTION("""COMPUTED_VALUE"""),"John")</f>
        <v>John</v>
      </c>
      <c r="D2512" s="1" t="str">
        <f>IFERROR(__xludf.DUMMYFUNCTION("""COMPUTED_VALUE"""),"Patrick Garsula")</f>
        <v>Patrick Garsula</v>
      </c>
      <c r="E2512" s="1" t="str">
        <f>IFERROR(__xludf.DUMMYFUNCTION("""COMPUTED_VALUE"""),"Ericka Chan Racelis  yes bayad na po yan, kasi sequestered na yan ng goberno,")</f>
        <v>Ericka Chan Racelis  yes bayad na po yan, kasi sequestered na yan ng goberno,</v>
      </c>
      <c r="F2512" s="1">
        <f>IFERROR(__xludf.DUMMYFUNCTION("""COMPUTED_VALUE"""),1.0)</f>
        <v>1</v>
      </c>
      <c r="G2512" s="1" t="str">
        <f>IFERROR(__xludf.DUMMYFUNCTION("""COMPUTED_VALUE"""),"3 mos")</f>
        <v>3 mos</v>
      </c>
      <c r="H2512" s="1" t="str">
        <f>IFERROR(__xludf.DUMMYFUNCTION("""COMPUTED_VALUE"""),"reply")</f>
        <v>reply</v>
      </c>
      <c r="I2512"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2" s="1" t="str">
        <f>IFERROR(__xludf.DUMMYFUNCTION("""COMPUTED_VALUE"""),"2022-07-04T15:50:11.826Z")</f>
        <v>2022-07-04T15:50:11.826Z</v>
      </c>
      <c r="K2512" s="1"/>
    </row>
    <row r="2513">
      <c r="A2513" s="2" t="str">
        <f>IFERROR(__xludf.DUMMYFUNCTION("""COMPUTED_VALUE"""),"https://www.facebook.com/rommeltamonte7")</f>
        <v>https://www.facebook.com/rommeltamonte7</v>
      </c>
      <c r="B2513" s="1" t="str">
        <f>IFERROR(__xludf.DUMMYFUNCTION("""COMPUTED_VALUE"""),"Rommel SebastianBarbosa Tamonte")</f>
        <v>Rommel SebastianBarbosa Tamonte</v>
      </c>
      <c r="C2513" s="1" t="str">
        <f>IFERROR(__xludf.DUMMYFUNCTION("""COMPUTED_VALUE"""),"Rommel")</f>
        <v>Rommel</v>
      </c>
      <c r="D2513" s="1" t="str">
        <f>IFERROR(__xludf.DUMMYFUNCTION("""COMPUTED_VALUE"""),"SebastianBarbosa Tamonte")</f>
        <v>SebastianBarbosa Tamonte</v>
      </c>
      <c r="E2513" s="1" t="str">
        <f>IFERROR(__xludf.DUMMYFUNCTION("""COMPUTED_VALUE"""),"Rey Sumam https://fb.watch/b_98gAygms/")</f>
        <v>Rey Sumam https://fb.watch/b_98gAygms/</v>
      </c>
      <c r="F2513" s="1">
        <f>IFERROR(__xludf.DUMMYFUNCTION("""COMPUTED_VALUE"""),1.0)</f>
        <v>1</v>
      </c>
      <c r="G2513" s="1" t="str">
        <f>IFERROR(__xludf.DUMMYFUNCTION("""COMPUTED_VALUE"""),"March 23 at 4:07 PM")</f>
        <v>March 23 at 4:07 PM</v>
      </c>
      <c r="H2513" s="1" t="str">
        <f>IFERROR(__xludf.DUMMYFUNCTION("""COMPUTED_VALUE"""),"reply")</f>
        <v>reply</v>
      </c>
      <c r="I2513"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3" s="1" t="str">
        <f>IFERROR(__xludf.DUMMYFUNCTION("""COMPUTED_VALUE"""),"2022-07-04T15:50:11.826Z")</f>
        <v>2022-07-04T15:50:11.826Z</v>
      </c>
      <c r="K2513" s="1"/>
    </row>
    <row r="2514">
      <c r="A2514" s="2" t="str">
        <f>IFERROR(__xludf.DUMMYFUNCTION("""COMPUTED_VALUE"""),"https://www.facebook.com/profile.php?id=100009077087732")</f>
        <v>https://www.facebook.com/profile.php?id=100009077087732</v>
      </c>
      <c r="B2514" s="1" t="str">
        <f>IFERROR(__xludf.DUMMYFUNCTION("""COMPUTED_VALUE"""),"Clarisse Veñegas Cabaluna")</f>
        <v>Clarisse Veñegas Cabaluna</v>
      </c>
      <c r="C2514" s="1" t="str">
        <f>IFERROR(__xludf.DUMMYFUNCTION("""COMPUTED_VALUE"""),"Clarisse")</f>
        <v>Clarisse</v>
      </c>
      <c r="D2514" s="1" t="str">
        <f>IFERROR(__xludf.DUMMYFUNCTION("""COMPUTED_VALUE"""),"Veñegas Cabaluna")</f>
        <v>Veñegas Cabaluna</v>
      </c>
      <c r="E2514" s="1" t="str">
        <f>IFERROR(__xludf.DUMMYFUNCTION("""COMPUTED_VALUE"""),"John Patrick Garsula may proof kba?")</f>
        <v>John Patrick Garsula may proof kba?</v>
      </c>
      <c r="F2514" s="1"/>
      <c r="G2514" s="1" t="str">
        <f>IFERROR(__xludf.DUMMYFUNCTION("""COMPUTED_VALUE"""),"3 mos")</f>
        <v>3 mos</v>
      </c>
      <c r="H2514" s="1" t="str">
        <f>IFERROR(__xludf.DUMMYFUNCTION("""COMPUTED_VALUE"""),"reply")</f>
        <v>reply</v>
      </c>
      <c r="I2514"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4" s="1" t="str">
        <f>IFERROR(__xludf.DUMMYFUNCTION("""COMPUTED_VALUE"""),"2022-07-04T15:50:11.826Z")</f>
        <v>2022-07-04T15:50:11.826Z</v>
      </c>
      <c r="K2514" s="1"/>
    </row>
    <row r="2515">
      <c r="A2515" s="2" t="str">
        <f>IFERROR(__xludf.DUMMYFUNCTION("""COMPUTED_VALUE"""),"https://www.facebook.com/juliet.romano.75")</f>
        <v>https://www.facebook.com/juliet.romano.75</v>
      </c>
      <c r="B2515" s="1" t="str">
        <f>IFERROR(__xludf.DUMMYFUNCTION("""COMPUTED_VALUE"""),"Anak Ng Tipaklong")</f>
        <v>Anak Ng Tipaklong</v>
      </c>
      <c r="C2515" s="1" t="str">
        <f>IFERROR(__xludf.DUMMYFUNCTION("""COMPUTED_VALUE"""),"Anak")</f>
        <v>Anak</v>
      </c>
      <c r="D2515" s="1" t="str">
        <f>IFERROR(__xludf.DUMMYFUNCTION("""COMPUTED_VALUE"""),"Ng Tipaklong")</f>
        <v>Ng Tipaklong</v>
      </c>
      <c r="E2515" s="1" t="str">
        <f>IFERROR(__xludf.DUMMYFUNCTION("""COMPUTED_VALUE"""),"Eto sulid #bbmsara ❤️💚")</f>
        <v>Eto sulid #bbmsara ❤️💚</v>
      </c>
      <c r="F2515" s="1">
        <f>IFERROR(__xludf.DUMMYFUNCTION("""COMPUTED_VALUE"""),3.0)</f>
        <v>3</v>
      </c>
      <c r="G2515" s="1" t="str">
        <f>IFERROR(__xludf.DUMMYFUNCTION("""COMPUTED_VALUE"""),"3 mos")</f>
        <v>3 mos</v>
      </c>
      <c r="H2515" s="1" t="str">
        <f>IFERROR(__xludf.DUMMYFUNCTION("""COMPUTED_VALUE"""),"comment")</f>
        <v>comment</v>
      </c>
      <c r="I251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5" s="1" t="str">
        <f>IFERROR(__xludf.DUMMYFUNCTION("""COMPUTED_VALUE"""),"2022-07-04T15:50:11.826Z")</f>
        <v>2022-07-04T15:50:11.826Z</v>
      </c>
      <c r="K2515" s="1"/>
    </row>
    <row r="2516">
      <c r="A2516" s="2" t="str">
        <f>IFERROR(__xludf.DUMMYFUNCTION("""COMPUTED_VALUE"""),"https://www.facebook.com/glark.yaranon")</f>
        <v>https://www.facebook.com/glark.yaranon</v>
      </c>
      <c r="B2516" s="1" t="str">
        <f>IFERROR(__xludf.DUMMYFUNCTION("""COMPUTED_VALUE"""),"Nnelg Kram Solomon Nonaray")</f>
        <v>Nnelg Kram Solomon Nonaray</v>
      </c>
      <c r="C2516" s="1" t="str">
        <f>IFERROR(__xludf.DUMMYFUNCTION("""COMPUTED_VALUE"""),"Nnelg")</f>
        <v>Nnelg</v>
      </c>
      <c r="D2516" s="1" t="str">
        <f>IFERROR(__xludf.DUMMYFUNCTION("""COMPUTED_VALUE"""),"Kram Solomon Nonaray")</f>
        <v>Kram Solomon Nonaray</v>
      </c>
      <c r="E2516" s="1" t="str">
        <f>IFERROR(__xludf.DUMMYFUNCTION("""COMPUTED_VALUE"""),"Croppler nga naman….")</f>
        <v>Croppler nga naman….</v>
      </c>
      <c r="F2516" s="1">
        <f>IFERROR(__xludf.DUMMYFUNCTION("""COMPUTED_VALUE"""),1.0)</f>
        <v>1</v>
      </c>
      <c r="G2516" s="1" t="str">
        <f>IFERROR(__xludf.DUMMYFUNCTION("""COMPUTED_VALUE"""),"3 mos")</f>
        <v>3 mos</v>
      </c>
      <c r="H2516" s="1" t="str">
        <f>IFERROR(__xludf.DUMMYFUNCTION("""COMPUTED_VALUE"""),"comment")</f>
        <v>comment</v>
      </c>
      <c r="I251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6" s="1" t="str">
        <f>IFERROR(__xludf.DUMMYFUNCTION("""COMPUTED_VALUE"""),"2022-07-04T15:50:11.826Z")</f>
        <v>2022-07-04T15:50:11.826Z</v>
      </c>
      <c r="K2516" s="1"/>
    </row>
    <row r="2517">
      <c r="A2517" s="2" t="str">
        <f>IFERROR(__xludf.DUMMYFUNCTION("""COMPUTED_VALUE"""),"https://www.facebook.com/chazper21")</f>
        <v>https://www.facebook.com/chazper21</v>
      </c>
      <c r="B2517" s="1" t="str">
        <f>IFERROR(__xludf.DUMMYFUNCTION("""COMPUTED_VALUE"""),"Jeffrh Sequito Dela Cerna")</f>
        <v>Jeffrh Sequito Dela Cerna</v>
      </c>
      <c r="C2517" s="1" t="str">
        <f>IFERROR(__xludf.DUMMYFUNCTION("""COMPUTED_VALUE"""),"Jeffrh")</f>
        <v>Jeffrh</v>
      </c>
      <c r="D2517" s="1" t="str">
        <f>IFERROR(__xludf.DUMMYFUNCTION("""COMPUTED_VALUE"""),"Sequito Dela Cerna")</f>
        <v>Sequito Dela Cerna</v>
      </c>
      <c r="E2517" s="1" t="str">
        <f>IFERROR(__xludf.DUMMYFUNCTION("""COMPUTED_VALUE"""),"Bayad na po😙")</f>
        <v>Bayad na po😙</v>
      </c>
      <c r="F2517" s="1">
        <f>IFERROR(__xludf.DUMMYFUNCTION("""COMPUTED_VALUE"""),3.0)</f>
        <v>3</v>
      </c>
      <c r="G2517" s="1" t="str">
        <f>IFERROR(__xludf.DUMMYFUNCTION("""COMPUTED_VALUE"""),"3 mos")</f>
        <v>3 mos</v>
      </c>
      <c r="H2517" s="1" t="str">
        <f>IFERROR(__xludf.DUMMYFUNCTION("""COMPUTED_VALUE"""),"comment")</f>
        <v>comment</v>
      </c>
      <c r="I2517"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7" s="1" t="str">
        <f>IFERROR(__xludf.DUMMYFUNCTION("""COMPUTED_VALUE"""),"2022-07-04T15:50:11.826Z")</f>
        <v>2022-07-04T15:50:11.826Z</v>
      </c>
      <c r="K2517" s="1"/>
    </row>
    <row r="2518">
      <c r="A2518" s="2" t="str">
        <f>IFERROR(__xludf.DUMMYFUNCTION("""COMPUTED_VALUE"""),"https://www.facebook.com/rommeltamonte7")</f>
        <v>https://www.facebook.com/rommeltamonte7</v>
      </c>
      <c r="B2518" s="1" t="str">
        <f>IFERROR(__xludf.DUMMYFUNCTION("""COMPUTED_VALUE"""),"Rommel SebastianBarbosa Tamonte")</f>
        <v>Rommel SebastianBarbosa Tamonte</v>
      </c>
      <c r="C2518" s="1" t="str">
        <f>IFERROR(__xludf.DUMMYFUNCTION("""COMPUTED_VALUE"""),"Rommel")</f>
        <v>Rommel</v>
      </c>
      <c r="D2518" s="1" t="str">
        <f>IFERROR(__xludf.DUMMYFUNCTION("""COMPUTED_VALUE"""),"SebastianBarbosa Tamonte")</f>
        <v>SebastianBarbosa Tamonte</v>
      </c>
      <c r="E2518" s="1" t="str">
        <f>IFERROR(__xludf.DUMMYFUNCTION("""COMPUTED_VALUE"""),"Samantha Veras https://fb.watch/b_9y1h0N7m/")</f>
        <v>Samantha Veras https://fb.watch/b_9y1h0N7m/</v>
      </c>
      <c r="F2518" s="1"/>
      <c r="G2518" s="1" t="str">
        <f>IFERROR(__xludf.DUMMYFUNCTION("""COMPUTED_VALUE"""),"March 23 at 4:07 PM")</f>
        <v>March 23 at 4:07 PM</v>
      </c>
      <c r="H2518" s="1" t="str">
        <f>IFERROR(__xludf.DUMMYFUNCTION("""COMPUTED_VALUE"""),"reply")</f>
        <v>reply</v>
      </c>
      <c r="I2518"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8" s="1" t="str">
        <f>IFERROR(__xludf.DUMMYFUNCTION("""COMPUTED_VALUE"""),"2022-07-04T15:50:11.826Z")</f>
        <v>2022-07-04T15:50:11.826Z</v>
      </c>
      <c r="K2518" s="1"/>
    </row>
    <row r="2519">
      <c r="A2519" s="2" t="str">
        <f>IFERROR(__xludf.DUMMYFUNCTION("""COMPUTED_VALUE"""),"https://www.facebook.com/chazper21")</f>
        <v>https://www.facebook.com/chazper21</v>
      </c>
      <c r="B2519" s="1" t="str">
        <f>IFERROR(__xludf.DUMMYFUNCTION("""COMPUTED_VALUE"""),"Jeffrh Sequito Dela Cerna")</f>
        <v>Jeffrh Sequito Dela Cerna</v>
      </c>
      <c r="C2519" s="1" t="str">
        <f>IFERROR(__xludf.DUMMYFUNCTION("""COMPUTED_VALUE"""),"Jeffrh")</f>
        <v>Jeffrh</v>
      </c>
      <c r="D2519" s="1" t="str">
        <f>IFERROR(__xludf.DUMMYFUNCTION("""COMPUTED_VALUE"""),"Sequito Dela Cerna")</f>
        <v>Sequito Dela Cerna</v>
      </c>
      <c r="E2519" s="1" t="str">
        <f>IFERROR(__xludf.DUMMYFUNCTION("""COMPUTED_VALUE"""),"Samantha Veras D updated🤣🤣🤣")</f>
        <v>Samantha Veras D updated🤣🤣🤣</v>
      </c>
      <c r="F2519" s="1"/>
      <c r="G2519" s="1" t="str">
        <f>IFERROR(__xludf.DUMMYFUNCTION("""COMPUTED_VALUE"""),"3 mos")</f>
        <v>3 mos</v>
      </c>
      <c r="H2519" s="1" t="str">
        <f>IFERROR(__xludf.DUMMYFUNCTION("""COMPUTED_VALUE"""),"reply")</f>
        <v>reply</v>
      </c>
      <c r="I2519"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19" s="1" t="str">
        <f>IFERROR(__xludf.DUMMYFUNCTION("""COMPUTED_VALUE"""),"2022-07-04T15:50:11.826Z")</f>
        <v>2022-07-04T15:50:11.826Z</v>
      </c>
      <c r="K2519" s="1"/>
    </row>
    <row r="2520">
      <c r="A2520" s="2" t="str">
        <f>IFERROR(__xludf.DUMMYFUNCTION("""COMPUTED_VALUE"""),"https://www.facebook.com/chazper21")</f>
        <v>https://www.facebook.com/chazper21</v>
      </c>
      <c r="B2520" s="1" t="str">
        <f>IFERROR(__xludf.DUMMYFUNCTION("""COMPUTED_VALUE"""),"Jeffrh Sequito Dela Cerna")</f>
        <v>Jeffrh Sequito Dela Cerna</v>
      </c>
      <c r="C2520" s="1" t="str">
        <f>IFERROR(__xludf.DUMMYFUNCTION("""COMPUTED_VALUE"""),"Jeffrh")</f>
        <v>Jeffrh</v>
      </c>
      <c r="D2520" s="1" t="str">
        <f>IFERROR(__xludf.DUMMYFUNCTION("""COMPUTED_VALUE"""),"Sequito Dela Cerna")</f>
        <v>Sequito Dela Cerna</v>
      </c>
      <c r="E2520" s="1" t="str">
        <f>IFERROR(__xludf.DUMMYFUNCTION("""COMPUTED_VALUE"""),"Samantha Veras Wag kasi one sided para matutu kang humanap sa totoo at katotohanan")</f>
        <v>Samantha Veras Wag kasi one sided para matutu kang humanap sa totoo at katotohanan</v>
      </c>
      <c r="F2520" s="1"/>
      <c r="G2520" s="1" t="str">
        <f>IFERROR(__xludf.DUMMYFUNCTION("""COMPUTED_VALUE"""),"3 mos")</f>
        <v>3 mos</v>
      </c>
      <c r="H2520" s="1" t="str">
        <f>IFERROR(__xludf.DUMMYFUNCTION("""COMPUTED_VALUE"""),"reply")</f>
        <v>reply</v>
      </c>
      <c r="I2520"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20" s="1" t="str">
        <f>IFERROR(__xludf.DUMMYFUNCTION("""COMPUTED_VALUE"""),"2022-07-04T15:50:11.826Z")</f>
        <v>2022-07-04T15:50:11.826Z</v>
      </c>
      <c r="K2520" s="1"/>
    </row>
    <row r="2521">
      <c r="A2521" s="2" t="str">
        <f>IFERROR(__xludf.DUMMYFUNCTION("""COMPUTED_VALUE"""),"https://www.facebook.com/Overhauled12")</f>
        <v>https://www.facebook.com/Overhauled12</v>
      </c>
      <c r="B2521" s="1" t="str">
        <f>IFERROR(__xludf.DUMMYFUNCTION("""COMPUTED_VALUE"""),"Em Cee")</f>
        <v>Em Cee</v>
      </c>
      <c r="C2521" s="1" t="str">
        <f>IFERROR(__xludf.DUMMYFUNCTION("""COMPUTED_VALUE"""),"Em")</f>
        <v>Em</v>
      </c>
      <c r="D2521" s="1" t="str">
        <f>IFERROR(__xludf.DUMMYFUNCTION("""COMPUTED_VALUE"""),"Cee")</f>
        <v>Cee</v>
      </c>
      <c r="E2521" s="1" t="str">
        <f>IFERROR(__xludf.DUMMYFUNCTION("""COMPUTED_VALUE"""),"Double time baka sakaling makahabol")</f>
        <v>Double time baka sakaling makahabol</v>
      </c>
      <c r="F2521" s="1">
        <f>IFERROR(__xludf.DUMMYFUNCTION("""COMPUTED_VALUE"""),3.0)</f>
        <v>3</v>
      </c>
      <c r="G2521" s="1" t="str">
        <f>IFERROR(__xludf.DUMMYFUNCTION("""COMPUTED_VALUE"""),"3 mos")</f>
        <v>3 mos</v>
      </c>
      <c r="H2521" s="1" t="str">
        <f>IFERROR(__xludf.DUMMYFUNCTION("""COMPUTED_VALUE"""),"comment")</f>
        <v>comment</v>
      </c>
      <c r="I2521"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21" s="1" t="str">
        <f>IFERROR(__xludf.DUMMYFUNCTION("""COMPUTED_VALUE"""),"2022-07-04T15:50:11.826Z")</f>
        <v>2022-07-04T15:50:11.826Z</v>
      </c>
      <c r="K2521" s="1"/>
    </row>
    <row r="2522">
      <c r="A2522" s="2" t="str">
        <f>IFERROR(__xludf.DUMMYFUNCTION("""COMPUTED_VALUE"""),"https://www.facebook.com/carlos.javelosa")</f>
        <v>https://www.facebook.com/carlos.javelosa</v>
      </c>
      <c r="B2522" s="1" t="str">
        <f>IFERROR(__xludf.DUMMYFUNCTION("""COMPUTED_VALUE"""),"Carlos Javelosa")</f>
        <v>Carlos Javelosa</v>
      </c>
      <c r="C2522" s="1" t="str">
        <f>IFERROR(__xludf.DUMMYFUNCTION("""COMPUTED_VALUE"""),"Carlos")</f>
        <v>Carlos</v>
      </c>
      <c r="D2522" s="1" t="str">
        <f>IFERROR(__xludf.DUMMYFUNCTION("""COMPUTED_VALUE"""),"Javelosa")</f>
        <v>Javelosa</v>
      </c>
      <c r="E2522" s="1" t="str">
        <f>IFERROR(__xludf.DUMMYFUNCTION("""COMPUTED_VALUE"""),"SINGILIN ! SINGILIN  ! SINGILIN !")</f>
        <v>SINGILIN ! SINGILIN  ! SINGILIN !</v>
      </c>
      <c r="F2522" s="1">
        <f>IFERROR(__xludf.DUMMYFUNCTION("""COMPUTED_VALUE"""),1.0)</f>
        <v>1</v>
      </c>
      <c r="G2522" s="1" t="str">
        <f>IFERROR(__xludf.DUMMYFUNCTION("""COMPUTED_VALUE"""),"3 mos")</f>
        <v>3 mos</v>
      </c>
      <c r="H2522" s="1" t="str">
        <f>IFERROR(__xludf.DUMMYFUNCTION("""COMPUTED_VALUE"""),"comment")</f>
        <v>comment</v>
      </c>
      <c r="I2522"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22" s="1" t="str">
        <f>IFERROR(__xludf.DUMMYFUNCTION("""COMPUTED_VALUE"""),"2022-07-04T15:50:11.826Z")</f>
        <v>2022-07-04T15:50:11.826Z</v>
      </c>
      <c r="K2522" s="1"/>
    </row>
    <row r="2523">
      <c r="A2523" s="2" t="str">
        <f>IFERROR(__xludf.DUMMYFUNCTION("""COMPUTED_VALUE"""),"https://www.facebook.com/josefina.nalcot")</f>
        <v>https://www.facebook.com/josefina.nalcot</v>
      </c>
      <c r="B2523" s="1" t="str">
        <f>IFERROR(__xludf.DUMMYFUNCTION("""COMPUTED_VALUE"""),"Josefina Arizobal Nalcot")</f>
        <v>Josefina Arizobal Nalcot</v>
      </c>
      <c r="C2523" s="1" t="str">
        <f>IFERROR(__xludf.DUMMYFUNCTION("""COMPUTED_VALUE"""),"Josefina")</f>
        <v>Josefina</v>
      </c>
      <c r="D2523" s="1" t="str">
        <f>IFERROR(__xludf.DUMMYFUNCTION("""COMPUTED_VALUE"""),"Arizobal Nalcot")</f>
        <v>Arizobal Nalcot</v>
      </c>
      <c r="E2523" s="1" t="str">
        <f>IFERROR(__xludf.DUMMYFUNCTION("""COMPUTED_VALUE"""),"Mgbyad n kau ibalik  ang .....wg ang tao never3")</f>
        <v>Mgbyad n kau ibalik  ang .....wg ang tao never3</v>
      </c>
      <c r="F2523" s="1">
        <f>IFERROR(__xludf.DUMMYFUNCTION("""COMPUTED_VALUE"""),4.0)</f>
        <v>4</v>
      </c>
      <c r="G2523" s="1" t="str">
        <f>IFERROR(__xludf.DUMMYFUNCTION("""COMPUTED_VALUE"""),"3 mos")</f>
        <v>3 mos</v>
      </c>
      <c r="H2523" s="1" t="str">
        <f>IFERROR(__xludf.DUMMYFUNCTION("""COMPUTED_VALUE"""),"comment")</f>
        <v>comment</v>
      </c>
      <c r="I2523"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23" s="1" t="str">
        <f>IFERROR(__xludf.DUMMYFUNCTION("""COMPUTED_VALUE"""),"2022-07-04T15:50:11.826Z")</f>
        <v>2022-07-04T15:50:11.826Z</v>
      </c>
      <c r="K2523" s="1"/>
    </row>
    <row r="2524">
      <c r="A2524" s="2" t="str">
        <f>IFERROR(__xludf.DUMMYFUNCTION("""COMPUTED_VALUE"""),"https://www.facebook.com/profile.php?id=100072240556659")</f>
        <v>https://www.facebook.com/profile.php?id=100072240556659</v>
      </c>
      <c r="B2524" s="1" t="str">
        <f>IFERROR(__xludf.DUMMYFUNCTION("""COMPUTED_VALUE"""),"Pabs Bautista")</f>
        <v>Pabs Bautista</v>
      </c>
      <c r="C2524" s="1" t="str">
        <f>IFERROR(__xludf.DUMMYFUNCTION("""COMPUTED_VALUE"""),"Pabs")</f>
        <v>Pabs</v>
      </c>
      <c r="D2524" s="1" t="str">
        <f>IFERROR(__xludf.DUMMYFUNCTION("""COMPUTED_VALUE"""),"Bautista")</f>
        <v>Bautista</v>
      </c>
      <c r="E2524" s="1" t="str">
        <f>IFERROR(__xludf.DUMMYFUNCTION("""COMPUTED_VALUE"""),"Laslasin nio na lang mga Pulso nio... SusMe")</f>
        <v>Laslasin nio na lang mga Pulso nio... SusMe</v>
      </c>
      <c r="F2524" s="1"/>
      <c r="G2524" s="1" t="str">
        <f>IFERROR(__xludf.DUMMYFUNCTION("""COMPUTED_VALUE"""),"3 mos")</f>
        <v>3 mos</v>
      </c>
      <c r="H2524" s="1" t="str">
        <f>IFERROR(__xludf.DUMMYFUNCTION("""COMPUTED_VALUE"""),"comment")</f>
        <v>comment</v>
      </c>
      <c r="I2524"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24" s="1" t="str">
        <f>IFERROR(__xludf.DUMMYFUNCTION("""COMPUTED_VALUE"""),"2022-07-04T15:50:11.826Z")</f>
        <v>2022-07-04T15:50:11.826Z</v>
      </c>
      <c r="K2524" s="1"/>
    </row>
    <row r="2525">
      <c r="A2525" s="2" t="str">
        <f>IFERROR(__xludf.DUMMYFUNCTION("""COMPUTED_VALUE"""),"https://www.facebook.com/lorenza.ito.33")</f>
        <v>https://www.facebook.com/lorenza.ito.33</v>
      </c>
      <c r="B2525" s="1" t="str">
        <f>IFERROR(__xludf.DUMMYFUNCTION("""COMPUTED_VALUE"""),"Lorenza Ito")</f>
        <v>Lorenza Ito</v>
      </c>
      <c r="C2525" s="1" t="str">
        <f>IFERROR(__xludf.DUMMYFUNCTION("""COMPUTED_VALUE"""),"Lorenza")</f>
        <v>Lorenza</v>
      </c>
      <c r="D2525" s="1" t="str">
        <f>IFERROR(__xludf.DUMMYFUNCTION("""COMPUTED_VALUE"""),"Ito")</f>
        <v>Ito</v>
      </c>
      <c r="E2525" s="1" t="str">
        <f>IFERROR(__xludf.DUMMYFUNCTION("""COMPUTED_VALUE"""),"Brain wash yan...")</f>
        <v>Brain wash yan...</v>
      </c>
      <c r="F2525" s="1">
        <f>IFERROR(__xludf.DUMMYFUNCTION("""COMPUTED_VALUE"""),2.0)</f>
        <v>2</v>
      </c>
      <c r="G2525" s="1" t="str">
        <f>IFERROR(__xludf.DUMMYFUNCTION("""COMPUTED_VALUE"""),"3 mos")</f>
        <v>3 mos</v>
      </c>
      <c r="H2525" s="1" t="str">
        <f>IFERROR(__xludf.DUMMYFUNCTION("""COMPUTED_VALUE"""),"comment")</f>
        <v>comment</v>
      </c>
      <c r="I2525"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25" s="1" t="str">
        <f>IFERROR(__xludf.DUMMYFUNCTION("""COMPUTED_VALUE"""),"2022-07-04T15:50:11.826Z")</f>
        <v>2022-07-04T15:50:11.826Z</v>
      </c>
      <c r="K2525" s="1"/>
    </row>
    <row r="2526">
      <c r="A2526" s="2" t="str">
        <f>IFERROR(__xludf.DUMMYFUNCTION("""COMPUTED_VALUE"""),"https://www.facebook.com/lceleste3")</f>
        <v>https://www.facebook.com/lceleste3</v>
      </c>
      <c r="B2526" s="1" t="str">
        <f>IFERROR(__xludf.DUMMYFUNCTION("""COMPUTED_VALUE"""),"Lucy Celeste")</f>
        <v>Lucy Celeste</v>
      </c>
      <c r="C2526" s="1" t="str">
        <f>IFERROR(__xludf.DUMMYFUNCTION("""COMPUTED_VALUE"""),"Lucy")</f>
        <v>Lucy</v>
      </c>
      <c r="D2526" s="1" t="str">
        <f>IFERROR(__xludf.DUMMYFUNCTION("""COMPUTED_VALUE"""),"Celeste")</f>
        <v>Celeste</v>
      </c>
      <c r="E2526" s="1" t="str">
        <f>IFERROR(__xludf.DUMMYFUNCTION("""COMPUTED_VALUE"""),"Sana nga po.. 🙏😇")</f>
        <v>Sana nga po.. 🙏😇</v>
      </c>
      <c r="F2526" s="1"/>
      <c r="G2526" s="1" t="str">
        <f>IFERROR(__xludf.DUMMYFUNCTION("""COMPUTED_VALUE"""),"3 mos")</f>
        <v>3 mos</v>
      </c>
      <c r="H2526" s="1" t="str">
        <f>IFERROR(__xludf.DUMMYFUNCTION("""COMPUTED_VALUE"""),"comment")</f>
        <v>comment</v>
      </c>
      <c r="I2526" s="2" t="str">
        <f>IFERROR(__xludf.DUMMYFUNCTION("""COMPUTED_VALUE"""),"https://www.facebook.com/rapplerdotcom/posts/pfbid02BCyyacWVuuu1bwX5PwYK8PvqDGTANxekqEMy7qyV9vMmaGKTbC8sBf7i5j3Wbx9Ll")</f>
        <v>https://www.facebook.com/rapplerdotcom/posts/pfbid02BCyyacWVuuu1bwX5PwYK8PvqDGTANxekqEMy7qyV9vMmaGKTbC8sBf7i5j3Wbx9Ll</v>
      </c>
      <c r="J2526" s="1" t="str">
        <f>IFERROR(__xludf.DUMMYFUNCTION("""COMPUTED_VALUE"""),"2022-07-04T15:50:11.826Z")</f>
        <v>2022-07-04T15:50:11.826Z</v>
      </c>
      <c r="K2526" s="1"/>
    </row>
    <row r="2527">
      <c r="A2527" s="2" t="str">
        <f>IFERROR(__xludf.DUMMYFUNCTION("""COMPUTED_VALUE"""),"https://www.facebook.com/profile.php?id=100011366202531")</f>
        <v>https://www.facebook.com/profile.php?id=100011366202531</v>
      </c>
      <c r="B2527" s="1" t="str">
        <f>IFERROR(__xludf.DUMMYFUNCTION("""COMPUTED_VALUE"""),"Francis Abel")</f>
        <v>Francis Abel</v>
      </c>
      <c r="C2527" s="1" t="str">
        <f>IFERROR(__xludf.DUMMYFUNCTION("""COMPUTED_VALUE"""),"Francis")</f>
        <v>Francis</v>
      </c>
      <c r="D2527" s="1" t="str">
        <f>IFERROR(__xludf.DUMMYFUNCTION("""COMPUTED_VALUE"""),"Abel")</f>
        <v>Abel</v>
      </c>
      <c r="E2527" s="1" t="str">
        <f>IFERROR(__xludf.DUMMYFUNCTION("""COMPUTED_VALUE"""),"I couldn't agree more... like any successor, she is a better one for sure.💗🌷")</f>
        <v>I couldn't agree more... like any successor, she is a better one for sure.💗🌷</v>
      </c>
      <c r="F2527" s="1"/>
      <c r="G2527" s="1" t="str">
        <f>IFERROR(__xludf.DUMMYFUNCTION("""COMPUTED_VALUE"""),"3 mos")</f>
        <v>3 mos</v>
      </c>
      <c r="H2527" s="1" t="str">
        <f>IFERROR(__xludf.DUMMYFUNCTION("""COMPUTED_VALUE"""),"comment")</f>
        <v>comment</v>
      </c>
      <c r="I2527"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27" s="1" t="str">
        <f>IFERROR(__xludf.DUMMYFUNCTION("""COMPUTED_VALUE"""),"2022-07-04T15:50:43.109Z")</f>
        <v>2022-07-04T15:50:43.109Z</v>
      </c>
      <c r="K2527" s="1"/>
    </row>
    <row r="2528">
      <c r="A2528" s="2" t="str">
        <f>IFERROR(__xludf.DUMMYFUNCTION("""COMPUTED_VALUE"""),"https://www.facebook.com/vhersapitula")</f>
        <v>https://www.facebook.com/vhersapitula</v>
      </c>
      <c r="B2528" s="1" t="str">
        <f>IFERROR(__xludf.DUMMYFUNCTION("""COMPUTED_VALUE"""),"Vher Sapitula")</f>
        <v>Vher Sapitula</v>
      </c>
      <c r="C2528" s="1" t="str">
        <f>IFERROR(__xludf.DUMMYFUNCTION("""COMPUTED_VALUE"""),"Vher")</f>
        <v>Vher</v>
      </c>
      <c r="D2528" s="1" t="str">
        <f>IFERROR(__xludf.DUMMYFUNCTION("""COMPUTED_VALUE"""),"Sapitula")</f>
        <v>Sapitula</v>
      </c>
      <c r="E2528" s="1" t="str">
        <f>IFERROR(__xludf.DUMMYFUNCTION("""COMPUTED_VALUE"""),"Len-len lutang libre mangarap...")</f>
        <v>Len-len lutang libre mangarap...</v>
      </c>
      <c r="F2528" s="1">
        <f>IFERROR(__xludf.DUMMYFUNCTION("""COMPUTED_VALUE"""),11.0)</f>
        <v>11</v>
      </c>
      <c r="G2528" s="1" t="str">
        <f>IFERROR(__xludf.DUMMYFUNCTION("""COMPUTED_VALUE"""),"3 mos")</f>
        <v>3 mos</v>
      </c>
      <c r="H2528" s="1" t="str">
        <f>IFERROR(__xludf.DUMMYFUNCTION("""COMPUTED_VALUE"""),"comment")</f>
        <v>comment</v>
      </c>
      <c r="I2528"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28" s="1" t="str">
        <f>IFERROR(__xludf.DUMMYFUNCTION("""COMPUTED_VALUE"""),"2022-07-04T15:50:43.109Z")</f>
        <v>2022-07-04T15:50:43.109Z</v>
      </c>
      <c r="K2528" s="1"/>
    </row>
    <row r="2529">
      <c r="A2529" s="2" t="str">
        <f>IFERROR(__xludf.DUMMYFUNCTION("""COMPUTED_VALUE"""),"https://www.facebook.com/IamRoselleBaltazar")</f>
        <v>https://www.facebook.com/IamRoselleBaltazar</v>
      </c>
      <c r="B2529" s="1" t="str">
        <f>IFERROR(__xludf.DUMMYFUNCTION("""COMPUTED_VALUE"""),"Roselle Baltazar")</f>
        <v>Roselle Baltazar</v>
      </c>
      <c r="C2529" s="1" t="str">
        <f>IFERROR(__xludf.DUMMYFUNCTION("""COMPUTED_VALUE"""),"Roselle")</f>
        <v>Roselle</v>
      </c>
      <c r="D2529" s="1" t="str">
        <f>IFERROR(__xludf.DUMMYFUNCTION("""COMPUTED_VALUE"""),"Baltazar")</f>
        <v>Baltazar</v>
      </c>
      <c r="E2529" s="1" t="str">
        <f>IFERROR(__xludf.DUMMYFUNCTION("""COMPUTED_VALUE"""),"Vher Sapitula  lutang na lutang po talaga. 🙊  https://fb.watch/bZbb2LFA7_/  https://fb.watch/bZbd7kZ_zI/")</f>
        <v>Vher Sapitula  lutang na lutang po talaga. 🙊  https://fb.watch/bZbb2LFA7_/  https://fb.watch/bZbd7kZ_zI/</v>
      </c>
      <c r="F2529" s="1">
        <f>IFERROR(__xludf.DUMMYFUNCTION("""COMPUTED_VALUE"""),2.0)</f>
        <v>2</v>
      </c>
      <c r="G2529" s="1" t="str">
        <f>IFERROR(__xludf.DUMMYFUNCTION("""COMPUTED_VALUE"""),"March 25 at 1:12 AM")</f>
        <v>March 25 at 1:12 AM</v>
      </c>
      <c r="H2529" s="1" t="str">
        <f>IFERROR(__xludf.DUMMYFUNCTION("""COMPUTED_VALUE"""),"reply")</f>
        <v>reply</v>
      </c>
      <c r="I2529"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29" s="1" t="str">
        <f>IFERROR(__xludf.DUMMYFUNCTION("""COMPUTED_VALUE"""),"2022-07-04T15:50:43.109Z")</f>
        <v>2022-07-04T15:50:43.109Z</v>
      </c>
      <c r="K2529" s="1"/>
    </row>
    <row r="2530">
      <c r="A2530" s="2" t="str">
        <f>IFERROR(__xludf.DUMMYFUNCTION("""COMPUTED_VALUE"""),"https://www.facebook.com/profile.php?id=100004103093312")</f>
        <v>https://www.facebook.com/profile.php?id=100004103093312</v>
      </c>
      <c r="B2530" s="1" t="str">
        <f>IFERROR(__xludf.DUMMYFUNCTION("""COMPUTED_VALUE"""),"Adors Adriano")</f>
        <v>Adors Adriano</v>
      </c>
      <c r="C2530" s="1" t="str">
        <f>IFERROR(__xludf.DUMMYFUNCTION("""COMPUTED_VALUE"""),"Adors")</f>
        <v>Adors</v>
      </c>
      <c r="D2530" s="1" t="str">
        <f>IFERROR(__xludf.DUMMYFUNCTION("""COMPUTED_VALUE"""),"Adriano")</f>
        <v>Adriano</v>
      </c>
      <c r="E2530" s="1" t="str">
        <f>IFERROR(__xludf.DUMMYFUNCTION("""COMPUTED_VALUE"""),"Vher Sapitula Oo lutang sya, at lumulutang sya sa alapaap ng kaligayahan dahil sa dami at bumubuhos na naninindigan para sa magandang kinabukasan. #CaMaNaVaForLeniKiko #CaMaNaVaIsPink 💗💚💗💚💗💚💗💚💗💚💗💚💗💚💗💚💗💚💗💚💗💚💗💚💗💚💗💚💗💚")</f>
        <v>Vher Sapitula Oo lutang sya, at lumulutang sya sa alapaap ng kaligayahan dahil sa dami at bumubuhos na naninindigan para sa magandang kinabukasan. #CaMaNaVaForLeniKiko #CaMaNaVaIsPink 💗💚💗💚💗💚💗💚💗💚💗💚💗💚💗💚💗💚💗💚💗💚💗💚💗💚💗💚💗💚</v>
      </c>
      <c r="F2530" s="1">
        <f>IFERROR(__xludf.DUMMYFUNCTION("""COMPUTED_VALUE"""),1.0)</f>
        <v>1</v>
      </c>
      <c r="G2530" s="1" t="str">
        <f>IFERROR(__xludf.DUMMYFUNCTION("""COMPUTED_VALUE"""),"3 mos")</f>
        <v>3 mos</v>
      </c>
      <c r="H2530" s="1" t="str">
        <f>IFERROR(__xludf.DUMMYFUNCTION("""COMPUTED_VALUE"""),"reply")</f>
        <v>reply</v>
      </c>
      <c r="I2530"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0" s="1" t="str">
        <f>IFERROR(__xludf.DUMMYFUNCTION("""COMPUTED_VALUE"""),"2022-07-04T15:50:43.109Z")</f>
        <v>2022-07-04T15:50:43.109Z</v>
      </c>
      <c r="K2530" s="1"/>
    </row>
    <row r="2531">
      <c r="A2531" s="2" t="str">
        <f>IFERROR(__xludf.DUMMYFUNCTION("""COMPUTED_VALUE"""),"https://www.facebook.com/laura.coloma.7")</f>
        <v>https://www.facebook.com/laura.coloma.7</v>
      </c>
      <c r="B2531" s="1" t="str">
        <f>IFERROR(__xludf.DUMMYFUNCTION("""COMPUTED_VALUE"""),"Laura Coloma")</f>
        <v>Laura Coloma</v>
      </c>
      <c r="C2531" s="1" t="str">
        <f>IFERROR(__xludf.DUMMYFUNCTION("""COMPUTED_VALUE"""),"Laura")</f>
        <v>Laura</v>
      </c>
      <c r="D2531" s="1" t="str">
        <f>IFERROR(__xludf.DUMMYFUNCTION("""COMPUTED_VALUE"""),"Coloma")</f>
        <v>Coloma</v>
      </c>
      <c r="E2531" s="1" t="str">
        <f>IFERROR(__xludf.DUMMYFUNCTION("""COMPUTED_VALUE"""),"Ang mag de decide pa rin ay mga tao...sila ang pipili...at hindi yung kung sino lang....anf mga tao ang magluluklok sa taong gusto nila...huwag nating pangunahan....mas matatalino na mga tao...at hindi na nagpapadala sa mga mainstream media.....marami nan"&amp;"g sources at hindi na nagpapadala sa mga  maling impormasyon...")</f>
        <v>Ang mag de decide pa rin ay mga tao...sila ang pipili...at hindi yung kung sino lang....anf mga tao ang magluluklok sa taong gusto nila...huwag nating pangunahan....mas matatalino na mga tao...at hindi na nagpapadala sa mga mainstream media.....marami nang sources at hindi na nagpapadala sa mga  maling impormasyon...</v>
      </c>
      <c r="F2531" s="1"/>
      <c r="G2531" s="1" t="str">
        <f>IFERROR(__xludf.DUMMYFUNCTION("""COMPUTED_VALUE"""),"3 mos")</f>
        <v>3 mos</v>
      </c>
      <c r="H2531" s="1" t="str">
        <f>IFERROR(__xludf.DUMMYFUNCTION("""COMPUTED_VALUE"""),"comment")</f>
        <v>comment</v>
      </c>
      <c r="I2531"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1" s="1" t="str">
        <f>IFERROR(__xludf.DUMMYFUNCTION("""COMPUTED_VALUE"""),"2022-07-04T15:50:43.109Z")</f>
        <v>2022-07-04T15:50:43.109Z</v>
      </c>
      <c r="K2531" s="1"/>
    </row>
    <row r="2532">
      <c r="A2532" s="2" t="str">
        <f>IFERROR(__xludf.DUMMYFUNCTION("""COMPUTED_VALUE"""),"https://www.facebook.com/jingbong.suan")</f>
        <v>https://www.facebook.com/jingbong.suan</v>
      </c>
      <c r="B2532" s="1" t="str">
        <f>IFERROR(__xludf.DUMMYFUNCTION("""COMPUTED_VALUE"""),"Felix Suan")</f>
        <v>Felix Suan</v>
      </c>
      <c r="C2532" s="1" t="str">
        <f>IFERROR(__xludf.DUMMYFUNCTION("""COMPUTED_VALUE"""),"Felix")</f>
        <v>Felix</v>
      </c>
      <c r="D2532" s="1" t="str">
        <f>IFERROR(__xludf.DUMMYFUNCTION("""COMPUTED_VALUE"""),"Suan")</f>
        <v>Suan</v>
      </c>
      <c r="E2532" s="1" t="str">
        <f>IFERROR(__xludf.DUMMYFUNCTION("""COMPUTED_VALUE"""),"ayaw na naming maduterte pa ulit")</f>
        <v>ayaw na naming maduterte pa ulit</v>
      </c>
      <c r="F2532" s="1">
        <f>IFERROR(__xludf.DUMMYFUNCTION("""COMPUTED_VALUE"""),9.0)</f>
        <v>9</v>
      </c>
      <c r="G2532" s="1" t="str">
        <f>IFERROR(__xludf.DUMMYFUNCTION("""COMPUTED_VALUE"""),"3 mos")</f>
        <v>3 mos</v>
      </c>
      <c r="H2532" s="1" t="str">
        <f>IFERROR(__xludf.DUMMYFUNCTION("""COMPUTED_VALUE"""),"comment")</f>
        <v>comment</v>
      </c>
      <c r="I2532"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2" s="1" t="str">
        <f>IFERROR(__xludf.DUMMYFUNCTION("""COMPUTED_VALUE"""),"2022-07-04T15:50:43.109Z")</f>
        <v>2022-07-04T15:50:43.109Z</v>
      </c>
      <c r="K2532" s="1"/>
    </row>
    <row r="2533">
      <c r="A2533" s="2" t="str">
        <f>IFERROR(__xludf.DUMMYFUNCTION("""COMPUTED_VALUE"""),"https://www.facebook.com/esting.cabrerazaAaAaA")</f>
        <v>https://www.facebook.com/esting.cabrerazaAaAaA</v>
      </c>
      <c r="B2533" s="1" t="str">
        <f>IFERROR(__xludf.DUMMYFUNCTION("""COMPUTED_VALUE"""),"Esting Cabrera")</f>
        <v>Esting Cabrera</v>
      </c>
      <c r="C2533" s="1" t="str">
        <f>IFERROR(__xludf.DUMMYFUNCTION("""COMPUTED_VALUE"""),"Esting")</f>
        <v>Esting</v>
      </c>
      <c r="D2533" s="1" t="str">
        <f>IFERROR(__xludf.DUMMYFUNCTION("""COMPUTED_VALUE"""),"Cabrera")</f>
        <v>Cabrera</v>
      </c>
      <c r="E2533" s="1" t="str">
        <f>IFERROR(__xludf.DUMMYFUNCTION("""COMPUTED_VALUE"""),"Felix Suan oo nga.po grabe iniwan na utang 12.2trillion npka laki ilan porsiento kya napunta sa nga bulsa ng mga ganid na pulitiko.numero uno pandemic a very good source of corruption..")</f>
        <v>Felix Suan oo nga.po grabe iniwan na utang 12.2trillion npka laki ilan porsiento kya napunta sa nga bulsa ng mga ganid na pulitiko.numero uno pandemic a very good source of corruption..</v>
      </c>
      <c r="F2533" s="1">
        <f>IFERROR(__xludf.DUMMYFUNCTION("""COMPUTED_VALUE"""),2.0)</f>
        <v>2</v>
      </c>
      <c r="G2533" s="1" t="str">
        <f>IFERROR(__xludf.DUMMYFUNCTION("""COMPUTED_VALUE"""),"3 mos")</f>
        <v>3 mos</v>
      </c>
      <c r="H2533" s="1" t="str">
        <f>IFERROR(__xludf.DUMMYFUNCTION("""COMPUTED_VALUE"""),"reply")</f>
        <v>reply</v>
      </c>
      <c r="I2533"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3" s="1" t="str">
        <f>IFERROR(__xludf.DUMMYFUNCTION("""COMPUTED_VALUE"""),"2022-07-04T15:50:43.109Z")</f>
        <v>2022-07-04T15:50:43.109Z</v>
      </c>
      <c r="K2533" s="1"/>
    </row>
    <row r="2534">
      <c r="A2534" s="2" t="str">
        <f>IFERROR(__xludf.DUMMYFUNCTION("""COMPUTED_VALUE"""),"https://www.facebook.com/alma.bautista.148")</f>
        <v>https://www.facebook.com/alma.bautista.148</v>
      </c>
      <c r="B2534" s="1" t="str">
        <f>IFERROR(__xludf.DUMMYFUNCTION("""COMPUTED_VALUE"""),"Maria Alma Bautista")</f>
        <v>Maria Alma Bautista</v>
      </c>
      <c r="C2534" s="1" t="str">
        <f>IFERROR(__xludf.DUMMYFUNCTION("""COMPUTED_VALUE"""),"Maria")</f>
        <v>Maria</v>
      </c>
      <c r="D2534" s="1" t="str">
        <f>IFERROR(__xludf.DUMMYFUNCTION("""COMPUTED_VALUE"""),"Alma Bautista")</f>
        <v>Alma Bautista</v>
      </c>
      <c r="E2534" s="1" t="str">
        <f>IFERROR(__xludf.DUMMYFUNCTION("""COMPUTED_VALUE"""),"Maria Alma Bautista")</f>
        <v>Maria Alma Bautista</v>
      </c>
      <c r="F2534" s="1">
        <f>IFERROR(__xludf.DUMMYFUNCTION("""COMPUTED_VALUE"""),4.0)</f>
        <v>4</v>
      </c>
      <c r="G2534" s="1" t="str">
        <f>IFERROR(__xludf.DUMMYFUNCTION("""COMPUTED_VALUE"""),"3 mos")</f>
        <v>3 mos</v>
      </c>
      <c r="H2534" s="1" t="str">
        <f>IFERROR(__xludf.DUMMYFUNCTION("""COMPUTED_VALUE"""),"comment")</f>
        <v>comment</v>
      </c>
      <c r="I2534"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4" s="1" t="str">
        <f>IFERROR(__xludf.DUMMYFUNCTION("""COMPUTED_VALUE"""),"2022-07-04T15:50:43.109Z")</f>
        <v>2022-07-04T15:50:43.109Z</v>
      </c>
      <c r="K2534" s="1"/>
    </row>
    <row r="2535">
      <c r="A2535" s="2" t="str">
        <f>IFERROR(__xludf.DUMMYFUNCTION("""COMPUTED_VALUE"""),"https://www.facebook.com/jrockersgsm")</f>
        <v>https://www.facebook.com/jrockersgsm</v>
      </c>
      <c r="B2535" s="1" t="str">
        <f>IFERROR(__xludf.DUMMYFUNCTION("""COMPUTED_VALUE"""),"Jovey Seson Laput")</f>
        <v>Jovey Seson Laput</v>
      </c>
      <c r="C2535" s="1" t="str">
        <f>IFERROR(__xludf.DUMMYFUNCTION("""COMPUTED_VALUE"""),"Jovey")</f>
        <v>Jovey</v>
      </c>
      <c r="D2535" s="1" t="str">
        <f>IFERROR(__xludf.DUMMYFUNCTION("""COMPUTED_VALUE"""),"Seson Laput")</f>
        <v>Seson Laput</v>
      </c>
      <c r="E2535" s="1" t="str">
        <f>IFERROR(__xludf.DUMMYFUNCTION("""COMPUTED_VALUE"""),"Maawa napo kau kay lenlen.😂🤣")</f>
        <v>Maawa napo kau kay lenlen.😂🤣</v>
      </c>
      <c r="F2535" s="1"/>
      <c r="G2535" s="1" t="str">
        <f>IFERROR(__xludf.DUMMYFUNCTION("""COMPUTED_VALUE"""),"3 mos")</f>
        <v>3 mos</v>
      </c>
      <c r="H2535" s="1" t="str">
        <f>IFERROR(__xludf.DUMMYFUNCTION("""COMPUTED_VALUE"""),"comment")</f>
        <v>comment</v>
      </c>
      <c r="I2535"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5" s="1" t="str">
        <f>IFERROR(__xludf.DUMMYFUNCTION("""COMPUTED_VALUE"""),"2022-07-04T15:50:43.109Z")</f>
        <v>2022-07-04T15:50:43.109Z</v>
      </c>
      <c r="K2535" s="1"/>
    </row>
    <row r="2536">
      <c r="A2536" s="2" t="str">
        <f>IFERROR(__xludf.DUMMYFUNCTION("""COMPUTED_VALUE"""),"https://www.facebook.com/marichu.espinosa.5")</f>
        <v>https://www.facebook.com/marichu.espinosa.5</v>
      </c>
      <c r="B2536" s="1" t="str">
        <f>IFERROR(__xludf.DUMMYFUNCTION("""COMPUTED_VALUE"""),"Marichu Espinosa")</f>
        <v>Marichu Espinosa</v>
      </c>
      <c r="C2536" s="1" t="str">
        <f>IFERROR(__xludf.DUMMYFUNCTION("""COMPUTED_VALUE"""),"Marichu")</f>
        <v>Marichu</v>
      </c>
      <c r="D2536" s="1" t="str">
        <f>IFERROR(__xludf.DUMMYFUNCTION("""COMPUTED_VALUE"""),"Espinosa")</f>
        <v>Espinosa</v>
      </c>
      <c r="E2536" s="1" t="str">
        <f>IFERROR(__xludf.DUMMYFUNCTION("""COMPUTED_VALUE"""),"tama po kyo.at bihira manalo ang indorso ng admin.")</f>
        <v>tama po kyo.at bihira manalo ang indorso ng admin.</v>
      </c>
      <c r="F2536" s="1">
        <f>IFERROR(__xludf.DUMMYFUNCTION("""COMPUTED_VALUE"""),9.0)</f>
        <v>9</v>
      </c>
      <c r="G2536" s="1" t="str">
        <f>IFERROR(__xludf.DUMMYFUNCTION("""COMPUTED_VALUE"""),"3 mos")</f>
        <v>3 mos</v>
      </c>
      <c r="H2536" s="1" t="str">
        <f>IFERROR(__xludf.DUMMYFUNCTION("""COMPUTED_VALUE"""),"comment")</f>
        <v>comment</v>
      </c>
      <c r="I2536"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6" s="1" t="str">
        <f>IFERROR(__xludf.DUMMYFUNCTION("""COMPUTED_VALUE"""),"2022-07-04T15:50:43.109Z")</f>
        <v>2022-07-04T15:50:43.109Z</v>
      </c>
      <c r="K2536" s="1"/>
    </row>
    <row r="2537">
      <c r="A2537" s="2" t="str">
        <f>IFERROR(__xludf.DUMMYFUNCTION("""COMPUTED_VALUE"""),"https://www.facebook.com/arnel.bernardino.9")</f>
        <v>https://www.facebook.com/arnel.bernardino.9</v>
      </c>
      <c r="B2537" s="1" t="str">
        <f>IFERROR(__xludf.DUMMYFUNCTION("""COMPUTED_VALUE"""),"Arnel Bernardino")</f>
        <v>Arnel Bernardino</v>
      </c>
      <c r="C2537" s="1" t="str">
        <f>IFERROR(__xludf.DUMMYFUNCTION("""COMPUTED_VALUE"""),"Arnel")</f>
        <v>Arnel</v>
      </c>
      <c r="D2537" s="1" t="str">
        <f>IFERROR(__xludf.DUMMYFUNCTION("""COMPUTED_VALUE"""),"Bernardino")</f>
        <v>Bernardino</v>
      </c>
      <c r="E2537" s="1" t="str">
        <f>IFERROR(__xludf.DUMMYFUNCTION("""COMPUTED_VALUE"""),"Marichu Espinosa wehhhh😂😂")</f>
        <v>Marichu Espinosa wehhhh😂😂</v>
      </c>
      <c r="F2537" s="1"/>
      <c r="G2537" s="1" t="str">
        <f>IFERROR(__xludf.DUMMYFUNCTION("""COMPUTED_VALUE"""),"3 mos")</f>
        <v>3 mos</v>
      </c>
      <c r="H2537" s="1" t="str">
        <f>IFERROR(__xludf.DUMMYFUNCTION("""COMPUTED_VALUE"""),"reply")</f>
        <v>reply</v>
      </c>
      <c r="I2537"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7" s="1" t="str">
        <f>IFERROR(__xludf.DUMMYFUNCTION("""COMPUTED_VALUE"""),"2022-07-04T15:50:43.109Z")</f>
        <v>2022-07-04T15:50:43.109Z</v>
      </c>
      <c r="K2537" s="1"/>
    </row>
    <row r="2538">
      <c r="A2538" s="2" t="str">
        <f>IFERROR(__xludf.DUMMYFUNCTION("""COMPUTED_VALUE"""),"https://www.facebook.com/rgrino1")</f>
        <v>https://www.facebook.com/rgrino1</v>
      </c>
      <c r="B2538" s="1" t="str">
        <f>IFERROR(__xludf.DUMMYFUNCTION("""COMPUTED_VALUE"""),"Ruc Griño")</f>
        <v>Ruc Griño</v>
      </c>
      <c r="C2538" s="1" t="str">
        <f>IFERROR(__xludf.DUMMYFUNCTION("""COMPUTED_VALUE"""),"Ruc")</f>
        <v>Ruc</v>
      </c>
      <c r="D2538" s="1" t="str">
        <f>IFERROR(__xludf.DUMMYFUNCTION("""COMPUTED_VALUE"""),"Griño")</f>
        <v>Griño</v>
      </c>
      <c r="E2538" s="1" t="str">
        <f>IFERROR(__xludf.DUMMYFUNCTION("""COMPUTED_VALUE"""),"Marichu Espinosa panu mo nasabi?? Lalo na kakarampot lang kau")</f>
        <v>Marichu Espinosa panu mo nasabi?? Lalo na kakarampot lang kau</v>
      </c>
      <c r="F2538" s="1"/>
      <c r="G2538" s="1" t="str">
        <f>IFERROR(__xludf.DUMMYFUNCTION("""COMPUTED_VALUE"""),"3 mos")</f>
        <v>3 mos</v>
      </c>
      <c r="H2538" s="1" t="str">
        <f>IFERROR(__xludf.DUMMYFUNCTION("""COMPUTED_VALUE"""),"reply")</f>
        <v>reply</v>
      </c>
      <c r="I2538"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8" s="1" t="str">
        <f>IFERROR(__xludf.DUMMYFUNCTION("""COMPUTED_VALUE"""),"2022-07-04T15:50:43.109Z")</f>
        <v>2022-07-04T15:50:43.109Z</v>
      </c>
      <c r="K2538" s="1"/>
    </row>
    <row r="2539">
      <c r="A2539" s="2" t="str">
        <f>IFERROR(__xludf.DUMMYFUNCTION("""COMPUTED_VALUE"""),"https://www.facebook.com/kawboy02")</f>
        <v>https://www.facebook.com/kawboy02</v>
      </c>
      <c r="B2539" s="1" t="str">
        <f>IFERROR(__xludf.DUMMYFUNCTION("""COMPUTED_VALUE"""),"Rico James U. Felasol")</f>
        <v>Rico James U. Felasol</v>
      </c>
      <c r="C2539" s="1" t="str">
        <f>IFERROR(__xludf.DUMMYFUNCTION("""COMPUTED_VALUE"""),"Rico")</f>
        <v>Rico</v>
      </c>
      <c r="D2539" s="1" t="str">
        <f>IFERROR(__xludf.DUMMYFUNCTION("""COMPUTED_VALUE"""),"James U. Felasol")</f>
        <v>James U. Felasol</v>
      </c>
      <c r="E2539" s="1" t="str">
        <f>IFERROR(__xludf.DUMMYFUNCTION("""COMPUTED_VALUE"""),"Marichu Espinosa Mind Conditioning Sigurado may Dayaan sa May 9 Buti nahuli Yung Breached Sa Comelec Kaya kompyansa kayu")</f>
        <v>Marichu Espinosa Mind Conditioning Sigurado may Dayaan sa May 9 Buti nahuli Yung Breached Sa Comelec Kaya kompyansa kayu</v>
      </c>
      <c r="F2539" s="1"/>
      <c r="G2539" s="1" t="str">
        <f>IFERROR(__xludf.DUMMYFUNCTION("""COMPUTED_VALUE"""),"3 mos")</f>
        <v>3 mos</v>
      </c>
      <c r="H2539" s="1" t="str">
        <f>IFERROR(__xludf.DUMMYFUNCTION("""COMPUTED_VALUE"""),"reply")</f>
        <v>reply</v>
      </c>
      <c r="I2539"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39" s="1" t="str">
        <f>IFERROR(__xludf.DUMMYFUNCTION("""COMPUTED_VALUE"""),"2022-07-04T15:50:43.109Z")</f>
        <v>2022-07-04T15:50:43.109Z</v>
      </c>
      <c r="K2539" s="1"/>
    </row>
    <row r="2540">
      <c r="A2540" s="2" t="str">
        <f>IFERROR(__xludf.DUMMYFUNCTION("""COMPUTED_VALUE"""),"https://www.facebook.com/vanessa.cabelto")</f>
        <v>https://www.facebook.com/vanessa.cabelto</v>
      </c>
      <c r="B2540" s="1" t="str">
        <f>IFERROR(__xludf.DUMMYFUNCTION("""COMPUTED_VALUE"""),"Vanessa Cabelto")</f>
        <v>Vanessa Cabelto</v>
      </c>
      <c r="C2540" s="1" t="str">
        <f>IFERROR(__xludf.DUMMYFUNCTION("""COMPUTED_VALUE"""),"Vanessa")</f>
        <v>Vanessa</v>
      </c>
      <c r="D2540" s="1" t="str">
        <f>IFERROR(__xludf.DUMMYFUNCTION("""COMPUTED_VALUE"""),"Cabelto")</f>
        <v>Cabelto</v>
      </c>
      <c r="E2540" s="1" t="str">
        <f>IFERROR(__xludf.DUMMYFUNCTION("""COMPUTED_VALUE"""),"Vanessa Cabelto")</f>
        <v>Vanessa Cabelto</v>
      </c>
      <c r="F2540" s="1"/>
      <c r="G2540" s="1" t="str">
        <f>IFERROR(__xludf.DUMMYFUNCTION("""COMPUTED_VALUE"""),"3 mos")</f>
        <v>3 mos</v>
      </c>
      <c r="H2540" s="1" t="str">
        <f>IFERROR(__xludf.DUMMYFUNCTION("""COMPUTED_VALUE"""),"comment")</f>
        <v>comment</v>
      </c>
      <c r="I2540"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0" s="1" t="str">
        <f>IFERROR(__xludf.DUMMYFUNCTION("""COMPUTED_VALUE"""),"2022-07-04T15:50:43.109Z")</f>
        <v>2022-07-04T15:50:43.109Z</v>
      </c>
      <c r="K2540" s="1"/>
    </row>
    <row r="2541">
      <c r="A2541" s="2" t="str">
        <f>IFERROR(__xludf.DUMMYFUNCTION("""COMPUTED_VALUE"""),"https://www.facebook.com/ronel.padrqiue")</f>
        <v>https://www.facebook.com/ronel.padrqiue</v>
      </c>
      <c r="B2541" s="1" t="str">
        <f>IFERROR(__xludf.DUMMYFUNCTION("""COMPUTED_VALUE"""),"Ronel Padrique")</f>
        <v>Ronel Padrique</v>
      </c>
      <c r="C2541" s="1" t="str">
        <f>IFERROR(__xludf.DUMMYFUNCTION("""COMPUTED_VALUE"""),"Ronel")</f>
        <v>Ronel</v>
      </c>
      <c r="D2541" s="1" t="str">
        <f>IFERROR(__xludf.DUMMYFUNCTION("""COMPUTED_VALUE"""),"Padrique")</f>
        <v>Padrique</v>
      </c>
      <c r="E2541" s="1" t="str">
        <f>IFERROR(__xludf.DUMMYFUNCTION("""COMPUTED_VALUE"""),"Mga botante ang magpapasya hindi ng kung sino man at nakikita natin yon sa kasalukuyan")</f>
        <v>Mga botante ang magpapasya hindi ng kung sino man at nakikita natin yon sa kasalukuyan</v>
      </c>
      <c r="F2541" s="1"/>
      <c r="G2541" s="1" t="str">
        <f>IFERROR(__xludf.DUMMYFUNCTION("""COMPUTED_VALUE"""),"3 mos")</f>
        <v>3 mos</v>
      </c>
      <c r="H2541" s="1" t="str">
        <f>IFERROR(__xludf.DUMMYFUNCTION("""COMPUTED_VALUE"""),"comment")</f>
        <v>comment</v>
      </c>
      <c r="I2541"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1" s="1" t="str">
        <f>IFERROR(__xludf.DUMMYFUNCTION("""COMPUTED_VALUE"""),"2022-07-04T15:50:43.109Z")</f>
        <v>2022-07-04T15:50:43.109Z</v>
      </c>
      <c r="K2541" s="1"/>
    </row>
    <row r="2542">
      <c r="A2542" s="2" t="str">
        <f>IFERROR(__xludf.DUMMYFUNCTION("""COMPUTED_VALUE"""),"https://www.facebook.com/carmen.tabarnilla")</f>
        <v>https://www.facebook.com/carmen.tabarnilla</v>
      </c>
      <c r="B2542" s="1" t="str">
        <f>IFERROR(__xludf.DUMMYFUNCTION("""COMPUTED_VALUE"""),"Carmen Eustaquio Tabarnilla")</f>
        <v>Carmen Eustaquio Tabarnilla</v>
      </c>
      <c r="C2542" s="1" t="str">
        <f>IFERROR(__xludf.DUMMYFUNCTION("""COMPUTED_VALUE"""),"Carmen")</f>
        <v>Carmen</v>
      </c>
      <c r="D2542" s="1" t="str">
        <f>IFERROR(__xludf.DUMMYFUNCTION("""COMPUTED_VALUE"""),"Eustaquio Tabarnilla")</f>
        <v>Eustaquio Tabarnilla</v>
      </c>
      <c r="E2542" s="1" t="str">
        <f>IFERROR(__xludf.DUMMYFUNCTION("""COMPUTED_VALUE"""),"❤💚")</f>
        <v>❤💚</v>
      </c>
      <c r="F2542" s="1"/>
      <c r="G2542" s="1" t="str">
        <f>IFERROR(__xludf.DUMMYFUNCTION("""COMPUTED_VALUE"""),"3 mos")</f>
        <v>3 mos</v>
      </c>
      <c r="H2542" s="1" t="str">
        <f>IFERROR(__xludf.DUMMYFUNCTION("""COMPUTED_VALUE"""),"comment")</f>
        <v>comment</v>
      </c>
      <c r="I2542"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2" s="1" t="str">
        <f>IFERROR(__xludf.DUMMYFUNCTION("""COMPUTED_VALUE"""),"2022-07-04T15:50:43.109Z")</f>
        <v>2022-07-04T15:50:43.109Z</v>
      </c>
      <c r="K2542" s="1"/>
    </row>
    <row r="2543">
      <c r="A2543" s="2" t="str">
        <f>IFERROR(__xludf.DUMMYFUNCTION("""COMPUTED_VALUE"""),"https://www.facebook.com/liv.viloria18")</f>
        <v>https://www.facebook.com/liv.viloria18</v>
      </c>
      <c r="B2543" s="1" t="str">
        <f>IFERROR(__xludf.DUMMYFUNCTION("""COMPUTED_VALUE"""),"Liv Viloria")</f>
        <v>Liv Viloria</v>
      </c>
      <c r="C2543" s="1" t="str">
        <f>IFERROR(__xludf.DUMMYFUNCTION("""COMPUTED_VALUE"""),"Liv")</f>
        <v>Liv</v>
      </c>
      <c r="D2543" s="1" t="str">
        <f>IFERROR(__xludf.DUMMYFUNCTION("""COMPUTED_VALUE"""),"Viloria")</f>
        <v>Viloria</v>
      </c>
      <c r="E2543" s="1" t="str">
        <f>IFERROR(__xludf.DUMMYFUNCTION("""COMPUTED_VALUE"""),"❤️💚")</f>
        <v>❤️💚</v>
      </c>
      <c r="F2543" s="1"/>
      <c r="G2543" s="1" t="str">
        <f>IFERROR(__xludf.DUMMYFUNCTION("""COMPUTED_VALUE"""),"3 mos")</f>
        <v>3 mos</v>
      </c>
      <c r="H2543" s="1" t="str">
        <f>IFERROR(__xludf.DUMMYFUNCTION("""COMPUTED_VALUE"""),"comment")</f>
        <v>comment</v>
      </c>
      <c r="I2543"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3" s="1" t="str">
        <f>IFERROR(__xludf.DUMMYFUNCTION("""COMPUTED_VALUE"""),"2022-07-04T15:50:43.109Z")</f>
        <v>2022-07-04T15:50:43.109Z</v>
      </c>
      <c r="K2543" s="1"/>
    </row>
    <row r="2544">
      <c r="A2544" s="2" t="str">
        <f>IFERROR(__xludf.DUMMYFUNCTION("""COMPUTED_VALUE"""),"https://www.facebook.com/jkeallano")</f>
        <v>https://www.facebook.com/jkeallano</v>
      </c>
      <c r="B2544" s="1" t="str">
        <f>IFERROR(__xludf.DUMMYFUNCTION("""COMPUTED_VALUE"""),"Jake Catanyag Semillano")</f>
        <v>Jake Catanyag Semillano</v>
      </c>
      <c r="C2544" s="1" t="str">
        <f>IFERROR(__xludf.DUMMYFUNCTION("""COMPUTED_VALUE"""),"Jake")</f>
        <v>Jake</v>
      </c>
      <c r="D2544" s="1" t="str">
        <f>IFERROR(__xludf.DUMMYFUNCTION("""COMPUTED_VALUE"""),"Catanyag Semillano")</f>
        <v>Catanyag Semillano</v>
      </c>
      <c r="E2544" s="1" t="str">
        <f>IFERROR(__xludf.DUMMYFUNCTION("""COMPUTED_VALUE"""),"🤔🤔😁")</f>
        <v>🤔🤔😁</v>
      </c>
      <c r="F2544" s="1"/>
      <c r="G2544" s="1" t="str">
        <f>IFERROR(__xludf.DUMMYFUNCTION("""COMPUTED_VALUE"""),"3 mos")</f>
        <v>3 mos</v>
      </c>
      <c r="H2544" s="1" t="str">
        <f>IFERROR(__xludf.DUMMYFUNCTION("""COMPUTED_VALUE"""),"comment")</f>
        <v>comment</v>
      </c>
      <c r="I2544"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4" s="1" t="str">
        <f>IFERROR(__xludf.DUMMYFUNCTION("""COMPUTED_VALUE"""),"2022-07-04T15:50:43.109Z")</f>
        <v>2022-07-04T15:50:43.109Z</v>
      </c>
      <c r="K2544" s="1"/>
    </row>
    <row r="2545">
      <c r="A2545" s="2" t="str">
        <f>IFERROR(__xludf.DUMMYFUNCTION("""COMPUTED_VALUE"""),"https://www.facebook.com/gregorio.deo")</f>
        <v>https://www.facebook.com/gregorio.deo</v>
      </c>
      <c r="B2545" s="1" t="str">
        <f>IFERROR(__xludf.DUMMYFUNCTION("""COMPUTED_VALUE"""),"Gregorio Deo")</f>
        <v>Gregorio Deo</v>
      </c>
      <c r="C2545" s="1" t="str">
        <f>IFERROR(__xludf.DUMMYFUNCTION("""COMPUTED_VALUE"""),"Gregorio")</f>
        <v>Gregorio</v>
      </c>
      <c r="D2545" s="1" t="str">
        <f>IFERROR(__xludf.DUMMYFUNCTION("""COMPUTED_VALUE"""),"Deo")</f>
        <v>Deo</v>
      </c>
      <c r="E2545" s="1" t="str">
        <f>IFERROR(__xludf.DUMMYFUNCTION("""COMPUTED_VALUE"""),"❤️💚✌️👊")</f>
        <v>❤️💚✌️👊</v>
      </c>
      <c r="F2545" s="1"/>
      <c r="G2545" s="1" t="str">
        <f>IFERROR(__xludf.DUMMYFUNCTION("""COMPUTED_VALUE"""),"3 mos")</f>
        <v>3 mos</v>
      </c>
      <c r="H2545" s="1" t="str">
        <f>IFERROR(__xludf.DUMMYFUNCTION("""COMPUTED_VALUE"""),"comment")</f>
        <v>comment</v>
      </c>
      <c r="I2545"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5" s="1" t="str">
        <f>IFERROR(__xludf.DUMMYFUNCTION("""COMPUTED_VALUE"""),"2022-07-04T15:50:43.109Z")</f>
        <v>2022-07-04T15:50:43.109Z</v>
      </c>
      <c r="K2545" s="1"/>
    </row>
    <row r="2546">
      <c r="A2546" s="2" t="str">
        <f>IFERROR(__xludf.DUMMYFUNCTION("""COMPUTED_VALUE"""),"https://www.facebook.com/kristine.r.nueva")</f>
        <v>https://www.facebook.com/kristine.r.nueva</v>
      </c>
      <c r="B2546" s="1" t="str">
        <f>IFERROR(__xludf.DUMMYFUNCTION("""COMPUTED_VALUE"""),"Kristine Reyes Nueva")</f>
        <v>Kristine Reyes Nueva</v>
      </c>
      <c r="C2546" s="1" t="str">
        <f>IFERROR(__xludf.DUMMYFUNCTION("""COMPUTED_VALUE"""),"Kristine")</f>
        <v>Kristine</v>
      </c>
      <c r="D2546" s="1" t="str">
        <f>IFERROR(__xludf.DUMMYFUNCTION("""COMPUTED_VALUE"""),"Reyes Nueva")</f>
        <v>Reyes Nueva</v>
      </c>
      <c r="E2546" s="1" t="str">
        <f>IFERROR(__xludf.DUMMYFUNCTION("""COMPUTED_VALUE"""),"❤️💚🇵🇭")</f>
        <v>❤️💚🇵🇭</v>
      </c>
      <c r="F2546" s="1"/>
      <c r="G2546" s="1" t="str">
        <f>IFERROR(__xludf.DUMMYFUNCTION("""COMPUTED_VALUE"""),"3 mos")</f>
        <v>3 mos</v>
      </c>
      <c r="H2546" s="1" t="str">
        <f>IFERROR(__xludf.DUMMYFUNCTION("""COMPUTED_VALUE"""),"comment")</f>
        <v>comment</v>
      </c>
      <c r="I2546"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6" s="1" t="str">
        <f>IFERROR(__xludf.DUMMYFUNCTION("""COMPUTED_VALUE"""),"2022-07-04T15:50:43.109Z")</f>
        <v>2022-07-04T15:50:43.109Z</v>
      </c>
      <c r="K2546" s="1"/>
    </row>
    <row r="2547">
      <c r="A2547" s="2" t="str">
        <f>IFERROR(__xludf.DUMMYFUNCTION("""COMPUTED_VALUE"""),"https://www.facebook.com/norieann.ramos")</f>
        <v>https://www.facebook.com/norieann.ramos</v>
      </c>
      <c r="B2547" s="1" t="str">
        <f>IFERROR(__xludf.DUMMYFUNCTION("""COMPUTED_VALUE"""),"Norie Ann Serrano")</f>
        <v>Norie Ann Serrano</v>
      </c>
      <c r="C2547" s="1" t="str">
        <f>IFERROR(__xludf.DUMMYFUNCTION("""COMPUTED_VALUE"""),"Norie")</f>
        <v>Norie</v>
      </c>
      <c r="D2547" s="1" t="str">
        <f>IFERROR(__xludf.DUMMYFUNCTION("""COMPUTED_VALUE"""),"Ann Serrano")</f>
        <v>Ann Serrano</v>
      </c>
      <c r="E2547" s="1" t="str">
        <f>IFERROR(__xludf.DUMMYFUNCTION("""COMPUTED_VALUE"""),"https://clickpartylist.ph/ CLICK NA CLICK BUHAY GAWING HIGHTECH No.40 sa balota")</f>
        <v>https://clickpartylist.ph/ CLICK NA CLICK BUHAY GAWING HIGHTECH No.40 sa balota</v>
      </c>
      <c r="F2547" s="1"/>
      <c r="G2547" s="1" t="str">
        <f>IFERROR(__xludf.DUMMYFUNCTION("""COMPUTED_VALUE"""),"3 mos")</f>
        <v>3 mos</v>
      </c>
      <c r="H2547" s="1" t="str">
        <f>IFERROR(__xludf.DUMMYFUNCTION("""COMPUTED_VALUE"""),"comment")</f>
        <v>comment</v>
      </c>
      <c r="I2547"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7" s="1" t="str">
        <f>IFERROR(__xludf.DUMMYFUNCTION("""COMPUTED_VALUE"""),"2022-07-04T15:50:43.110Z")</f>
        <v>2022-07-04T15:50:43.110Z</v>
      </c>
      <c r="K2547" s="1"/>
    </row>
    <row r="2548">
      <c r="A2548" s="2" t="str">
        <f>IFERROR(__xludf.DUMMYFUNCTION("""COMPUTED_VALUE"""),"https://www.facebook.com/jheys.lupet")</f>
        <v>https://www.facebook.com/jheys.lupet</v>
      </c>
      <c r="B2548" s="1" t="str">
        <f>IFERROR(__xludf.DUMMYFUNCTION("""COMPUTED_VALUE"""),"Batan Jason")</f>
        <v>Batan Jason</v>
      </c>
      <c r="C2548" s="1" t="str">
        <f>IFERROR(__xludf.DUMMYFUNCTION("""COMPUTED_VALUE"""),"Batan")</f>
        <v>Batan</v>
      </c>
      <c r="D2548" s="1" t="str">
        <f>IFERROR(__xludf.DUMMYFUNCTION("""COMPUTED_VALUE"""),"Jason")</f>
        <v>Jason</v>
      </c>
      <c r="E2548" s="1" t="str">
        <f>IFERROR(__xludf.DUMMYFUNCTION("""COMPUTED_VALUE"""),"Norie Ann Serrano CLICK NA CLICK. BUHAY GAWIN HIGHTECH! https://www.facebook.com/CLICKpartylist")</f>
        <v>Norie Ann Serrano CLICK NA CLICK. BUHAY GAWIN HIGHTECH! https://www.facebook.com/CLICKpartylist</v>
      </c>
      <c r="F2548" s="1"/>
      <c r="G2548" s="1" t="str">
        <f>IFERROR(__xludf.DUMMYFUNCTION("""COMPUTED_VALUE"""),"3 mos")</f>
        <v>3 mos</v>
      </c>
      <c r="H2548" s="1" t="str">
        <f>IFERROR(__xludf.DUMMYFUNCTION("""COMPUTED_VALUE"""),"reply")</f>
        <v>reply</v>
      </c>
      <c r="I2548"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8" s="1" t="str">
        <f>IFERROR(__xludf.DUMMYFUNCTION("""COMPUTED_VALUE"""),"2022-07-04T15:50:43.110Z")</f>
        <v>2022-07-04T15:50:43.110Z</v>
      </c>
      <c r="K2548" s="1"/>
    </row>
    <row r="2549">
      <c r="A2549" s="2" t="str">
        <f>IFERROR(__xludf.DUMMYFUNCTION("""COMPUTED_VALUE"""),"https://www.facebook.com/kram.nia.5")</f>
        <v>https://www.facebook.com/kram.nia.5</v>
      </c>
      <c r="B2549" s="1" t="str">
        <f>IFERROR(__xludf.DUMMYFUNCTION("""COMPUTED_VALUE"""),"Jeho Akin")</f>
        <v>Jeho Akin</v>
      </c>
      <c r="C2549" s="1" t="str">
        <f>IFERROR(__xludf.DUMMYFUNCTION("""COMPUTED_VALUE"""),"Jeho")</f>
        <v>Jeho</v>
      </c>
      <c r="D2549" s="1" t="str">
        <f>IFERROR(__xludf.DUMMYFUNCTION("""COMPUTED_VALUE"""),"Akin")</f>
        <v>Akin</v>
      </c>
      <c r="E2549" s="1" t="str">
        <f>IFERROR(__xludf.DUMMYFUNCTION("""COMPUTED_VALUE"""),"Ayaw nyu pa tumigil Wala na finish na asan na yang presedential nyu")</f>
        <v>Ayaw nyu pa tumigil Wala na finish na asan na yang presedential nyu</v>
      </c>
      <c r="F2549" s="1"/>
      <c r="G2549" s="1" t="str">
        <f>IFERROR(__xludf.DUMMYFUNCTION("""COMPUTED_VALUE"""),"3 mos")</f>
        <v>3 mos</v>
      </c>
      <c r="H2549" s="1" t="str">
        <f>IFERROR(__xludf.DUMMYFUNCTION("""COMPUTED_VALUE"""),"comment")</f>
        <v>comment</v>
      </c>
      <c r="I2549" s="2" t="str">
        <f>IFERROR(__xludf.DUMMYFUNCTION("""COMPUTED_VALUE"""),"https://www.facebook.com/rapplerdotcom/posts/pfbid0231hbcbuKeQLDkPH8oZAdZbuU8MPPgRANx152V3xWpbjZ6EvfpohwQMvxHYAgrGPul")</f>
        <v>https://www.facebook.com/rapplerdotcom/posts/pfbid0231hbcbuKeQLDkPH8oZAdZbuU8MPPgRANx152V3xWpbjZ6EvfpohwQMvxHYAgrGPul</v>
      </c>
      <c r="J2549" s="1" t="str">
        <f>IFERROR(__xludf.DUMMYFUNCTION("""COMPUTED_VALUE"""),"2022-07-04T15:50:43.110Z")</f>
        <v>2022-07-04T15:50:43.110Z</v>
      </c>
      <c r="K2549" s="1"/>
    </row>
    <row r="2550">
      <c r="A2550" s="2" t="str">
        <f>IFERROR(__xludf.DUMMYFUNCTION("""COMPUTED_VALUE"""),"https://www.facebook.com/ivee.villarinarnaiz")</f>
        <v>https://www.facebook.com/ivee.villarinarnaiz</v>
      </c>
      <c r="B2550" s="1" t="str">
        <f>IFERROR(__xludf.DUMMYFUNCTION("""COMPUTED_VALUE"""),"Ivee Villarin")</f>
        <v>Ivee Villarin</v>
      </c>
      <c r="C2550" s="1" t="str">
        <f>IFERROR(__xludf.DUMMYFUNCTION("""COMPUTED_VALUE"""),"Ivee")</f>
        <v>Ivee</v>
      </c>
      <c r="D2550" s="1" t="str">
        <f>IFERROR(__xludf.DUMMYFUNCTION("""COMPUTED_VALUE"""),"Villarin")</f>
        <v>Villarin</v>
      </c>
      <c r="E2550" s="1" t="str">
        <f>IFERROR(__xludf.DUMMYFUNCTION("""COMPUTED_VALUE"""),"I hope people will realize nga sila ra gyud gibinuangan sa ilang grupo. Manipulating such video just to make their supporters think that it’s theirs is an absolute mockery to the intelligence of their supporters.  Let’s vote for the truth. 🇵🇭 💖")</f>
        <v>I hope people will realize nga sila ra gyud gibinuangan sa ilang grupo. Manipulating such video just to make their supporters think that it’s theirs is an absolute mockery to the intelligence of their supporters.  Let’s vote for the truth. 🇵🇭 💖</v>
      </c>
      <c r="F2550" s="1">
        <f>IFERROR(__xludf.DUMMYFUNCTION("""COMPUTED_VALUE"""),2.0)</f>
        <v>2</v>
      </c>
      <c r="G2550" s="1" t="str">
        <f>IFERROR(__xludf.DUMMYFUNCTION("""COMPUTED_VALUE"""),"3 mos")</f>
        <v>3 mos</v>
      </c>
      <c r="H2550" s="1" t="str">
        <f>IFERROR(__xludf.DUMMYFUNCTION("""COMPUTED_VALUE"""),"comment")</f>
        <v>comment</v>
      </c>
      <c r="I2550" s="2" t="str">
        <f>IFERROR(__xludf.DUMMYFUNCTION("""COMPUTED_VALUE"""),"https://www.facebook.com/rapplerdotcom/photos/a.317154781638645/5594264657260938/")</f>
        <v>https://www.facebook.com/rapplerdotcom/photos/a.317154781638645/5594264657260938/</v>
      </c>
      <c r="J2550" s="1" t="str">
        <f>IFERROR(__xludf.DUMMYFUNCTION("""COMPUTED_VALUE"""),"2022-07-04T15:51:46.028Z")</f>
        <v>2022-07-04T15:51:46.028Z</v>
      </c>
      <c r="K2550" s="1"/>
    </row>
    <row r="2551">
      <c r="A2551" s="2" t="str">
        <f>IFERROR(__xludf.DUMMYFUNCTION("""COMPUTED_VALUE"""),"https://www.facebook.com/ness.lansang.1")</f>
        <v>https://www.facebook.com/ness.lansang.1</v>
      </c>
      <c r="B2551" s="1" t="str">
        <f>IFERROR(__xludf.DUMMYFUNCTION("""COMPUTED_VALUE"""),"Ness Lansang")</f>
        <v>Ness Lansang</v>
      </c>
      <c r="C2551" s="1" t="str">
        <f>IFERROR(__xludf.DUMMYFUNCTION("""COMPUTED_VALUE"""),"Ness")</f>
        <v>Ness</v>
      </c>
      <c r="D2551" s="1" t="str">
        <f>IFERROR(__xludf.DUMMYFUNCTION("""COMPUTED_VALUE"""),"Lansang")</f>
        <v>Lansang</v>
      </c>
      <c r="E2551" s="1" t="str">
        <f>IFERROR(__xludf.DUMMYFUNCTION("""COMPUTED_VALUE"""),"Nawala sa tamang daan itong c Andrew E. Sayang! #lenikiko2022gobernongtapat #kulayrosasangkulayngbukas")</f>
        <v>Nawala sa tamang daan itong c Andrew E. Sayang! #lenikiko2022gobernongtapat #kulayrosasangkulayngbukas</v>
      </c>
      <c r="F2551" s="1">
        <f>IFERROR(__xludf.DUMMYFUNCTION("""COMPUTED_VALUE"""),29.0)</f>
        <v>29</v>
      </c>
      <c r="G2551" s="1" t="str">
        <f>IFERROR(__xludf.DUMMYFUNCTION("""COMPUTED_VALUE"""),"3 mos")</f>
        <v>3 mos</v>
      </c>
      <c r="H2551" s="1" t="str">
        <f>IFERROR(__xludf.DUMMYFUNCTION("""COMPUTED_VALUE"""),"comment")</f>
        <v>comment</v>
      </c>
      <c r="I2551" s="2" t="str">
        <f>IFERROR(__xludf.DUMMYFUNCTION("""COMPUTED_VALUE"""),"https://www.facebook.com/rapplerdotcom/photos/a.317154781638645/5594264657260938/")</f>
        <v>https://www.facebook.com/rapplerdotcom/photos/a.317154781638645/5594264657260938/</v>
      </c>
      <c r="J2551" s="1" t="str">
        <f>IFERROR(__xludf.DUMMYFUNCTION("""COMPUTED_VALUE"""),"2022-07-04T15:51:46.028Z")</f>
        <v>2022-07-04T15:51:46.028Z</v>
      </c>
      <c r="K2551" s="1"/>
    </row>
    <row r="2552">
      <c r="A2552" s="2" t="str">
        <f>IFERROR(__xludf.DUMMYFUNCTION("""COMPUTED_VALUE"""),"https://www.facebook.com/zion.poliquit.54")</f>
        <v>https://www.facebook.com/zion.poliquit.54</v>
      </c>
      <c r="B2552" s="1" t="str">
        <f>IFERROR(__xludf.DUMMYFUNCTION("""COMPUTED_VALUE"""),"Zion Zion")</f>
        <v>Zion Zion</v>
      </c>
      <c r="C2552" s="1" t="str">
        <f>IFERROR(__xludf.DUMMYFUNCTION("""COMPUTED_VALUE"""),"Zion")</f>
        <v>Zion</v>
      </c>
      <c r="D2552" s="1" t="str">
        <f>IFERROR(__xludf.DUMMYFUNCTION("""COMPUTED_VALUE"""),"Zion")</f>
        <v>Zion</v>
      </c>
      <c r="E2552" s="1" t="str">
        <f>IFERROR(__xludf.DUMMYFUNCTION("""COMPUTED_VALUE"""),"Ness Lansang AT IKAW NASA TAMANG DAAN? O MAY TAMANG LUTANG NA DAAN? KULAY ROSAS ANG PEK2X NI LENIDORO")</f>
        <v>Ness Lansang AT IKAW NASA TAMANG DAAN? O MAY TAMANG LUTANG NA DAAN? KULAY ROSAS ANG PEK2X NI LENIDORO</v>
      </c>
      <c r="F2552" s="1"/>
      <c r="G2552" s="1" t="str">
        <f>IFERROR(__xludf.DUMMYFUNCTION("""COMPUTED_VALUE"""),"3 mos")</f>
        <v>3 mos</v>
      </c>
      <c r="H2552" s="1" t="str">
        <f>IFERROR(__xludf.DUMMYFUNCTION("""COMPUTED_VALUE"""),"reply")</f>
        <v>reply</v>
      </c>
      <c r="I2552" s="2" t="str">
        <f>IFERROR(__xludf.DUMMYFUNCTION("""COMPUTED_VALUE"""),"https://www.facebook.com/rapplerdotcom/photos/a.317154781638645/5594264657260938/")</f>
        <v>https://www.facebook.com/rapplerdotcom/photos/a.317154781638645/5594264657260938/</v>
      </c>
      <c r="J2552" s="1" t="str">
        <f>IFERROR(__xludf.DUMMYFUNCTION("""COMPUTED_VALUE"""),"2022-07-04T15:51:46.028Z")</f>
        <v>2022-07-04T15:51:46.028Z</v>
      </c>
      <c r="K2552" s="1"/>
    </row>
    <row r="2553">
      <c r="A2553" s="2" t="str">
        <f>IFERROR(__xludf.DUMMYFUNCTION("""COMPUTED_VALUE"""),"https://www.facebook.com/gahimaeeeeee")</f>
        <v>https://www.facebook.com/gahimaeeeeee</v>
      </c>
      <c r="B2553" s="1" t="str">
        <f>IFERROR(__xludf.DUMMYFUNCTION("""COMPUTED_VALUE"""),"Kristine Gahi")</f>
        <v>Kristine Gahi</v>
      </c>
      <c r="C2553" s="1" t="str">
        <f>IFERROR(__xludf.DUMMYFUNCTION("""COMPUTED_VALUE"""),"Kristine")</f>
        <v>Kristine</v>
      </c>
      <c r="D2553" s="1" t="str">
        <f>IFERROR(__xludf.DUMMYFUNCTION("""COMPUTED_VALUE"""),"Gahi")</f>
        <v>Gahi</v>
      </c>
      <c r="E2553" s="1" t="str">
        <f>IFERROR(__xludf.DUMMYFUNCTION("""COMPUTED_VALUE"""),"Zion Zion Walang karapatang magsalita ng lutang kundi kayang pantayan mga nagawa ni vp ah. #RespectMyOpinion")</f>
        <v>Zion Zion Walang karapatang magsalita ng lutang kundi kayang pantayan mga nagawa ni vp ah. #RespectMyOpinion</v>
      </c>
      <c r="F2553" s="1">
        <f>IFERROR(__xludf.DUMMYFUNCTION("""COMPUTED_VALUE"""),1.0)</f>
        <v>1</v>
      </c>
      <c r="G2553" s="1" t="str">
        <f>IFERROR(__xludf.DUMMYFUNCTION("""COMPUTED_VALUE"""),"3 mos")</f>
        <v>3 mos</v>
      </c>
      <c r="H2553" s="1" t="str">
        <f>IFERROR(__xludf.DUMMYFUNCTION("""COMPUTED_VALUE"""),"reply")</f>
        <v>reply</v>
      </c>
      <c r="I2553" s="2" t="str">
        <f>IFERROR(__xludf.DUMMYFUNCTION("""COMPUTED_VALUE"""),"https://www.facebook.com/rapplerdotcom/photos/a.317154781638645/5594264657260938/")</f>
        <v>https://www.facebook.com/rapplerdotcom/photos/a.317154781638645/5594264657260938/</v>
      </c>
      <c r="J2553" s="1" t="str">
        <f>IFERROR(__xludf.DUMMYFUNCTION("""COMPUTED_VALUE"""),"2022-07-04T15:51:46.028Z")</f>
        <v>2022-07-04T15:51:46.028Z</v>
      </c>
      <c r="K2553" s="1"/>
    </row>
    <row r="2554">
      <c r="A2554" s="2" t="str">
        <f>IFERROR(__xludf.DUMMYFUNCTION("""COMPUTED_VALUE"""),"https://www.facebook.com/shiela.hechanovasotero")</f>
        <v>https://www.facebook.com/shiela.hechanovasotero</v>
      </c>
      <c r="B2554" s="1" t="str">
        <f>IFERROR(__xludf.DUMMYFUNCTION("""COMPUTED_VALUE"""),"Shiela Rote Hechanova Sotero")</f>
        <v>Shiela Rote Hechanova Sotero</v>
      </c>
      <c r="C2554" s="1" t="str">
        <f>IFERROR(__xludf.DUMMYFUNCTION("""COMPUTED_VALUE"""),"Shiela")</f>
        <v>Shiela</v>
      </c>
      <c r="D2554" s="1" t="str">
        <f>IFERROR(__xludf.DUMMYFUNCTION("""COMPUTED_VALUE"""),"Rote Hechanova Sotero")</f>
        <v>Rote Hechanova Sotero</v>
      </c>
      <c r="E2554" s="1" t="str">
        <f>IFERROR(__xludf.DUMMYFUNCTION("""COMPUTED_VALUE"""),"Joy Gahi  correct ka po...bat d nila tignan ang idolo nila kng ano ba ang nagawa..")</f>
        <v>Joy Gahi  correct ka po...bat d nila tignan ang idolo nila kng ano ba ang nagawa..</v>
      </c>
      <c r="F2554" s="1">
        <f>IFERROR(__xludf.DUMMYFUNCTION("""COMPUTED_VALUE"""),1.0)</f>
        <v>1</v>
      </c>
      <c r="G2554" s="1" t="str">
        <f>IFERROR(__xludf.DUMMYFUNCTION("""COMPUTED_VALUE"""),"3 mos")</f>
        <v>3 mos</v>
      </c>
      <c r="H2554" s="1" t="str">
        <f>IFERROR(__xludf.DUMMYFUNCTION("""COMPUTED_VALUE"""),"reply")</f>
        <v>reply</v>
      </c>
      <c r="I2554" s="2" t="str">
        <f>IFERROR(__xludf.DUMMYFUNCTION("""COMPUTED_VALUE"""),"https://www.facebook.com/rapplerdotcom/photos/a.317154781638645/5594264657260938/")</f>
        <v>https://www.facebook.com/rapplerdotcom/photos/a.317154781638645/5594264657260938/</v>
      </c>
      <c r="J2554" s="1" t="str">
        <f>IFERROR(__xludf.DUMMYFUNCTION("""COMPUTED_VALUE"""),"2022-07-04T15:51:46.028Z")</f>
        <v>2022-07-04T15:51:46.028Z</v>
      </c>
      <c r="K2554" s="1"/>
    </row>
    <row r="2555">
      <c r="A2555" s="2" t="str">
        <f>IFERROR(__xludf.DUMMYFUNCTION("""COMPUTED_VALUE"""),"https://www.facebook.com/zion.poliquit.54")</f>
        <v>https://www.facebook.com/zion.poliquit.54</v>
      </c>
      <c r="B2555" s="1" t="str">
        <f>IFERROR(__xludf.DUMMYFUNCTION("""COMPUTED_VALUE"""),"Zion Zion")</f>
        <v>Zion Zion</v>
      </c>
      <c r="C2555" s="1" t="str">
        <f>IFERROR(__xludf.DUMMYFUNCTION("""COMPUTED_VALUE"""),"Zion")</f>
        <v>Zion</v>
      </c>
      <c r="D2555" s="1" t="str">
        <f>IFERROR(__xludf.DUMMYFUNCTION("""COMPUTED_VALUE"""),"Zion")</f>
        <v>Zion</v>
      </c>
      <c r="E2555" s="1" t="str">
        <f>IFERROR(__xludf.DUMMYFUNCTION("""COMPUTED_VALUE"""),"Joy Gahi NAGAWA NYA? BA'T ANO BANG NAGAWA NYA HA? MAG PA PICTURE SA MEDIA? LUTANG INA NYA")</f>
        <v>Joy Gahi NAGAWA NYA? BA'T ANO BANG NAGAWA NYA HA? MAG PA PICTURE SA MEDIA? LUTANG INA NYA</v>
      </c>
      <c r="F2555" s="1">
        <f>IFERROR(__xludf.DUMMYFUNCTION("""COMPUTED_VALUE"""),3.0)</f>
        <v>3</v>
      </c>
      <c r="G2555" s="1" t="str">
        <f>IFERROR(__xludf.DUMMYFUNCTION("""COMPUTED_VALUE"""),"3 mos")</f>
        <v>3 mos</v>
      </c>
      <c r="H2555" s="1" t="str">
        <f>IFERROR(__xludf.DUMMYFUNCTION("""COMPUTED_VALUE"""),"reply")</f>
        <v>reply</v>
      </c>
      <c r="I2555" s="2" t="str">
        <f>IFERROR(__xludf.DUMMYFUNCTION("""COMPUTED_VALUE"""),"https://www.facebook.com/rapplerdotcom/photos/a.317154781638645/5594264657260938/")</f>
        <v>https://www.facebook.com/rapplerdotcom/photos/a.317154781638645/5594264657260938/</v>
      </c>
      <c r="J2555" s="1" t="str">
        <f>IFERROR(__xludf.DUMMYFUNCTION("""COMPUTED_VALUE"""),"2022-07-04T15:51:46.028Z")</f>
        <v>2022-07-04T15:51:46.028Z</v>
      </c>
      <c r="K2555" s="1"/>
    </row>
    <row r="2556">
      <c r="A2556" s="2" t="str">
        <f>IFERROR(__xludf.DUMMYFUNCTION("""COMPUTED_VALUE"""),"https://www.facebook.com/zion.poliquit.54")</f>
        <v>https://www.facebook.com/zion.poliquit.54</v>
      </c>
      <c r="B2556" s="1" t="str">
        <f>IFERROR(__xludf.DUMMYFUNCTION("""COMPUTED_VALUE"""),"Zion Zion")</f>
        <v>Zion Zion</v>
      </c>
      <c r="C2556" s="1" t="str">
        <f>IFERROR(__xludf.DUMMYFUNCTION("""COMPUTED_VALUE"""),"Zion")</f>
        <v>Zion</v>
      </c>
      <c r="D2556" s="1" t="str">
        <f>IFERROR(__xludf.DUMMYFUNCTION("""COMPUTED_VALUE"""),"Zion")</f>
        <v>Zion</v>
      </c>
      <c r="E2556" s="1" t="str">
        <f>IFERROR(__xludf.DUMMYFUNCTION("""COMPUTED_VALUE"""),"Shiela Rote Hechanova Sotero NAMATAY LANG ANG ASAWA GUSTO NA AGAD MAG PRESIDENTE?  ANG UTAK NI LUTANG INA PANG  BRGY LANG, REAL TALK")</f>
        <v>Shiela Rote Hechanova Sotero NAMATAY LANG ANG ASAWA GUSTO NA AGAD MAG PRESIDENTE?  ANG UTAK NI LUTANG INA PANG  BRGY LANG, REAL TALK</v>
      </c>
      <c r="F2556" s="1">
        <f>IFERROR(__xludf.DUMMYFUNCTION("""COMPUTED_VALUE"""),3.0)</f>
        <v>3</v>
      </c>
      <c r="G2556" s="1" t="str">
        <f>IFERROR(__xludf.DUMMYFUNCTION("""COMPUTED_VALUE"""),"3 mos")</f>
        <v>3 mos</v>
      </c>
      <c r="H2556" s="1" t="str">
        <f>IFERROR(__xludf.DUMMYFUNCTION("""COMPUTED_VALUE"""),"reply")</f>
        <v>reply</v>
      </c>
      <c r="I2556" s="2" t="str">
        <f>IFERROR(__xludf.DUMMYFUNCTION("""COMPUTED_VALUE"""),"https://www.facebook.com/rapplerdotcom/photos/a.317154781638645/5594264657260938/")</f>
        <v>https://www.facebook.com/rapplerdotcom/photos/a.317154781638645/5594264657260938/</v>
      </c>
      <c r="J2556" s="1" t="str">
        <f>IFERROR(__xludf.DUMMYFUNCTION("""COMPUTED_VALUE"""),"2022-07-04T15:51:46.028Z")</f>
        <v>2022-07-04T15:51:46.028Z</v>
      </c>
      <c r="K2556" s="1"/>
    </row>
    <row r="2557">
      <c r="A2557" s="2" t="str">
        <f>IFERROR(__xludf.DUMMYFUNCTION("""COMPUTED_VALUE"""),"https://www.facebook.com/zion.poliquit.54")</f>
        <v>https://www.facebook.com/zion.poliquit.54</v>
      </c>
      <c r="B2557" s="1" t="str">
        <f>IFERROR(__xludf.DUMMYFUNCTION("""COMPUTED_VALUE"""),"Zion Zion")</f>
        <v>Zion Zion</v>
      </c>
      <c r="C2557" s="1" t="str">
        <f>IFERROR(__xludf.DUMMYFUNCTION("""COMPUTED_VALUE"""),"Zion")</f>
        <v>Zion</v>
      </c>
      <c r="D2557" s="1" t="str">
        <f>IFERROR(__xludf.DUMMYFUNCTION("""COMPUTED_VALUE"""),"Zion")</f>
        <v>Zion</v>
      </c>
      <c r="E2557" s="1" t="str">
        <f>IFERROR(__xludf.DUMMYFUNCTION("""COMPUTED_VALUE"""),"Shiela Rote Hechanova Sotero SANA NAMAN MATAUHAN KAYO AT WAG NA PAUTO KAY LENIDORO,")</f>
        <v>Shiela Rote Hechanova Sotero SANA NAMAN MATAUHAN KAYO AT WAG NA PAUTO KAY LENIDORO,</v>
      </c>
      <c r="F2557" s="1"/>
      <c r="G2557" s="1" t="str">
        <f>IFERROR(__xludf.DUMMYFUNCTION("""COMPUTED_VALUE"""),"3 mos")</f>
        <v>3 mos</v>
      </c>
      <c r="H2557" s="1" t="str">
        <f>IFERROR(__xludf.DUMMYFUNCTION("""COMPUTED_VALUE"""),"reply")</f>
        <v>reply</v>
      </c>
      <c r="I2557" s="2" t="str">
        <f>IFERROR(__xludf.DUMMYFUNCTION("""COMPUTED_VALUE"""),"https://www.facebook.com/rapplerdotcom/photos/a.317154781638645/5594264657260938/")</f>
        <v>https://www.facebook.com/rapplerdotcom/photos/a.317154781638645/5594264657260938/</v>
      </c>
      <c r="J2557" s="1" t="str">
        <f>IFERROR(__xludf.DUMMYFUNCTION("""COMPUTED_VALUE"""),"2022-07-04T15:51:46.028Z")</f>
        <v>2022-07-04T15:51:46.028Z</v>
      </c>
      <c r="K2557" s="1"/>
    </row>
    <row r="2558">
      <c r="A2558" s="2" t="str">
        <f>IFERROR(__xludf.DUMMYFUNCTION("""COMPUTED_VALUE"""),"https://www.facebook.com/gahimaeeeeee")</f>
        <v>https://www.facebook.com/gahimaeeeeee</v>
      </c>
      <c r="B2558" s="1" t="str">
        <f>IFERROR(__xludf.DUMMYFUNCTION("""COMPUTED_VALUE"""),"Kristine Gahi")</f>
        <v>Kristine Gahi</v>
      </c>
      <c r="C2558" s="1" t="str">
        <f>IFERROR(__xludf.DUMMYFUNCTION("""COMPUTED_VALUE"""),"Kristine")</f>
        <v>Kristine</v>
      </c>
      <c r="D2558" s="1" t="str">
        <f>IFERROR(__xludf.DUMMYFUNCTION("""COMPUTED_VALUE"""),"Gahi")</f>
        <v>Gahi</v>
      </c>
      <c r="E2558" s="1" t="str">
        <f>IFERROR(__xludf.DUMMYFUNCTION("""COMPUTED_VALUE"""),"Zion Zion luh, nagsalita yung matapang dahil naka dummy acc HAHAHHAHAHAHAA kung sa kaniya pang brgy. kamusta naman yung sa'yo? baka kahit elem student ikahiya na nakumpara sa'yo. Rt langs.")</f>
        <v>Zion Zion luh, nagsalita yung matapang dahil naka dummy acc HAHAHHAHAHAHAA kung sa kaniya pang brgy. kamusta naman yung sa'yo? baka kahit elem student ikahiya na nakumpara sa'yo. Rt langs.</v>
      </c>
      <c r="F2558" s="1"/>
      <c r="G2558" s="1" t="str">
        <f>IFERROR(__xludf.DUMMYFUNCTION("""COMPUTED_VALUE"""),"3 mos")</f>
        <v>3 mos</v>
      </c>
      <c r="H2558" s="1" t="str">
        <f>IFERROR(__xludf.DUMMYFUNCTION("""COMPUTED_VALUE"""),"reply")</f>
        <v>reply</v>
      </c>
      <c r="I2558" s="2" t="str">
        <f>IFERROR(__xludf.DUMMYFUNCTION("""COMPUTED_VALUE"""),"https://www.facebook.com/rapplerdotcom/photos/a.317154781638645/5594264657260938/")</f>
        <v>https://www.facebook.com/rapplerdotcom/photos/a.317154781638645/5594264657260938/</v>
      </c>
      <c r="J2558" s="1" t="str">
        <f>IFERROR(__xludf.DUMMYFUNCTION("""COMPUTED_VALUE"""),"2022-07-04T15:51:46.028Z")</f>
        <v>2022-07-04T15:51:46.028Z</v>
      </c>
      <c r="K2558" s="1"/>
    </row>
    <row r="2559">
      <c r="A2559" s="2" t="str">
        <f>IFERROR(__xludf.DUMMYFUNCTION("""COMPUTED_VALUE"""),"https://www.facebook.com/alvin.loyola.754")</f>
        <v>https://www.facebook.com/alvin.loyola.754</v>
      </c>
      <c r="B2559" s="1" t="str">
        <f>IFERROR(__xludf.DUMMYFUNCTION("""COMPUTED_VALUE"""),"Alvin Barrioquinto Loyola")</f>
        <v>Alvin Barrioquinto Loyola</v>
      </c>
      <c r="C2559" s="1" t="str">
        <f>IFERROR(__xludf.DUMMYFUNCTION("""COMPUTED_VALUE"""),"Alvin")</f>
        <v>Alvin</v>
      </c>
      <c r="D2559" s="1" t="str">
        <f>IFERROR(__xludf.DUMMYFUNCTION("""COMPUTED_VALUE"""),"Barrioquinto Loyola")</f>
        <v>Barrioquinto Loyola</v>
      </c>
      <c r="E2559" s="1" t="str">
        <f>IFERROR(__xludf.DUMMYFUNCTION("""COMPUTED_VALUE"""),"Ness Lansang bkit throll ano ngyre ky andrew e? eh mukhang ikaw nwla sa tamang daan gmit mo throll accnt na 🤣")</f>
        <v>Ness Lansang bkit throll ano ngyre ky andrew e? eh mukhang ikaw nwla sa tamang daan gmit mo throll accnt na 🤣</v>
      </c>
      <c r="F2559" s="1"/>
      <c r="G2559" s="1" t="str">
        <f>IFERROR(__xludf.DUMMYFUNCTION("""COMPUTED_VALUE"""),"3 mos")</f>
        <v>3 mos</v>
      </c>
      <c r="H2559" s="1" t="str">
        <f>IFERROR(__xludf.DUMMYFUNCTION("""COMPUTED_VALUE"""),"reply")</f>
        <v>reply</v>
      </c>
      <c r="I2559" s="2" t="str">
        <f>IFERROR(__xludf.DUMMYFUNCTION("""COMPUTED_VALUE"""),"https://www.facebook.com/rapplerdotcom/photos/a.317154781638645/5594264657260938/")</f>
        <v>https://www.facebook.com/rapplerdotcom/photos/a.317154781638645/5594264657260938/</v>
      </c>
      <c r="J2559" s="1" t="str">
        <f>IFERROR(__xludf.DUMMYFUNCTION("""COMPUTED_VALUE"""),"2022-07-04T15:51:46.028Z")</f>
        <v>2022-07-04T15:51:46.028Z</v>
      </c>
      <c r="K2559" s="1"/>
    </row>
    <row r="2560">
      <c r="A2560" s="2" t="str">
        <f>IFERROR(__xludf.DUMMYFUNCTION("""COMPUTED_VALUE"""),"https://www.facebook.com/cydrex.bernabe.7")</f>
        <v>https://www.facebook.com/cydrex.bernabe.7</v>
      </c>
      <c r="B2560" s="1" t="str">
        <f>IFERROR(__xludf.DUMMYFUNCTION("""COMPUTED_VALUE"""),"Cydrex Bernabe")</f>
        <v>Cydrex Bernabe</v>
      </c>
      <c r="C2560" s="1" t="str">
        <f>IFERROR(__xludf.DUMMYFUNCTION("""COMPUTED_VALUE"""),"Cydrex")</f>
        <v>Cydrex</v>
      </c>
      <c r="D2560" s="1" t="str">
        <f>IFERROR(__xludf.DUMMYFUNCTION("""COMPUTED_VALUE"""),"Bernabe")</f>
        <v>Bernabe</v>
      </c>
      <c r="E2560" s="1" t="str">
        <f>IFERROR(__xludf.DUMMYFUNCTION("""COMPUTED_VALUE"""),"Ness Lansang kesa naman maniwala sa tuwid na daan pero Lubak nMan 💛💛💛💛💛")</f>
        <v>Ness Lansang kesa naman maniwala sa tuwid na daan pero Lubak nMan 💛💛💛💛💛</v>
      </c>
      <c r="F2560" s="1"/>
      <c r="G2560" s="1" t="str">
        <f>IFERROR(__xludf.DUMMYFUNCTION("""COMPUTED_VALUE"""),"3 mos")</f>
        <v>3 mos</v>
      </c>
      <c r="H2560" s="1" t="str">
        <f>IFERROR(__xludf.DUMMYFUNCTION("""COMPUTED_VALUE"""),"reply")</f>
        <v>reply</v>
      </c>
      <c r="I2560" s="2" t="str">
        <f>IFERROR(__xludf.DUMMYFUNCTION("""COMPUTED_VALUE"""),"https://www.facebook.com/rapplerdotcom/photos/a.317154781638645/5594264657260938/")</f>
        <v>https://www.facebook.com/rapplerdotcom/photos/a.317154781638645/5594264657260938/</v>
      </c>
      <c r="J2560" s="1" t="str">
        <f>IFERROR(__xludf.DUMMYFUNCTION("""COMPUTED_VALUE"""),"2022-07-04T15:51:46.028Z")</f>
        <v>2022-07-04T15:51:46.028Z</v>
      </c>
      <c r="K2560" s="1"/>
    </row>
    <row r="2561">
      <c r="A2561" s="2" t="str">
        <f>IFERROR(__xludf.DUMMYFUNCTION("""COMPUTED_VALUE"""),"https://www.facebook.com/armi.prieto")</f>
        <v>https://www.facebook.com/armi.prieto</v>
      </c>
      <c r="B2561" s="1" t="str">
        <f>IFERROR(__xludf.DUMMYFUNCTION("""COMPUTED_VALUE"""),"Armi Lovina Prieto")</f>
        <v>Armi Lovina Prieto</v>
      </c>
      <c r="C2561" s="1" t="str">
        <f>IFERROR(__xludf.DUMMYFUNCTION("""COMPUTED_VALUE"""),"Armi")</f>
        <v>Armi</v>
      </c>
      <c r="D2561" s="1" t="str">
        <f>IFERROR(__xludf.DUMMYFUNCTION("""COMPUTED_VALUE"""),"Lovina Prieto")</f>
        <v>Lovina Prieto</v>
      </c>
      <c r="E2561" s="1" t="str">
        <f>IFERROR(__xludf.DUMMYFUNCTION("""COMPUTED_VALUE"""),"Ness Lansang  tamang daan pinunthan, hnd lubak n daan!")</f>
        <v>Ness Lansang  tamang daan pinunthan, hnd lubak n daan!</v>
      </c>
      <c r="F2561" s="1"/>
      <c r="G2561" s="1" t="str">
        <f>IFERROR(__xludf.DUMMYFUNCTION("""COMPUTED_VALUE"""),"3 mos")</f>
        <v>3 mos</v>
      </c>
      <c r="H2561" s="1" t="str">
        <f>IFERROR(__xludf.DUMMYFUNCTION("""COMPUTED_VALUE"""),"reply")</f>
        <v>reply</v>
      </c>
      <c r="I2561" s="2" t="str">
        <f>IFERROR(__xludf.DUMMYFUNCTION("""COMPUTED_VALUE"""),"https://www.facebook.com/rapplerdotcom/photos/a.317154781638645/5594264657260938/")</f>
        <v>https://www.facebook.com/rapplerdotcom/photos/a.317154781638645/5594264657260938/</v>
      </c>
      <c r="J2561" s="1" t="str">
        <f>IFERROR(__xludf.DUMMYFUNCTION("""COMPUTED_VALUE"""),"2022-07-04T15:51:46.028Z")</f>
        <v>2022-07-04T15:51:46.028Z</v>
      </c>
      <c r="K2561" s="1"/>
    </row>
    <row r="2562">
      <c r="A2562" s="2" t="str">
        <f>IFERROR(__xludf.DUMMYFUNCTION("""COMPUTED_VALUE"""),"https://www.facebook.com/nivek.leiro2")</f>
        <v>https://www.facebook.com/nivek.leiro2</v>
      </c>
      <c r="B2562" s="1" t="str">
        <f>IFERROR(__xludf.DUMMYFUNCTION("""COMPUTED_VALUE"""),"Nivek Leiro Noliba")</f>
        <v>Nivek Leiro Noliba</v>
      </c>
      <c r="C2562" s="1" t="str">
        <f>IFERROR(__xludf.DUMMYFUNCTION("""COMPUTED_VALUE"""),"Nivek")</f>
        <v>Nivek</v>
      </c>
      <c r="D2562" s="1" t="str">
        <f>IFERROR(__xludf.DUMMYFUNCTION("""COMPUTED_VALUE"""),"Leiro Noliba")</f>
        <v>Leiro Noliba</v>
      </c>
      <c r="E2562" s="1" t="str">
        <f>IFERROR(__xludf.DUMMYFUNCTION("""COMPUTED_VALUE"""),"Ness Lansang buti pa po kayo NASA walang kwentang daan hehe God bless po")</f>
        <v>Ness Lansang buti pa po kayo NASA walang kwentang daan hehe God bless po</v>
      </c>
      <c r="F2562" s="1">
        <f>IFERROR(__xludf.DUMMYFUNCTION("""COMPUTED_VALUE"""),6.0)</f>
        <v>6</v>
      </c>
      <c r="G2562" s="1" t="str">
        <f>IFERROR(__xludf.DUMMYFUNCTION("""COMPUTED_VALUE"""),"3 mos")</f>
        <v>3 mos</v>
      </c>
      <c r="H2562" s="1" t="str">
        <f>IFERROR(__xludf.DUMMYFUNCTION("""COMPUTED_VALUE"""),"reply")</f>
        <v>reply</v>
      </c>
      <c r="I2562" s="2" t="str">
        <f>IFERROR(__xludf.DUMMYFUNCTION("""COMPUTED_VALUE"""),"https://www.facebook.com/rapplerdotcom/photos/a.317154781638645/5594264657260938/")</f>
        <v>https://www.facebook.com/rapplerdotcom/photos/a.317154781638645/5594264657260938/</v>
      </c>
      <c r="J2562" s="1" t="str">
        <f>IFERROR(__xludf.DUMMYFUNCTION("""COMPUTED_VALUE"""),"2022-07-04T15:51:46.028Z")</f>
        <v>2022-07-04T15:51:46.028Z</v>
      </c>
      <c r="K2562" s="1"/>
    </row>
    <row r="2563">
      <c r="A2563" s="2" t="str">
        <f>IFERROR(__xludf.DUMMYFUNCTION("""COMPUTED_VALUE"""),"https://www.facebook.com/anjadonis11")</f>
        <v>https://www.facebook.com/anjadonis11</v>
      </c>
      <c r="B2563" s="1" t="str">
        <f>IFERROR(__xludf.DUMMYFUNCTION("""COMPUTED_VALUE"""),"Anjehlla N. Adonis")</f>
        <v>Anjehlla N. Adonis</v>
      </c>
      <c r="C2563" s="1" t="str">
        <f>IFERROR(__xludf.DUMMYFUNCTION("""COMPUTED_VALUE"""),"Anjehlla")</f>
        <v>Anjehlla</v>
      </c>
      <c r="D2563" s="1" t="str">
        <f>IFERROR(__xludf.DUMMYFUNCTION("""COMPUTED_VALUE"""),"N. Adonis")</f>
        <v>N. Adonis</v>
      </c>
      <c r="E2563" s="1" t="str">
        <f>IFERROR(__xludf.DUMMYFUNCTION("""COMPUTED_VALUE"""),"Ness Lansang d naman po ata si andrew e ang my gawa nyan..ang my gwa nyan ung mga trolls ni Baby M..wahaha..or mga die hard fans nya 😂😅")</f>
        <v>Ness Lansang d naman po ata si andrew e ang my gawa nyan..ang my gwa nyan ung mga trolls ni Baby M..wahaha..or mga die hard fans nya 😂😅</v>
      </c>
      <c r="F2563" s="1"/>
      <c r="G2563" s="1" t="str">
        <f>IFERROR(__xludf.DUMMYFUNCTION("""COMPUTED_VALUE"""),"3 mos")</f>
        <v>3 mos</v>
      </c>
      <c r="H2563" s="1" t="str">
        <f>IFERROR(__xludf.DUMMYFUNCTION("""COMPUTED_VALUE"""),"reply")</f>
        <v>reply</v>
      </c>
      <c r="I2563" s="2" t="str">
        <f>IFERROR(__xludf.DUMMYFUNCTION("""COMPUTED_VALUE"""),"https://www.facebook.com/rapplerdotcom/photos/a.317154781638645/5594264657260938/")</f>
        <v>https://www.facebook.com/rapplerdotcom/photos/a.317154781638645/5594264657260938/</v>
      </c>
      <c r="J2563" s="1" t="str">
        <f>IFERROR(__xludf.DUMMYFUNCTION("""COMPUTED_VALUE"""),"2022-07-04T15:51:46.028Z")</f>
        <v>2022-07-04T15:51:46.028Z</v>
      </c>
      <c r="K2563" s="1"/>
    </row>
    <row r="2564">
      <c r="A2564" s="2" t="str">
        <f>IFERROR(__xludf.DUMMYFUNCTION("""COMPUTED_VALUE"""),"https://www.facebook.com/gemrose.rescobactol")</f>
        <v>https://www.facebook.com/gemrose.rescobactol</v>
      </c>
      <c r="B2564" s="1" t="str">
        <f>IFERROR(__xludf.DUMMYFUNCTION("""COMPUTED_VALUE"""),"Gemrose Resco Bactol")</f>
        <v>Gemrose Resco Bactol</v>
      </c>
      <c r="C2564" s="1" t="str">
        <f>IFERROR(__xludf.DUMMYFUNCTION("""COMPUTED_VALUE"""),"Gemrose")</f>
        <v>Gemrose</v>
      </c>
      <c r="D2564" s="1" t="str">
        <f>IFERROR(__xludf.DUMMYFUNCTION("""COMPUTED_VALUE"""),"Resco Bactol")</f>
        <v>Resco Bactol</v>
      </c>
      <c r="E2564" s="1" t="str">
        <f>IFERROR(__xludf.DUMMYFUNCTION("""COMPUTED_VALUE"""),"Ness Lansang para sayo mam ano po ba ang tamang daan?")</f>
        <v>Ness Lansang para sayo mam ano po ba ang tamang daan?</v>
      </c>
      <c r="F2564" s="1"/>
      <c r="G2564" s="1" t="str">
        <f>IFERROR(__xludf.DUMMYFUNCTION("""COMPUTED_VALUE"""),"3 mos")</f>
        <v>3 mos</v>
      </c>
      <c r="H2564" s="1" t="str">
        <f>IFERROR(__xludf.DUMMYFUNCTION("""COMPUTED_VALUE"""),"reply")</f>
        <v>reply</v>
      </c>
      <c r="I2564" s="2" t="str">
        <f>IFERROR(__xludf.DUMMYFUNCTION("""COMPUTED_VALUE"""),"https://www.facebook.com/rapplerdotcom/photos/a.317154781638645/5594264657260938/")</f>
        <v>https://www.facebook.com/rapplerdotcom/photos/a.317154781638645/5594264657260938/</v>
      </c>
      <c r="J2564" s="1" t="str">
        <f>IFERROR(__xludf.DUMMYFUNCTION("""COMPUTED_VALUE"""),"2022-07-04T15:51:46.028Z")</f>
        <v>2022-07-04T15:51:46.028Z</v>
      </c>
      <c r="K2564" s="1"/>
    </row>
    <row r="2565">
      <c r="A2565" s="2" t="str">
        <f>IFERROR(__xludf.DUMMYFUNCTION("""COMPUTED_VALUE"""),"https://www.facebook.com/ching8ramon")</f>
        <v>https://www.facebook.com/ching8ramon</v>
      </c>
      <c r="B2565" s="1" t="str">
        <f>IFERROR(__xludf.DUMMYFUNCTION("""COMPUTED_VALUE"""),"Mon Ching Mendoza")</f>
        <v>Mon Ching Mendoza</v>
      </c>
      <c r="C2565" s="1" t="str">
        <f>IFERROR(__xludf.DUMMYFUNCTION("""COMPUTED_VALUE"""),"Mon")</f>
        <v>Mon</v>
      </c>
      <c r="D2565" s="1" t="str">
        <f>IFERROR(__xludf.DUMMYFUNCTION("""COMPUTED_VALUE"""),"Ching Mendoza")</f>
        <v>Ching Mendoza</v>
      </c>
      <c r="E2565" s="1" t="str">
        <f>IFERROR(__xludf.DUMMYFUNCTION("""COMPUTED_VALUE"""),"Lahat na lang ginagago ng LBM team. Nakakahiyang pamemeke!")</f>
        <v>Lahat na lang ginagago ng LBM team. Nakakahiyang pamemeke!</v>
      </c>
      <c r="F2565" s="1">
        <f>IFERROR(__xludf.DUMMYFUNCTION("""COMPUTED_VALUE"""),8.0)</f>
        <v>8</v>
      </c>
      <c r="G2565" s="1" t="str">
        <f>IFERROR(__xludf.DUMMYFUNCTION("""COMPUTED_VALUE"""),"3 mos")</f>
        <v>3 mos</v>
      </c>
      <c r="H2565" s="1" t="str">
        <f>IFERROR(__xludf.DUMMYFUNCTION("""COMPUTED_VALUE"""),"comment")</f>
        <v>comment</v>
      </c>
      <c r="I2565" s="2" t="str">
        <f>IFERROR(__xludf.DUMMYFUNCTION("""COMPUTED_VALUE"""),"https://www.facebook.com/rapplerdotcom/photos/a.317154781638645/5594264657260938/")</f>
        <v>https://www.facebook.com/rapplerdotcom/photos/a.317154781638645/5594264657260938/</v>
      </c>
      <c r="J2565" s="1" t="str">
        <f>IFERROR(__xludf.DUMMYFUNCTION("""COMPUTED_VALUE"""),"2022-07-04T15:51:46.028Z")</f>
        <v>2022-07-04T15:51:46.028Z</v>
      </c>
      <c r="K2565" s="1"/>
    </row>
    <row r="2566">
      <c r="A2566" s="2" t="str">
        <f>IFERROR(__xludf.DUMMYFUNCTION("""COMPUTED_VALUE"""),"https://www.facebook.com/zion.poliquit.54")</f>
        <v>https://www.facebook.com/zion.poliquit.54</v>
      </c>
      <c r="B2566" s="1" t="str">
        <f>IFERROR(__xludf.DUMMYFUNCTION("""COMPUTED_VALUE"""),"Zion Zion")</f>
        <v>Zion Zion</v>
      </c>
      <c r="C2566" s="1" t="str">
        <f>IFERROR(__xludf.DUMMYFUNCTION("""COMPUTED_VALUE"""),"Zion")</f>
        <v>Zion</v>
      </c>
      <c r="D2566" s="1" t="str">
        <f>IFERROR(__xludf.DUMMYFUNCTION("""COMPUTED_VALUE"""),"Zion")</f>
        <v>Zion</v>
      </c>
      <c r="E2566" s="1" t="str">
        <f>IFERROR(__xludf.DUMMYFUNCTION("""COMPUTED_VALUE"""),"Mon Ching Mendoza AKO ANG NAAAWA SA MGA GAYANG MONG UTO2X,")</f>
        <v>Mon Ching Mendoza AKO ANG NAAAWA SA MGA GAYANG MONG UTO2X,</v>
      </c>
      <c r="F2566" s="1">
        <f>IFERROR(__xludf.DUMMYFUNCTION("""COMPUTED_VALUE"""),3.0)</f>
        <v>3</v>
      </c>
      <c r="G2566" s="1" t="str">
        <f>IFERROR(__xludf.DUMMYFUNCTION("""COMPUTED_VALUE"""),"3 mos")</f>
        <v>3 mos</v>
      </c>
      <c r="H2566" s="1" t="str">
        <f>IFERROR(__xludf.DUMMYFUNCTION("""COMPUTED_VALUE"""),"reply")</f>
        <v>reply</v>
      </c>
      <c r="I2566" s="2" t="str">
        <f>IFERROR(__xludf.DUMMYFUNCTION("""COMPUTED_VALUE"""),"https://www.facebook.com/rapplerdotcom/photos/a.317154781638645/5594264657260938/")</f>
        <v>https://www.facebook.com/rapplerdotcom/photos/a.317154781638645/5594264657260938/</v>
      </c>
      <c r="J2566" s="1" t="str">
        <f>IFERROR(__xludf.DUMMYFUNCTION("""COMPUTED_VALUE"""),"2022-07-04T15:51:46.028Z")</f>
        <v>2022-07-04T15:51:46.028Z</v>
      </c>
      <c r="K2566" s="1"/>
    </row>
    <row r="2567">
      <c r="A2567" s="2" t="str">
        <f>IFERROR(__xludf.DUMMYFUNCTION("""COMPUTED_VALUE"""),"https://www.facebook.com/nora.montejo.925")</f>
        <v>https://www.facebook.com/nora.montejo.925</v>
      </c>
      <c r="B2567" s="1" t="str">
        <f>IFERROR(__xludf.DUMMYFUNCTION("""COMPUTED_VALUE"""),"Nora Montejo")</f>
        <v>Nora Montejo</v>
      </c>
      <c r="C2567" s="1" t="str">
        <f>IFERROR(__xludf.DUMMYFUNCTION("""COMPUTED_VALUE"""),"Nora")</f>
        <v>Nora</v>
      </c>
      <c r="D2567" s="1" t="str">
        <f>IFERROR(__xludf.DUMMYFUNCTION("""COMPUTED_VALUE"""),"Montejo")</f>
        <v>Montejo</v>
      </c>
      <c r="E2567" s="1" t="str">
        <f>IFERROR(__xludf.DUMMYFUNCTION("""COMPUTED_VALUE"""),"Zion Zion Ikaw yon! 🤣🤣🤣")</f>
        <v>Zion Zion Ikaw yon! 🤣🤣🤣</v>
      </c>
      <c r="F2567" s="1">
        <f>IFERROR(__xludf.DUMMYFUNCTION("""COMPUTED_VALUE"""),4.0)</f>
        <v>4</v>
      </c>
      <c r="G2567" s="1" t="str">
        <f>IFERROR(__xludf.DUMMYFUNCTION("""COMPUTED_VALUE"""),"3 mos")</f>
        <v>3 mos</v>
      </c>
      <c r="H2567" s="1" t="str">
        <f>IFERROR(__xludf.DUMMYFUNCTION("""COMPUTED_VALUE"""),"reply")</f>
        <v>reply</v>
      </c>
      <c r="I2567" s="2" t="str">
        <f>IFERROR(__xludf.DUMMYFUNCTION("""COMPUTED_VALUE"""),"https://www.facebook.com/rapplerdotcom/photos/a.317154781638645/5594264657260938/")</f>
        <v>https://www.facebook.com/rapplerdotcom/photos/a.317154781638645/5594264657260938/</v>
      </c>
      <c r="J2567" s="1" t="str">
        <f>IFERROR(__xludf.DUMMYFUNCTION("""COMPUTED_VALUE"""),"2022-07-04T15:51:46.028Z")</f>
        <v>2022-07-04T15:51:46.028Z</v>
      </c>
      <c r="K2567" s="1"/>
    </row>
    <row r="2568">
      <c r="A2568" s="2" t="str">
        <f>IFERROR(__xludf.DUMMYFUNCTION("""COMPUTED_VALUE"""),"https://www.facebook.com/profile.php?id=100069339588430")</f>
        <v>https://www.facebook.com/profile.php?id=100069339588430</v>
      </c>
      <c r="B2568" s="1" t="str">
        <f>IFERROR(__xludf.DUMMYFUNCTION("""COMPUTED_VALUE"""),"Prince Roger Bernabe")</f>
        <v>Prince Roger Bernabe</v>
      </c>
      <c r="C2568" s="1" t="str">
        <f>IFERROR(__xludf.DUMMYFUNCTION("""COMPUTED_VALUE"""),"Prince")</f>
        <v>Prince</v>
      </c>
      <c r="D2568" s="1" t="str">
        <f>IFERROR(__xludf.DUMMYFUNCTION("""COMPUTED_VALUE"""),"Roger Bernabe")</f>
        <v>Roger Bernabe</v>
      </c>
      <c r="E2568" s="1" t="str">
        <f>IFERROR(__xludf.DUMMYFUNCTION("""COMPUTED_VALUE"""),"Nora Montejo  exactly yes..")</f>
        <v>Nora Montejo  exactly yes..</v>
      </c>
      <c r="F2568" s="1"/>
      <c r="G2568" s="1" t="str">
        <f>IFERROR(__xludf.DUMMYFUNCTION("""COMPUTED_VALUE"""),"3 mos")</f>
        <v>3 mos</v>
      </c>
      <c r="H2568" s="1" t="str">
        <f>IFERROR(__xludf.DUMMYFUNCTION("""COMPUTED_VALUE"""),"reply")</f>
        <v>reply</v>
      </c>
      <c r="I2568" s="2" t="str">
        <f>IFERROR(__xludf.DUMMYFUNCTION("""COMPUTED_VALUE"""),"https://www.facebook.com/rapplerdotcom/photos/a.317154781638645/5594264657260938/")</f>
        <v>https://www.facebook.com/rapplerdotcom/photos/a.317154781638645/5594264657260938/</v>
      </c>
      <c r="J2568" s="1" t="str">
        <f>IFERROR(__xludf.DUMMYFUNCTION("""COMPUTED_VALUE"""),"2022-07-04T15:51:46.028Z")</f>
        <v>2022-07-04T15:51:46.028Z</v>
      </c>
      <c r="K2568" s="1"/>
    </row>
    <row r="2569">
      <c r="A2569" s="2" t="str">
        <f>IFERROR(__xludf.DUMMYFUNCTION("""COMPUTED_VALUE"""),"https://www.facebook.com/profile.php?id=100018491727313")</f>
        <v>https://www.facebook.com/profile.php?id=100018491727313</v>
      </c>
      <c r="B2569" s="1" t="str">
        <f>IFERROR(__xludf.DUMMYFUNCTION("""COMPUTED_VALUE"""),"John Wick")</f>
        <v>John Wick</v>
      </c>
      <c r="C2569" s="1" t="str">
        <f>IFERROR(__xludf.DUMMYFUNCTION("""COMPUTED_VALUE"""),"John")</f>
        <v>John</v>
      </c>
      <c r="D2569" s="1" t="str">
        <f>IFERROR(__xludf.DUMMYFUNCTION("""COMPUTED_VALUE"""),"Wick")</f>
        <v>Wick</v>
      </c>
      <c r="E2569" s="1" t="str">
        <f>IFERROR(__xludf.DUMMYFUNCTION("""COMPUTED_VALUE"""),"wag lng tlga dayain ulit s eleksyon")</f>
        <v>wag lng tlga dayain ulit s eleksyon</v>
      </c>
      <c r="F2569" s="1"/>
      <c r="G2569" s="1" t="str">
        <f>IFERROR(__xludf.DUMMYFUNCTION("""COMPUTED_VALUE"""),"3 mos")</f>
        <v>3 mos</v>
      </c>
      <c r="H2569" s="1" t="str">
        <f>IFERROR(__xludf.DUMMYFUNCTION("""COMPUTED_VALUE"""),"reply")</f>
        <v>reply</v>
      </c>
      <c r="I2569" s="2" t="str">
        <f>IFERROR(__xludf.DUMMYFUNCTION("""COMPUTED_VALUE"""),"https://www.facebook.com/rapplerdotcom/photos/a.317154781638645/5594264657260938/")</f>
        <v>https://www.facebook.com/rapplerdotcom/photos/a.317154781638645/5594264657260938/</v>
      </c>
      <c r="J2569" s="1" t="str">
        <f>IFERROR(__xludf.DUMMYFUNCTION("""COMPUTED_VALUE"""),"2022-07-04T15:51:46.028Z")</f>
        <v>2022-07-04T15:51:46.028Z</v>
      </c>
      <c r="K2569" s="1"/>
    </row>
    <row r="2570">
      <c r="A2570" s="2" t="str">
        <f>IFERROR(__xludf.DUMMYFUNCTION("""COMPUTED_VALUE"""),"https://www.facebook.com/cydrex.bernabe.7")</f>
        <v>https://www.facebook.com/cydrex.bernabe.7</v>
      </c>
      <c r="B2570" s="1" t="str">
        <f>IFERROR(__xludf.DUMMYFUNCTION("""COMPUTED_VALUE"""),"Cydrex Bernabe")</f>
        <v>Cydrex Bernabe</v>
      </c>
      <c r="C2570" s="1" t="str">
        <f>IFERROR(__xludf.DUMMYFUNCTION("""COMPUTED_VALUE"""),"Cydrex")</f>
        <v>Cydrex</v>
      </c>
      <c r="D2570" s="1" t="str">
        <f>IFERROR(__xludf.DUMMYFUNCTION("""COMPUTED_VALUE"""),"Bernabe")</f>
        <v>Bernabe</v>
      </c>
      <c r="E2570" s="1" t="str">
        <f>IFERROR(__xludf.DUMMYFUNCTION("""COMPUTED_VALUE"""),"Mon Ching Mendoza wow ginagago? Sure Ka?")</f>
        <v>Mon Ching Mendoza wow ginagago? Sure Ka?</v>
      </c>
      <c r="F2570" s="1"/>
      <c r="G2570" s="1" t="str">
        <f>IFERROR(__xludf.DUMMYFUNCTION("""COMPUTED_VALUE"""),"3 mos")</f>
        <v>3 mos</v>
      </c>
      <c r="H2570" s="1" t="str">
        <f>IFERROR(__xludf.DUMMYFUNCTION("""COMPUTED_VALUE"""),"reply")</f>
        <v>reply</v>
      </c>
      <c r="I2570" s="2" t="str">
        <f>IFERROR(__xludf.DUMMYFUNCTION("""COMPUTED_VALUE"""),"https://www.facebook.com/rapplerdotcom/photos/a.317154781638645/5594264657260938/")</f>
        <v>https://www.facebook.com/rapplerdotcom/photos/a.317154781638645/5594264657260938/</v>
      </c>
      <c r="J2570" s="1" t="str">
        <f>IFERROR(__xludf.DUMMYFUNCTION("""COMPUTED_VALUE"""),"2022-07-04T15:51:46.028Z")</f>
        <v>2022-07-04T15:51:46.028Z</v>
      </c>
      <c r="K2570" s="1"/>
    </row>
    <row r="2571">
      <c r="A2571" s="2" t="str">
        <f>IFERROR(__xludf.DUMMYFUNCTION("""COMPUTED_VALUE"""),"https://www.facebook.com/JeffOliGarTV")</f>
        <v>https://www.facebook.com/JeffOliGarTV</v>
      </c>
      <c r="B2571" s="1" t="str">
        <f>IFERROR(__xludf.DUMMYFUNCTION("""COMPUTED_VALUE"""),"Jeff Oli Gar TV")</f>
        <v>Jeff Oli Gar TV</v>
      </c>
      <c r="C2571" s="1" t="str">
        <f>IFERROR(__xludf.DUMMYFUNCTION("""COMPUTED_VALUE"""),"Jeff")</f>
        <v>Jeff</v>
      </c>
      <c r="D2571" s="1" t="str">
        <f>IFERROR(__xludf.DUMMYFUNCTION("""COMPUTED_VALUE"""),"Oli Gar TV")</f>
        <v>Oli Gar TV</v>
      </c>
      <c r="E2571" s="1" t="str">
        <f>IFERROR(__xludf.DUMMYFUNCTION("""COMPUTED_VALUE"""),"Nainggit sa Break Free kaya nag-imbento na lang hahaha!")</f>
        <v>Nainggit sa Break Free kaya nag-imbento na lang hahaha!</v>
      </c>
      <c r="F2571" s="1">
        <f>IFERROR(__xludf.DUMMYFUNCTION("""COMPUTED_VALUE"""),23.0)</f>
        <v>23</v>
      </c>
      <c r="G2571" s="1" t="str">
        <f>IFERROR(__xludf.DUMMYFUNCTION("""COMPUTED_VALUE"""),"3 mos")</f>
        <v>3 mos</v>
      </c>
      <c r="H2571" s="1" t="str">
        <f>IFERROR(__xludf.DUMMYFUNCTION("""COMPUTED_VALUE"""),"comment")</f>
        <v>comment</v>
      </c>
      <c r="I2571" s="2" t="str">
        <f>IFERROR(__xludf.DUMMYFUNCTION("""COMPUTED_VALUE"""),"https://www.facebook.com/rapplerdotcom/photos/a.317154781638645/5594264657260938/")</f>
        <v>https://www.facebook.com/rapplerdotcom/photos/a.317154781638645/5594264657260938/</v>
      </c>
      <c r="J2571" s="1" t="str">
        <f>IFERROR(__xludf.DUMMYFUNCTION("""COMPUTED_VALUE"""),"2022-07-04T15:51:46.028Z")</f>
        <v>2022-07-04T15:51:46.028Z</v>
      </c>
      <c r="K2571" s="1"/>
    </row>
    <row r="2572">
      <c r="A2572" s="2" t="str">
        <f>IFERROR(__xludf.DUMMYFUNCTION("""COMPUTED_VALUE"""),"https://www.facebook.com/sid.nazal.7")</f>
        <v>https://www.facebook.com/sid.nazal.7</v>
      </c>
      <c r="B2572" s="1" t="str">
        <f>IFERROR(__xludf.DUMMYFUNCTION("""COMPUTED_VALUE"""),"Sid Nazal")</f>
        <v>Sid Nazal</v>
      </c>
      <c r="C2572" s="1" t="str">
        <f>IFERROR(__xludf.DUMMYFUNCTION("""COMPUTED_VALUE"""),"Sid")</f>
        <v>Sid</v>
      </c>
      <c r="D2572" s="1" t="str">
        <f>IFERROR(__xludf.DUMMYFUNCTION("""COMPUTED_VALUE"""),"Nazal")</f>
        <v>Nazal</v>
      </c>
      <c r="E2572" s="1" t="str">
        <f>IFERROR(__xludf.DUMMYFUNCTION("""COMPUTED_VALUE"""),"Pati ba nmn bidyo minamarcos na dn?")</f>
        <v>Pati ba nmn bidyo minamarcos na dn?</v>
      </c>
      <c r="F2572" s="1">
        <f>IFERROR(__xludf.DUMMYFUNCTION("""COMPUTED_VALUE"""),3.0)</f>
        <v>3</v>
      </c>
      <c r="G2572" s="1" t="str">
        <f>IFERROR(__xludf.DUMMYFUNCTION("""COMPUTED_VALUE"""),"3 mos")</f>
        <v>3 mos</v>
      </c>
      <c r="H2572" s="1" t="str">
        <f>IFERROR(__xludf.DUMMYFUNCTION("""COMPUTED_VALUE"""),"comment")</f>
        <v>comment</v>
      </c>
      <c r="I2572" s="2" t="str">
        <f>IFERROR(__xludf.DUMMYFUNCTION("""COMPUTED_VALUE"""),"https://www.facebook.com/rapplerdotcom/photos/a.317154781638645/5594264657260938/")</f>
        <v>https://www.facebook.com/rapplerdotcom/photos/a.317154781638645/5594264657260938/</v>
      </c>
      <c r="J2572" s="1" t="str">
        <f>IFERROR(__xludf.DUMMYFUNCTION("""COMPUTED_VALUE"""),"2022-07-04T15:51:46.028Z")</f>
        <v>2022-07-04T15:51:46.028Z</v>
      </c>
      <c r="K2572" s="1"/>
    </row>
    <row r="2573">
      <c r="A2573" s="2" t="str">
        <f>IFERROR(__xludf.DUMMYFUNCTION("""COMPUTED_VALUE"""),"https://www.facebook.com/irma.gerardo")</f>
        <v>https://www.facebook.com/irma.gerardo</v>
      </c>
      <c r="B2573" s="1" t="str">
        <f>IFERROR(__xludf.DUMMYFUNCTION("""COMPUTED_VALUE"""),"Mari L. Dela Cruz")</f>
        <v>Mari L. Dela Cruz</v>
      </c>
      <c r="C2573" s="1" t="str">
        <f>IFERROR(__xludf.DUMMYFUNCTION("""COMPUTED_VALUE"""),"Mari")</f>
        <v>Mari</v>
      </c>
      <c r="D2573" s="1" t="str">
        <f>IFERROR(__xludf.DUMMYFUNCTION("""COMPUTED_VALUE"""),"L. Dela Cruz")</f>
        <v>L. Dela Cruz</v>
      </c>
      <c r="E2573" s="1" t="str">
        <f>IFERROR(__xludf.DUMMYFUNCTION("""COMPUTED_VALUE"""),"Lahat nalang peke sa sobrang insecurity ... peke pa more 😂")</f>
        <v>Lahat nalang peke sa sobrang insecurity ... peke pa more 😂</v>
      </c>
      <c r="F2573" s="1">
        <f>IFERROR(__xludf.DUMMYFUNCTION("""COMPUTED_VALUE"""),10.0)</f>
        <v>10</v>
      </c>
      <c r="G2573" s="1" t="str">
        <f>IFERROR(__xludf.DUMMYFUNCTION("""COMPUTED_VALUE"""),"3 mos")</f>
        <v>3 mos</v>
      </c>
      <c r="H2573" s="1" t="str">
        <f>IFERROR(__xludf.DUMMYFUNCTION("""COMPUTED_VALUE"""),"comment")</f>
        <v>comment</v>
      </c>
      <c r="I2573" s="2" t="str">
        <f>IFERROR(__xludf.DUMMYFUNCTION("""COMPUTED_VALUE"""),"https://www.facebook.com/rapplerdotcom/photos/a.317154781638645/5594264657260938/")</f>
        <v>https://www.facebook.com/rapplerdotcom/photos/a.317154781638645/5594264657260938/</v>
      </c>
      <c r="J2573" s="1" t="str">
        <f>IFERROR(__xludf.DUMMYFUNCTION("""COMPUTED_VALUE"""),"2022-07-04T15:51:46.029Z")</f>
        <v>2022-07-04T15:51:46.029Z</v>
      </c>
      <c r="K2573" s="1"/>
    </row>
    <row r="2574">
      <c r="A2574" s="2" t="str">
        <f>IFERROR(__xludf.DUMMYFUNCTION("""COMPUTED_VALUE"""),"https://www.facebook.com/angela.delosreyes.543")</f>
        <v>https://www.facebook.com/angela.delosreyes.543</v>
      </c>
      <c r="B2574" s="1" t="str">
        <f>IFERROR(__xludf.DUMMYFUNCTION("""COMPUTED_VALUE"""),"Angela De Los Reyes")</f>
        <v>Angela De Los Reyes</v>
      </c>
      <c r="C2574" s="1" t="str">
        <f>IFERROR(__xludf.DUMMYFUNCTION("""COMPUTED_VALUE"""),"Angela")</f>
        <v>Angela</v>
      </c>
      <c r="D2574" s="1" t="str">
        <f>IFERROR(__xludf.DUMMYFUNCTION("""COMPUTED_VALUE"""),"De Los Reyes")</f>
        <v>De Los Reyes</v>
      </c>
      <c r="E2574" s="1" t="str">
        <f>IFERROR(__xludf.DUMMYFUNCTION("""COMPUTED_VALUE"""),"Desperate crowd. Desperate move. Kalma ho, 16% ang kalaban niyo diba 🤣🤣🤣 #IpanaloNa10To")</f>
        <v>Desperate crowd. Desperate move. Kalma ho, 16% ang kalaban niyo diba 🤣🤣🤣 #IpanaloNa10To</v>
      </c>
      <c r="F2574" s="1">
        <f>IFERROR(__xludf.DUMMYFUNCTION("""COMPUTED_VALUE"""),1.0)</f>
        <v>1</v>
      </c>
      <c r="G2574" s="1" t="str">
        <f>IFERROR(__xludf.DUMMYFUNCTION("""COMPUTED_VALUE"""),"3 mos")</f>
        <v>3 mos</v>
      </c>
      <c r="H2574" s="1" t="str">
        <f>IFERROR(__xludf.DUMMYFUNCTION("""COMPUTED_VALUE"""),"comment")</f>
        <v>comment</v>
      </c>
      <c r="I2574" s="2" t="str">
        <f>IFERROR(__xludf.DUMMYFUNCTION("""COMPUTED_VALUE"""),"https://www.facebook.com/rapplerdotcom/photos/a.317154781638645/5594264657260938/")</f>
        <v>https://www.facebook.com/rapplerdotcom/photos/a.317154781638645/5594264657260938/</v>
      </c>
      <c r="J2574" s="1" t="str">
        <f>IFERROR(__xludf.DUMMYFUNCTION("""COMPUTED_VALUE"""),"2022-07-04T15:51:46.029Z")</f>
        <v>2022-07-04T15:51:46.029Z</v>
      </c>
      <c r="K2574" s="1"/>
    </row>
    <row r="2575">
      <c r="A2575" s="2" t="str">
        <f>IFERROR(__xludf.DUMMYFUNCTION("""COMPUTED_VALUE"""),"https://www.facebook.com/ren.wah.1")</f>
        <v>https://www.facebook.com/ren.wah.1</v>
      </c>
      <c r="B2575" s="1" t="str">
        <f>IFERROR(__xludf.DUMMYFUNCTION("""COMPUTED_VALUE"""),"Mglnty Rhen")</f>
        <v>Mglnty Rhen</v>
      </c>
      <c r="C2575" s="1" t="str">
        <f>IFERROR(__xludf.DUMMYFUNCTION("""COMPUTED_VALUE"""),"Mglnty")</f>
        <v>Mglnty</v>
      </c>
      <c r="D2575" s="1" t="str">
        <f>IFERROR(__xludf.DUMMYFUNCTION("""COMPUTED_VALUE"""),"Rhen")</f>
        <v>Rhen</v>
      </c>
      <c r="E2575" s="1" t="str">
        <f>IFERROR(__xludf.DUMMYFUNCTION("""COMPUTED_VALUE"""),"Alam na kung kanino galing ang mga ganyang mga gawain... #UnityNgMagnanakawAtManloloko #AlagadNgA_Dik #TatakDutaeTatakUlupong")</f>
        <v>Alam na kung kanino galing ang mga ganyang mga gawain... #UnityNgMagnanakawAtManloloko #AlagadNgA_Dik #TatakDutaeTatakUlupong</v>
      </c>
      <c r="F2575" s="1">
        <f>IFERROR(__xludf.DUMMYFUNCTION("""COMPUTED_VALUE"""),44.0)</f>
        <v>44</v>
      </c>
      <c r="G2575" s="1" t="str">
        <f>IFERROR(__xludf.DUMMYFUNCTION("""COMPUTED_VALUE"""),"3 mos")</f>
        <v>3 mos</v>
      </c>
      <c r="H2575" s="1" t="str">
        <f>IFERROR(__xludf.DUMMYFUNCTION("""COMPUTED_VALUE"""),"comment")</f>
        <v>comment</v>
      </c>
      <c r="I2575" s="2" t="str">
        <f>IFERROR(__xludf.DUMMYFUNCTION("""COMPUTED_VALUE"""),"https://www.facebook.com/rapplerdotcom/photos/a.317154781638645/5594264657260938/")</f>
        <v>https://www.facebook.com/rapplerdotcom/photos/a.317154781638645/5594264657260938/</v>
      </c>
      <c r="J2575" s="1" t="str">
        <f>IFERROR(__xludf.DUMMYFUNCTION("""COMPUTED_VALUE"""),"2022-07-04T15:51:46.029Z")</f>
        <v>2022-07-04T15:51:46.029Z</v>
      </c>
      <c r="K2575" s="1"/>
    </row>
    <row r="2576">
      <c r="A2576" s="2" t="str">
        <f>IFERROR(__xludf.DUMMYFUNCTION("""COMPUTED_VALUE"""),"https://www.facebook.com/jacqueline.reynado")</f>
        <v>https://www.facebook.com/jacqueline.reynado</v>
      </c>
      <c r="B2576" s="1" t="str">
        <f>IFERROR(__xludf.DUMMYFUNCTION("""COMPUTED_VALUE"""),"Jac Que Line")</f>
        <v>Jac Que Line</v>
      </c>
      <c r="C2576" s="1" t="str">
        <f>IFERROR(__xludf.DUMMYFUNCTION("""COMPUTED_VALUE"""),"Jac")</f>
        <v>Jac</v>
      </c>
      <c r="D2576" s="1" t="str">
        <f>IFERROR(__xludf.DUMMYFUNCTION("""COMPUTED_VALUE"""),"Que Line")</f>
        <v>Que Line</v>
      </c>
      <c r="E2576" s="1" t="str">
        <f>IFERROR(__xludf.DUMMYFUNCTION("""COMPUTED_VALUE"""),"Mglnty Rhen nkakahiya ka makadyos na demonyo. Palitan mo profile mo ng demonyo mas bagay sau😂")</f>
        <v>Mglnty Rhen nkakahiya ka makadyos na demonyo. Palitan mo profile mo ng demonyo mas bagay sau😂</v>
      </c>
      <c r="F2576" s="1">
        <f>IFERROR(__xludf.DUMMYFUNCTION("""COMPUTED_VALUE"""),2.0)</f>
        <v>2</v>
      </c>
      <c r="G2576" s="1" t="str">
        <f>IFERROR(__xludf.DUMMYFUNCTION("""COMPUTED_VALUE"""),"3 mos")</f>
        <v>3 mos</v>
      </c>
      <c r="H2576" s="1" t="str">
        <f>IFERROR(__xludf.DUMMYFUNCTION("""COMPUTED_VALUE"""),"reply")</f>
        <v>reply</v>
      </c>
      <c r="I2576" s="2" t="str">
        <f>IFERROR(__xludf.DUMMYFUNCTION("""COMPUTED_VALUE"""),"https://www.facebook.com/rapplerdotcom/photos/a.317154781638645/5594264657260938/")</f>
        <v>https://www.facebook.com/rapplerdotcom/photos/a.317154781638645/5594264657260938/</v>
      </c>
      <c r="J2576" s="1" t="str">
        <f>IFERROR(__xludf.DUMMYFUNCTION("""COMPUTED_VALUE"""),"2022-07-04T15:51:46.029Z")</f>
        <v>2022-07-04T15:51:46.029Z</v>
      </c>
      <c r="K2576" s="1"/>
    </row>
    <row r="2577">
      <c r="A2577" s="2" t="str">
        <f>IFERROR(__xludf.DUMMYFUNCTION("""COMPUTED_VALUE"""),"https://www.facebook.com/initials.jt")</f>
        <v>https://www.facebook.com/initials.jt</v>
      </c>
      <c r="B2577" s="1" t="str">
        <f>IFERROR(__xludf.DUMMYFUNCTION("""COMPUTED_VALUE"""),"Brader Jaafar")</f>
        <v>Brader Jaafar</v>
      </c>
      <c r="C2577" s="1" t="str">
        <f>IFERROR(__xludf.DUMMYFUNCTION("""COMPUTED_VALUE"""),"Brader")</f>
        <v>Brader</v>
      </c>
      <c r="D2577" s="1" t="str">
        <f>IFERROR(__xludf.DUMMYFUNCTION("""COMPUTED_VALUE"""),"Jaafar")</f>
        <v>Jaafar</v>
      </c>
      <c r="E2577" s="1" t="str">
        <f>IFERROR(__xludf.DUMMYFUNCTION("""COMPUTED_VALUE"""),"Mglnty Rhen https://www.facebook.com/1483983471/posts/10226530538558075/?app=fbl")</f>
        <v>Mglnty Rhen https://www.facebook.com/1483983471/posts/10226530538558075/?app=fbl</v>
      </c>
      <c r="F2577" s="1"/>
      <c r="G2577" s="1" t="str">
        <f>IFERROR(__xludf.DUMMYFUNCTION("""COMPUTED_VALUE"""),"October 25, 2021 at 3:35 AM")</f>
        <v>October 25, 2021 at 3:35 AM</v>
      </c>
      <c r="H2577" s="1" t="str">
        <f>IFERROR(__xludf.DUMMYFUNCTION("""COMPUTED_VALUE"""),"reply")</f>
        <v>reply</v>
      </c>
      <c r="I2577" s="2" t="str">
        <f>IFERROR(__xludf.DUMMYFUNCTION("""COMPUTED_VALUE"""),"https://www.facebook.com/rapplerdotcom/photos/a.317154781638645/5594264657260938/")</f>
        <v>https://www.facebook.com/rapplerdotcom/photos/a.317154781638645/5594264657260938/</v>
      </c>
      <c r="J2577" s="1" t="str">
        <f>IFERROR(__xludf.DUMMYFUNCTION("""COMPUTED_VALUE"""),"2022-07-04T15:51:46.029Z")</f>
        <v>2022-07-04T15:51:46.029Z</v>
      </c>
      <c r="K2577" s="1"/>
    </row>
    <row r="2578">
      <c r="A2578" s="2" t="str">
        <f>IFERROR(__xludf.DUMMYFUNCTION("""COMPUTED_VALUE"""),"https://www.facebook.com/nilo.asas")</f>
        <v>https://www.facebook.com/nilo.asas</v>
      </c>
      <c r="B2578" s="1" t="str">
        <f>IFERROR(__xludf.DUMMYFUNCTION("""COMPUTED_VALUE"""),"Nilo Asas")</f>
        <v>Nilo Asas</v>
      </c>
      <c r="C2578" s="1" t="str">
        <f>IFERROR(__xludf.DUMMYFUNCTION("""COMPUTED_VALUE"""),"Nilo")</f>
        <v>Nilo</v>
      </c>
      <c r="D2578" s="1" t="str">
        <f>IFERROR(__xludf.DUMMYFUNCTION("""COMPUTED_VALUE"""),"Asas")</f>
        <v>Asas</v>
      </c>
      <c r="E2578" s="1" t="str">
        <f>IFERROR(__xludf.DUMMYFUNCTION("""COMPUTED_VALUE"""),"Mglnty Rhen mag labas ka ng kalutangan mo")</f>
        <v>Mglnty Rhen mag labas ka ng kalutangan mo</v>
      </c>
      <c r="F2578" s="1">
        <f>IFERROR(__xludf.DUMMYFUNCTION("""COMPUTED_VALUE"""),2.0)</f>
        <v>2</v>
      </c>
      <c r="G2578" s="1" t="str">
        <f>IFERROR(__xludf.DUMMYFUNCTION("""COMPUTED_VALUE"""),"3 mos")</f>
        <v>3 mos</v>
      </c>
      <c r="H2578" s="1" t="str">
        <f>IFERROR(__xludf.DUMMYFUNCTION("""COMPUTED_VALUE"""),"reply")</f>
        <v>reply</v>
      </c>
      <c r="I2578" s="2" t="str">
        <f>IFERROR(__xludf.DUMMYFUNCTION("""COMPUTED_VALUE"""),"https://www.facebook.com/rapplerdotcom/photos/a.317154781638645/5594264657260938/")</f>
        <v>https://www.facebook.com/rapplerdotcom/photos/a.317154781638645/5594264657260938/</v>
      </c>
      <c r="J2578" s="1" t="str">
        <f>IFERROR(__xludf.DUMMYFUNCTION("""COMPUTED_VALUE"""),"2022-07-04T15:51:46.029Z")</f>
        <v>2022-07-04T15:51:46.029Z</v>
      </c>
      <c r="K2578" s="1"/>
    </row>
    <row r="2579">
      <c r="A2579" s="2" t="str">
        <f>IFERROR(__xludf.DUMMYFUNCTION("""COMPUTED_VALUE"""),"https://www.facebook.com/zion.poliquit.54")</f>
        <v>https://www.facebook.com/zion.poliquit.54</v>
      </c>
      <c r="B2579" s="1" t="str">
        <f>IFERROR(__xludf.DUMMYFUNCTION("""COMPUTED_VALUE"""),"Zion Zion")</f>
        <v>Zion Zion</v>
      </c>
      <c r="C2579" s="1" t="str">
        <f>IFERROR(__xludf.DUMMYFUNCTION("""COMPUTED_VALUE"""),"Zion")</f>
        <v>Zion</v>
      </c>
      <c r="D2579" s="1" t="str">
        <f>IFERROR(__xludf.DUMMYFUNCTION("""COMPUTED_VALUE"""),"Zion")</f>
        <v>Zion</v>
      </c>
      <c r="E2579" s="1" t="str">
        <f>IFERROR(__xludf.DUMMYFUNCTION("""COMPUTED_VALUE"""),"Mglnty Rhen BUTI NAKA LIGTAS KA SA TOKHANG , SAYANG NAMAN")</f>
        <v>Mglnty Rhen BUTI NAKA LIGTAS KA SA TOKHANG , SAYANG NAMAN</v>
      </c>
      <c r="F2579" s="1"/>
      <c r="G2579" s="1" t="str">
        <f>IFERROR(__xludf.DUMMYFUNCTION("""COMPUTED_VALUE"""),"3 mos")</f>
        <v>3 mos</v>
      </c>
      <c r="H2579" s="1" t="str">
        <f>IFERROR(__xludf.DUMMYFUNCTION("""COMPUTED_VALUE"""),"reply")</f>
        <v>reply</v>
      </c>
      <c r="I2579" s="2" t="str">
        <f>IFERROR(__xludf.DUMMYFUNCTION("""COMPUTED_VALUE"""),"https://www.facebook.com/rapplerdotcom/photos/a.317154781638645/5594264657260938/")</f>
        <v>https://www.facebook.com/rapplerdotcom/photos/a.317154781638645/5594264657260938/</v>
      </c>
      <c r="J2579" s="1" t="str">
        <f>IFERROR(__xludf.DUMMYFUNCTION("""COMPUTED_VALUE"""),"2022-07-04T15:51:46.029Z")</f>
        <v>2022-07-04T15:51:46.029Z</v>
      </c>
      <c r="K2579" s="1"/>
    </row>
    <row r="2580">
      <c r="A2580" s="2" t="str">
        <f>IFERROR(__xludf.DUMMYFUNCTION("""COMPUTED_VALUE"""),"https://www.facebook.com/eugine.flores.5")</f>
        <v>https://www.facebook.com/eugine.flores.5</v>
      </c>
      <c r="B2580" s="1" t="str">
        <f>IFERROR(__xludf.DUMMYFUNCTION("""COMPUTED_VALUE"""),"Bigo Sa Pag Ibig")</f>
        <v>Bigo Sa Pag Ibig</v>
      </c>
      <c r="C2580" s="1" t="str">
        <f>IFERROR(__xludf.DUMMYFUNCTION("""COMPUTED_VALUE"""),"Bigo")</f>
        <v>Bigo</v>
      </c>
      <c r="D2580" s="1" t="str">
        <f>IFERROR(__xludf.DUMMYFUNCTION("""COMPUTED_VALUE"""),"Sa Pag Ibig")</f>
        <v>Sa Pag Ibig</v>
      </c>
      <c r="E2580" s="1" t="str">
        <f>IFERROR(__xludf.DUMMYFUNCTION("""COMPUTED_VALUE"""),"Oo...nga nagsisi na tyo na duterte administration libo libong pamilya nwalan ng anak,kpatid,ama tulad dn ni marcus Sr kya bkit pa tyo bablik sa gnun na systema")</f>
        <v>Oo...nga nagsisi na tyo na duterte administration libo libong pamilya nwalan ng anak,kpatid,ama tulad dn ni marcus Sr kya bkit pa tyo bablik sa gnun na systema</v>
      </c>
      <c r="F2580" s="1">
        <f>IFERROR(__xludf.DUMMYFUNCTION("""COMPUTED_VALUE"""),2.0)</f>
        <v>2</v>
      </c>
      <c r="G2580" s="1" t="str">
        <f>IFERROR(__xludf.DUMMYFUNCTION("""COMPUTED_VALUE"""),"3 mos")</f>
        <v>3 mos</v>
      </c>
      <c r="H2580" s="1" t="str">
        <f>IFERROR(__xludf.DUMMYFUNCTION("""COMPUTED_VALUE"""),"reply")</f>
        <v>reply</v>
      </c>
      <c r="I2580" s="2" t="str">
        <f>IFERROR(__xludf.DUMMYFUNCTION("""COMPUTED_VALUE"""),"https://www.facebook.com/rapplerdotcom/photos/a.317154781638645/5594264657260938/")</f>
        <v>https://www.facebook.com/rapplerdotcom/photos/a.317154781638645/5594264657260938/</v>
      </c>
      <c r="J2580" s="1" t="str">
        <f>IFERROR(__xludf.DUMMYFUNCTION("""COMPUTED_VALUE"""),"2022-07-04T15:51:46.029Z")</f>
        <v>2022-07-04T15:51:46.029Z</v>
      </c>
      <c r="K2580" s="1"/>
    </row>
    <row r="2581">
      <c r="A2581" s="2" t="str">
        <f>IFERROR(__xludf.DUMMYFUNCTION("""COMPUTED_VALUE"""),"https://www.facebook.com/jehe.kokos")</f>
        <v>https://www.facebook.com/jehe.kokos</v>
      </c>
      <c r="B2581" s="1" t="str">
        <f>IFERROR(__xludf.DUMMYFUNCTION("""COMPUTED_VALUE"""),"Chan Dell")</f>
        <v>Chan Dell</v>
      </c>
      <c r="C2581" s="1" t="str">
        <f>IFERROR(__xludf.DUMMYFUNCTION("""COMPUTED_VALUE"""),"Chan")</f>
        <v>Chan</v>
      </c>
      <c r="D2581" s="1" t="str">
        <f>IFERROR(__xludf.DUMMYFUNCTION("""COMPUTED_VALUE"""),"Dell")</f>
        <v>Dell</v>
      </c>
      <c r="E2581" s="1" t="str">
        <f>IFERROR(__xludf.DUMMYFUNCTION("""COMPUTED_VALUE"""),"Mglnty Rhen ung 6 years ka di  naka hithit haha")</f>
        <v>Mglnty Rhen ung 6 years ka di  naka hithit haha</v>
      </c>
      <c r="F2581" s="1"/>
      <c r="G2581" s="1" t="str">
        <f>IFERROR(__xludf.DUMMYFUNCTION("""COMPUTED_VALUE"""),"3 mos")</f>
        <v>3 mos</v>
      </c>
      <c r="H2581" s="1" t="str">
        <f>IFERROR(__xludf.DUMMYFUNCTION("""COMPUTED_VALUE"""),"reply")</f>
        <v>reply</v>
      </c>
      <c r="I2581" s="2" t="str">
        <f>IFERROR(__xludf.DUMMYFUNCTION("""COMPUTED_VALUE"""),"https://www.facebook.com/rapplerdotcom/photos/a.317154781638645/5594264657260938/")</f>
        <v>https://www.facebook.com/rapplerdotcom/photos/a.317154781638645/5594264657260938/</v>
      </c>
      <c r="J2581" s="1" t="str">
        <f>IFERROR(__xludf.DUMMYFUNCTION("""COMPUTED_VALUE"""),"2022-07-04T15:51:46.029Z")</f>
        <v>2022-07-04T15:51:46.029Z</v>
      </c>
      <c r="K2581" s="1"/>
    </row>
    <row r="2582">
      <c r="A2582" s="2" t="str">
        <f>IFERROR(__xludf.DUMMYFUNCTION("""COMPUTED_VALUE"""),"https://www.facebook.com/reniel.carandang.56")</f>
        <v>https://www.facebook.com/reniel.carandang.56</v>
      </c>
      <c r="B2582" s="1" t="str">
        <f>IFERROR(__xludf.DUMMYFUNCTION("""COMPUTED_VALUE"""),"Renato Carandang")</f>
        <v>Renato Carandang</v>
      </c>
      <c r="C2582" s="1" t="str">
        <f>IFERROR(__xludf.DUMMYFUNCTION("""COMPUTED_VALUE"""),"Renato")</f>
        <v>Renato</v>
      </c>
      <c r="D2582" s="1" t="str">
        <f>IFERROR(__xludf.DUMMYFUNCTION("""COMPUTED_VALUE"""),"Carandang")</f>
        <v>Carandang</v>
      </c>
      <c r="E2582" s="1" t="str">
        <f>IFERROR(__xludf.DUMMYFUNCTION("""COMPUTED_VALUE"""),"Bigo Sa Pag Ibig talaga ba")</f>
        <v>Bigo Sa Pag Ibig talaga ba</v>
      </c>
      <c r="F2582" s="1"/>
      <c r="G2582" s="1" t="str">
        <f>IFERROR(__xludf.DUMMYFUNCTION("""COMPUTED_VALUE"""),"3 mos")</f>
        <v>3 mos</v>
      </c>
      <c r="H2582" s="1" t="str">
        <f>IFERROR(__xludf.DUMMYFUNCTION("""COMPUTED_VALUE"""),"reply")</f>
        <v>reply</v>
      </c>
      <c r="I2582" s="2" t="str">
        <f>IFERROR(__xludf.DUMMYFUNCTION("""COMPUTED_VALUE"""),"https://www.facebook.com/rapplerdotcom/photos/a.317154781638645/5594264657260938/")</f>
        <v>https://www.facebook.com/rapplerdotcom/photos/a.317154781638645/5594264657260938/</v>
      </c>
      <c r="J2582" s="1" t="str">
        <f>IFERROR(__xludf.DUMMYFUNCTION("""COMPUTED_VALUE"""),"2022-07-04T15:51:46.029Z")</f>
        <v>2022-07-04T15:51:46.029Z</v>
      </c>
      <c r="K2582" s="1"/>
    </row>
    <row r="2583">
      <c r="A2583" s="2" t="str">
        <f>IFERROR(__xludf.DUMMYFUNCTION("""COMPUTED_VALUE"""),"https://www.facebook.com/gemrose.rescobactol")</f>
        <v>https://www.facebook.com/gemrose.rescobactol</v>
      </c>
      <c r="B2583" s="1" t="str">
        <f>IFERROR(__xludf.DUMMYFUNCTION("""COMPUTED_VALUE"""),"Gemrose Resco Bactol")</f>
        <v>Gemrose Resco Bactol</v>
      </c>
      <c r="C2583" s="1" t="str">
        <f>IFERROR(__xludf.DUMMYFUNCTION("""COMPUTED_VALUE"""),"Gemrose")</f>
        <v>Gemrose</v>
      </c>
      <c r="D2583" s="1" t="str">
        <f>IFERROR(__xludf.DUMMYFUNCTION("""COMPUTED_VALUE"""),"Resco Bactol")</f>
        <v>Resco Bactol</v>
      </c>
      <c r="E2583" s="1" t="str">
        <f>IFERROR(__xludf.DUMMYFUNCTION("""COMPUTED_VALUE"""),"Bigo Sa Pag Ibig kung sa oplan tokhang po yung binabanggit mo Sana naisip mo din yung mga menor de edad na pinatay at ginahasa dahil sa mga taong lulong na sa droga")</f>
        <v>Bigo Sa Pag Ibig kung sa oplan tokhang po yung binabanggit mo Sana naisip mo din yung mga menor de edad na pinatay at ginahasa dahil sa mga taong lulong na sa droga</v>
      </c>
      <c r="F2583" s="1"/>
      <c r="G2583" s="1" t="str">
        <f>IFERROR(__xludf.DUMMYFUNCTION("""COMPUTED_VALUE"""),"3 mos")</f>
        <v>3 mos</v>
      </c>
      <c r="H2583" s="1" t="str">
        <f>IFERROR(__xludf.DUMMYFUNCTION("""COMPUTED_VALUE"""),"reply")</f>
        <v>reply</v>
      </c>
      <c r="I2583" s="2" t="str">
        <f>IFERROR(__xludf.DUMMYFUNCTION("""COMPUTED_VALUE"""),"https://www.facebook.com/rapplerdotcom/photos/a.317154781638645/5594264657260938/")</f>
        <v>https://www.facebook.com/rapplerdotcom/photos/a.317154781638645/5594264657260938/</v>
      </c>
      <c r="J2583" s="1" t="str">
        <f>IFERROR(__xludf.DUMMYFUNCTION("""COMPUTED_VALUE"""),"2022-07-04T15:51:46.029Z")</f>
        <v>2022-07-04T15:51:46.029Z</v>
      </c>
      <c r="K2583" s="1"/>
    </row>
    <row r="2584">
      <c r="A2584" s="2" t="str">
        <f>IFERROR(__xludf.DUMMYFUNCTION("""COMPUTED_VALUE"""),"https://www.facebook.com/jefferson.parrocha.3")</f>
        <v>https://www.facebook.com/jefferson.parrocha.3</v>
      </c>
      <c r="B2584" s="1" t="str">
        <f>IFERROR(__xludf.DUMMYFUNCTION("""COMPUTED_VALUE"""),"Jefferson Estandian Parrocha Jr.")</f>
        <v>Jefferson Estandian Parrocha Jr.</v>
      </c>
      <c r="C2584" s="1" t="str">
        <f>IFERROR(__xludf.DUMMYFUNCTION("""COMPUTED_VALUE"""),"Jefferson")</f>
        <v>Jefferson</v>
      </c>
      <c r="D2584" s="1" t="str">
        <f>IFERROR(__xludf.DUMMYFUNCTION("""COMPUTED_VALUE"""),"Estandian Parrocha Jr.")</f>
        <v>Estandian Parrocha Jr.</v>
      </c>
      <c r="E2584" s="1" t="str">
        <f>IFERROR(__xludf.DUMMYFUNCTION("""COMPUTED_VALUE"""),"Gemrose Resco Bactol ndi nya maiisip yan boss my msabi,lng sya")</f>
        <v>Gemrose Resco Bactol ndi nya maiisip yan boss my msabi,lng sya</v>
      </c>
      <c r="F2584" s="1"/>
      <c r="G2584" s="1" t="str">
        <f>IFERROR(__xludf.DUMMYFUNCTION("""COMPUTED_VALUE"""),"3 mos")</f>
        <v>3 mos</v>
      </c>
      <c r="H2584" s="1" t="str">
        <f>IFERROR(__xludf.DUMMYFUNCTION("""COMPUTED_VALUE"""),"reply")</f>
        <v>reply</v>
      </c>
      <c r="I2584" s="2" t="str">
        <f>IFERROR(__xludf.DUMMYFUNCTION("""COMPUTED_VALUE"""),"https://www.facebook.com/rapplerdotcom/photos/a.317154781638645/5594264657260938/")</f>
        <v>https://www.facebook.com/rapplerdotcom/photos/a.317154781638645/5594264657260938/</v>
      </c>
      <c r="J2584" s="1" t="str">
        <f>IFERROR(__xludf.DUMMYFUNCTION("""COMPUTED_VALUE"""),"2022-07-04T15:51:46.029Z")</f>
        <v>2022-07-04T15:51:46.029Z</v>
      </c>
      <c r="K2584" s="1"/>
    </row>
    <row r="2585">
      <c r="A2585" s="2" t="str">
        <f>IFERROR(__xludf.DUMMYFUNCTION("""COMPUTED_VALUE"""),"https://www.facebook.com/nilo.asas")</f>
        <v>https://www.facebook.com/nilo.asas</v>
      </c>
      <c r="B2585" s="1" t="str">
        <f>IFERROR(__xludf.DUMMYFUNCTION("""COMPUTED_VALUE"""),"Nilo Asas")</f>
        <v>Nilo Asas</v>
      </c>
      <c r="C2585" s="1" t="str">
        <f>IFERROR(__xludf.DUMMYFUNCTION("""COMPUTED_VALUE"""),"Nilo")</f>
        <v>Nilo</v>
      </c>
      <c r="D2585" s="1" t="str">
        <f>IFERROR(__xludf.DUMMYFUNCTION("""COMPUTED_VALUE"""),"Asas")</f>
        <v>Asas</v>
      </c>
      <c r="E2585" s="1" t="str">
        <f>IFERROR(__xludf.DUMMYFUNCTION("""COMPUTED_VALUE"""),"Bigo Sa Pag Ibig sir ang nawalan lang nman yung mga adik,paano nman yung pinatay at ginahasa dahil sa droga wala nalang yun")</f>
        <v>Bigo Sa Pag Ibig sir ang nawalan lang nman yung mga adik,paano nman yung pinatay at ginahasa dahil sa droga wala nalang yun</v>
      </c>
      <c r="F2585" s="1"/>
      <c r="G2585" s="1" t="str">
        <f>IFERROR(__xludf.DUMMYFUNCTION("""COMPUTED_VALUE"""),"3 mos")</f>
        <v>3 mos</v>
      </c>
      <c r="H2585" s="1" t="str">
        <f>IFERROR(__xludf.DUMMYFUNCTION("""COMPUTED_VALUE"""),"reply")</f>
        <v>reply</v>
      </c>
      <c r="I2585" s="2" t="str">
        <f>IFERROR(__xludf.DUMMYFUNCTION("""COMPUTED_VALUE"""),"https://www.facebook.com/rapplerdotcom/photos/a.317154781638645/5594264657260938/")</f>
        <v>https://www.facebook.com/rapplerdotcom/photos/a.317154781638645/5594264657260938/</v>
      </c>
      <c r="J2585" s="1" t="str">
        <f>IFERROR(__xludf.DUMMYFUNCTION("""COMPUTED_VALUE"""),"2022-07-04T15:51:46.029Z")</f>
        <v>2022-07-04T15:51:46.029Z</v>
      </c>
      <c r="K2585" s="1"/>
    </row>
    <row r="2586">
      <c r="A2586" s="2" t="str">
        <f>IFERROR(__xludf.DUMMYFUNCTION("""COMPUTED_VALUE"""),"https://www.facebook.com/RheamaePineda.15")</f>
        <v>https://www.facebook.com/RheamaePineda.15</v>
      </c>
      <c r="B2586" s="1" t="str">
        <f>IFERROR(__xludf.DUMMYFUNCTION("""COMPUTED_VALUE"""),"Rhea Mae Ramada Pineda")</f>
        <v>Rhea Mae Ramada Pineda</v>
      </c>
      <c r="C2586" s="1" t="str">
        <f>IFERROR(__xludf.DUMMYFUNCTION("""COMPUTED_VALUE"""),"Rhea")</f>
        <v>Rhea</v>
      </c>
      <c r="D2586" s="1" t="str">
        <f>IFERROR(__xludf.DUMMYFUNCTION("""COMPUTED_VALUE"""),"Mae Ramada Pineda")</f>
        <v>Mae Ramada Pineda</v>
      </c>
      <c r="E2586" s="1" t="str">
        <f>IFERROR(__xludf.DUMMYFUNCTION("""COMPUTED_VALUE"""),"Mglnty Rhen fyi nasa angat team ang druglord HAHAHA wag puro comment lang nakakahiya ka 😂😂 buti hindi ka pa tokhang ano bulag ka din sa katutuhanan. Dinamay mo pa si President Duterte e pekeng Vice President naman ipinagtatanggol mo.")</f>
        <v>Mglnty Rhen fyi nasa angat team ang druglord HAHAHA wag puro comment lang nakakahiya ka 😂😂 buti hindi ka pa tokhang ano bulag ka din sa katutuhanan. Dinamay mo pa si President Duterte e pekeng Vice President naman ipinagtatanggol mo.</v>
      </c>
      <c r="F2586" s="1"/>
      <c r="G2586" s="1" t="str">
        <f>IFERROR(__xludf.DUMMYFUNCTION("""COMPUTED_VALUE"""),"3 mos")</f>
        <v>3 mos</v>
      </c>
      <c r="H2586" s="1" t="str">
        <f>IFERROR(__xludf.DUMMYFUNCTION("""COMPUTED_VALUE"""),"reply")</f>
        <v>reply</v>
      </c>
      <c r="I2586" s="2" t="str">
        <f>IFERROR(__xludf.DUMMYFUNCTION("""COMPUTED_VALUE"""),"https://www.facebook.com/rapplerdotcom/photos/a.317154781638645/5594264657260938/")</f>
        <v>https://www.facebook.com/rapplerdotcom/photos/a.317154781638645/5594264657260938/</v>
      </c>
      <c r="J2586" s="1" t="str">
        <f>IFERROR(__xludf.DUMMYFUNCTION("""COMPUTED_VALUE"""),"2022-07-04T15:51:46.029Z")</f>
        <v>2022-07-04T15:51:46.029Z</v>
      </c>
      <c r="K2586" s="1"/>
    </row>
    <row r="2587">
      <c r="A2587" s="2" t="str">
        <f>IFERROR(__xludf.DUMMYFUNCTION("""COMPUTED_VALUE"""),"https://www.facebook.com/profile.php?id=100051340422684")</f>
        <v>https://www.facebook.com/profile.php?id=100051340422684</v>
      </c>
      <c r="B2587" s="1" t="str">
        <f>IFERROR(__xludf.DUMMYFUNCTION("""COMPUTED_VALUE"""),"Cristina Salazar")</f>
        <v>Cristina Salazar</v>
      </c>
      <c r="C2587" s="1" t="str">
        <f>IFERROR(__xludf.DUMMYFUNCTION("""COMPUTED_VALUE"""),"Cristina")</f>
        <v>Cristina</v>
      </c>
      <c r="D2587" s="1" t="str">
        <f>IFERROR(__xludf.DUMMYFUNCTION("""COMPUTED_VALUE"""),"Salazar")</f>
        <v>Salazar</v>
      </c>
      <c r="E2587" s="1" t="str">
        <f>IFERROR(__xludf.DUMMYFUNCTION("""COMPUTED_VALUE"""),"Puro pandaraya ang alam ng mga hinqyupak..manong sumunod naman sa tama..")</f>
        <v>Puro pandaraya ang alam ng mga hinqyupak..manong sumunod naman sa tama..</v>
      </c>
      <c r="F2587" s="1">
        <f>IFERROR(__xludf.DUMMYFUNCTION("""COMPUTED_VALUE"""),6.0)</f>
        <v>6</v>
      </c>
      <c r="G2587" s="1" t="str">
        <f>IFERROR(__xludf.DUMMYFUNCTION("""COMPUTED_VALUE"""),"3 mos")</f>
        <v>3 mos</v>
      </c>
      <c r="H2587" s="1" t="str">
        <f>IFERROR(__xludf.DUMMYFUNCTION("""COMPUTED_VALUE"""),"comment")</f>
        <v>comment</v>
      </c>
      <c r="I2587" s="2" t="str">
        <f>IFERROR(__xludf.DUMMYFUNCTION("""COMPUTED_VALUE"""),"https://www.facebook.com/rapplerdotcom/photos/a.317154781638645/5594264657260938/")</f>
        <v>https://www.facebook.com/rapplerdotcom/photos/a.317154781638645/5594264657260938/</v>
      </c>
      <c r="J2587" s="1" t="str">
        <f>IFERROR(__xludf.DUMMYFUNCTION("""COMPUTED_VALUE"""),"2022-07-04T15:51:46.029Z")</f>
        <v>2022-07-04T15:51:46.029Z</v>
      </c>
      <c r="K2587" s="1"/>
    </row>
    <row r="2588">
      <c r="A2588" s="2" t="str">
        <f>IFERROR(__xludf.DUMMYFUNCTION("""COMPUTED_VALUE"""),"https://www.facebook.com/LanieJuson")</f>
        <v>https://www.facebook.com/LanieJuson</v>
      </c>
      <c r="B2588" s="1" t="str">
        <f>IFERROR(__xludf.DUMMYFUNCTION("""COMPUTED_VALUE"""),"Mel Juson")</f>
        <v>Mel Juson</v>
      </c>
      <c r="C2588" s="1" t="str">
        <f>IFERROR(__xludf.DUMMYFUNCTION("""COMPUTED_VALUE"""),"Mel")</f>
        <v>Mel</v>
      </c>
      <c r="D2588" s="1" t="str">
        <f>IFERROR(__xludf.DUMMYFUNCTION("""COMPUTED_VALUE"""),"Juson")</f>
        <v>Juson</v>
      </c>
      <c r="E2588" s="1" t="str">
        <f>IFERROR(__xludf.DUMMYFUNCTION("""COMPUTED_VALUE"""),"Ay wowww! Pathetic. Ang alam lang talaga ay mameke. Tsk tsk tsk!😏🤨")</f>
        <v>Ay wowww! Pathetic. Ang alam lang talaga ay mameke. Tsk tsk tsk!😏🤨</v>
      </c>
      <c r="F2588" s="1">
        <f>IFERROR(__xludf.DUMMYFUNCTION("""COMPUTED_VALUE"""),1.0)</f>
        <v>1</v>
      </c>
      <c r="G2588" s="1" t="str">
        <f>IFERROR(__xludf.DUMMYFUNCTION("""COMPUTED_VALUE"""),"3 mos")</f>
        <v>3 mos</v>
      </c>
      <c r="H2588" s="1" t="str">
        <f>IFERROR(__xludf.DUMMYFUNCTION("""COMPUTED_VALUE"""),"comment")</f>
        <v>comment</v>
      </c>
      <c r="I2588" s="2" t="str">
        <f>IFERROR(__xludf.DUMMYFUNCTION("""COMPUTED_VALUE"""),"https://www.facebook.com/rapplerdotcom/photos/a.317154781638645/5594264657260938/")</f>
        <v>https://www.facebook.com/rapplerdotcom/photos/a.317154781638645/5594264657260938/</v>
      </c>
      <c r="J2588" s="1" t="str">
        <f>IFERROR(__xludf.DUMMYFUNCTION("""COMPUTED_VALUE"""),"2022-07-04T15:51:46.029Z")</f>
        <v>2022-07-04T15:51:46.029Z</v>
      </c>
      <c r="K2588" s="1"/>
    </row>
    <row r="2589">
      <c r="A2589" s="2" t="str">
        <f>IFERROR(__xludf.DUMMYFUNCTION("""COMPUTED_VALUE"""),"https://www.facebook.com/venass.mercado.1")</f>
        <v>https://www.facebook.com/venass.mercado.1</v>
      </c>
      <c r="B2589" s="1" t="str">
        <f>IFERROR(__xludf.DUMMYFUNCTION("""COMPUTED_VALUE"""),"Venass Mercado")</f>
        <v>Venass Mercado</v>
      </c>
      <c r="C2589" s="1" t="str">
        <f>IFERROR(__xludf.DUMMYFUNCTION("""COMPUTED_VALUE"""),"Venass")</f>
        <v>Venass</v>
      </c>
      <c r="D2589" s="1" t="str">
        <f>IFERROR(__xludf.DUMMYFUNCTION("""COMPUTED_VALUE"""),"Mercado")</f>
        <v>Mercado</v>
      </c>
      <c r="E2589" s="1" t="str">
        <f>IFERROR(__xludf.DUMMYFUNCTION("""COMPUTED_VALUE"""),"Tapossssas ang laban, MAY NANALO NA!")</f>
        <v>Tapossssas ang laban, MAY NANALO NA!</v>
      </c>
      <c r="F2589" s="1"/>
      <c r="G2589" s="1" t="str">
        <f>IFERROR(__xludf.DUMMYFUNCTION("""COMPUTED_VALUE"""),"3 mos")</f>
        <v>3 mos</v>
      </c>
      <c r="H2589" s="1" t="str">
        <f>IFERROR(__xludf.DUMMYFUNCTION("""COMPUTED_VALUE"""),"comment")</f>
        <v>comment</v>
      </c>
      <c r="I2589" s="2" t="str">
        <f>IFERROR(__xludf.DUMMYFUNCTION("""COMPUTED_VALUE"""),"https://www.facebook.com/rapplerdotcom/photos/a.317154781638645/5594264657260938/")</f>
        <v>https://www.facebook.com/rapplerdotcom/photos/a.317154781638645/5594264657260938/</v>
      </c>
      <c r="J2589" s="1" t="str">
        <f>IFERROR(__xludf.DUMMYFUNCTION("""COMPUTED_VALUE"""),"2022-07-04T15:51:46.029Z")</f>
        <v>2022-07-04T15:51:46.029Z</v>
      </c>
      <c r="K2589" s="1"/>
    </row>
    <row r="2590">
      <c r="A2590" s="2" t="str">
        <f>IFERROR(__xludf.DUMMYFUNCTION("""COMPUTED_VALUE"""),"https://www.facebook.com/aj.dadivas.7")</f>
        <v>https://www.facebook.com/aj.dadivas.7</v>
      </c>
      <c r="B2590" s="1" t="str">
        <f>IFERROR(__xludf.DUMMYFUNCTION("""COMPUTED_VALUE"""),"Allyn Joy Dadivas")</f>
        <v>Allyn Joy Dadivas</v>
      </c>
      <c r="C2590" s="1" t="str">
        <f>IFERROR(__xludf.DUMMYFUNCTION("""COMPUTED_VALUE"""),"Allyn")</f>
        <v>Allyn</v>
      </c>
      <c r="D2590" s="1" t="str">
        <f>IFERROR(__xludf.DUMMYFUNCTION("""COMPUTED_VALUE"""),"Joy Dadivas")</f>
        <v>Joy Dadivas</v>
      </c>
      <c r="E2590" s="1" t="str">
        <f>IFERROR(__xludf.DUMMYFUNCTION("""COMPUTED_VALUE"""),"Ginagawa nyo? Sana okay pa kayo.. lahat na lng gagawin para sa pamemeke.. 🤦🏼‍♀️🤦🏼‍♀️🤦🏼‍♀️🤦🏼‍♀️🤦🏼‍♀️")</f>
        <v>Ginagawa nyo? Sana okay pa kayo.. lahat na lng gagawin para sa pamemeke.. 🤦🏼‍♀️🤦🏼‍♀️🤦🏼‍♀️🤦🏼‍♀️🤦🏼‍♀️</v>
      </c>
      <c r="F2590" s="1">
        <f>IFERROR(__xludf.DUMMYFUNCTION("""COMPUTED_VALUE"""),1.0)</f>
        <v>1</v>
      </c>
      <c r="G2590" s="1" t="str">
        <f>IFERROR(__xludf.DUMMYFUNCTION("""COMPUTED_VALUE"""),"3 mos")</f>
        <v>3 mos</v>
      </c>
      <c r="H2590" s="1" t="str">
        <f>IFERROR(__xludf.DUMMYFUNCTION("""COMPUTED_VALUE"""),"comment")</f>
        <v>comment</v>
      </c>
      <c r="I2590" s="2" t="str">
        <f>IFERROR(__xludf.DUMMYFUNCTION("""COMPUTED_VALUE"""),"https://www.facebook.com/rapplerdotcom/photos/a.317154781638645/5594264657260938/")</f>
        <v>https://www.facebook.com/rapplerdotcom/photos/a.317154781638645/5594264657260938/</v>
      </c>
      <c r="J2590" s="1" t="str">
        <f>IFERROR(__xludf.DUMMYFUNCTION("""COMPUTED_VALUE"""),"2022-07-04T15:51:46.029Z")</f>
        <v>2022-07-04T15:51:46.029Z</v>
      </c>
      <c r="K2590" s="1"/>
    </row>
    <row r="2591">
      <c r="A2591" s="2" t="str">
        <f>IFERROR(__xludf.DUMMYFUNCTION("""COMPUTED_VALUE"""),"https://www.facebook.com/russel.hade")</f>
        <v>https://www.facebook.com/russel.hade</v>
      </c>
      <c r="B2591" s="1" t="str">
        <f>IFERROR(__xludf.DUMMYFUNCTION("""COMPUTED_VALUE"""),"Russel Navarro")</f>
        <v>Russel Navarro</v>
      </c>
      <c r="C2591" s="1" t="str">
        <f>IFERROR(__xludf.DUMMYFUNCTION("""COMPUTED_VALUE"""),"Russel")</f>
        <v>Russel</v>
      </c>
      <c r="D2591" s="1" t="str">
        <f>IFERROR(__xludf.DUMMYFUNCTION("""COMPUTED_VALUE"""),"Navarro")</f>
        <v>Navarro</v>
      </c>
      <c r="E2591" s="1" t="str">
        <f>IFERROR(__xludf.DUMMYFUNCTION("""COMPUTED_VALUE"""),"Mag double time pa po kayo :) Talo na partido nyo 💚❤️")</f>
        <v>Mag double time pa po kayo :) Talo na partido nyo 💚❤️</v>
      </c>
      <c r="F2591" s="1">
        <f>IFERROR(__xludf.DUMMYFUNCTION("""COMPUTED_VALUE"""),31.0)</f>
        <v>31</v>
      </c>
      <c r="G2591" s="1" t="str">
        <f>IFERROR(__xludf.DUMMYFUNCTION("""COMPUTED_VALUE"""),"3 mos")</f>
        <v>3 mos</v>
      </c>
      <c r="H2591" s="1" t="str">
        <f>IFERROR(__xludf.DUMMYFUNCTION("""COMPUTED_VALUE"""),"comment")</f>
        <v>comment</v>
      </c>
      <c r="I2591" s="2" t="str">
        <f>IFERROR(__xludf.DUMMYFUNCTION("""COMPUTED_VALUE"""),"https://www.facebook.com/rapplerdotcom/photos/a.317154781638645/5594264657260938/")</f>
        <v>https://www.facebook.com/rapplerdotcom/photos/a.317154781638645/5594264657260938/</v>
      </c>
      <c r="J2591" s="1" t="str">
        <f>IFERROR(__xludf.DUMMYFUNCTION("""COMPUTED_VALUE"""),"2022-07-04T15:51:46.029Z")</f>
        <v>2022-07-04T15:51:46.029Z</v>
      </c>
      <c r="K2591" s="1"/>
    </row>
    <row r="2592">
      <c r="A2592" s="2" t="str">
        <f>IFERROR(__xludf.DUMMYFUNCTION("""COMPUTED_VALUE"""),"https://www.facebook.com/fortunato.salas.9")</f>
        <v>https://www.facebook.com/fortunato.salas.9</v>
      </c>
      <c r="B2592" s="1" t="str">
        <f>IFERROR(__xludf.DUMMYFUNCTION("""COMPUTED_VALUE"""),"Leopoldo Mabilangan")</f>
        <v>Leopoldo Mabilangan</v>
      </c>
      <c r="C2592" s="1" t="str">
        <f>IFERROR(__xludf.DUMMYFUNCTION("""COMPUTED_VALUE"""),"Leopoldo")</f>
        <v>Leopoldo</v>
      </c>
      <c r="D2592" s="1" t="str">
        <f>IFERROR(__xludf.DUMMYFUNCTION("""COMPUTED_VALUE"""),"Mabilangan")</f>
        <v>Mabilangan</v>
      </c>
      <c r="E2592" s="1" t="str">
        <f>IFERROR(__xludf.DUMMYFUNCTION("""COMPUTED_VALUE"""),"Russel Navarro SOLID UNITHIEVES")</f>
        <v>Russel Navarro SOLID UNITHIEVES</v>
      </c>
      <c r="F2592" s="1">
        <f>IFERROR(__xludf.DUMMYFUNCTION("""COMPUTED_VALUE"""),10.0)</f>
        <v>10</v>
      </c>
      <c r="G2592" s="1" t="str">
        <f>IFERROR(__xludf.DUMMYFUNCTION("""COMPUTED_VALUE"""),"3 mos")</f>
        <v>3 mos</v>
      </c>
      <c r="H2592" s="1" t="str">
        <f>IFERROR(__xludf.DUMMYFUNCTION("""COMPUTED_VALUE"""),"reply")</f>
        <v>reply</v>
      </c>
      <c r="I2592" s="2" t="str">
        <f>IFERROR(__xludf.DUMMYFUNCTION("""COMPUTED_VALUE"""),"https://www.facebook.com/rapplerdotcom/photos/a.317154781638645/5594264657260938/")</f>
        <v>https://www.facebook.com/rapplerdotcom/photos/a.317154781638645/5594264657260938/</v>
      </c>
      <c r="J2592" s="1" t="str">
        <f>IFERROR(__xludf.DUMMYFUNCTION("""COMPUTED_VALUE"""),"2022-07-04T15:51:46.029Z")</f>
        <v>2022-07-04T15:51:46.029Z</v>
      </c>
      <c r="K2592" s="1"/>
    </row>
    <row r="2593">
      <c r="A2593" s="2" t="str">
        <f>IFERROR(__xludf.DUMMYFUNCTION("""COMPUTED_VALUE"""),"https://www.facebook.com/anjadonis11")</f>
        <v>https://www.facebook.com/anjadonis11</v>
      </c>
      <c r="B2593" s="1" t="str">
        <f>IFERROR(__xludf.DUMMYFUNCTION("""COMPUTED_VALUE"""),"Anjehlla N. Adonis")</f>
        <v>Anjehlla N. Adonis</v>
      </c>
      <c r="C2593" s="1" t="str">
        <f>IFERROR(__xludf.DUMMYFUNCTION("""COMPUTED_VALUE"""),"Anjehlla")</f>
        <v>Anjehlla</v>
      </c>
      <c r="D2593" s="1" t="str">
        <f>IFERROR(__xludf.DUMMYFUNCTION("""COMPUTED_VALUE"""),"N. Adonis")</f>
        <v>N. Adonis</v>
      </c>
      <c r="E2593" s="1" t="str">
        <f>IFERROR(__xludf.DUMMYFUNCTION("""COMPUTED_VALUE"""),"Russel Navarro kala ko si lenlen ang talo?bkt prng kau ang talo kc kau ang desperado?🤣🤣🤣")</f>
        <v>Russel Navarro kala ko si lenlen ang talo?bkt prng kau ang talo kc kau ang desperado?🤣🤣🤣</v>
      </c>
      <c r="F2593" s="1">
        <f>IFERROR(__xludf.DUMMYFUNCTION("""COMPUTED_VALUE"""),3.0)</f>
        <v>3</v>
      </c>
      <c r="G2593" s="1" t="str">
        <f>IFERROR(__xludf.DUMMYFUNCTION("""COMPUTED_VALUE"""),"3 mos")</f>
        <v>3 mos</v>
      </c>
      <c r="H2593" s="1" t="str">
        <f>IFERROR(__xludf.DUMMYFUNCTION("""COMPUTED_VALUE"""),"reply")</f>
        <v>reply</v>
      </c>
      <c r="I2593" s="2" t="str">
        <f>IFERROR(__xludf.DUMMYFUNCTION("""COMPUTED_VALUE"""),"https://www.facebook.com/rapplerdotcom/photos/a.317154781638645/5594264657260938/")</f>
        <v>https://www.facebook.com/rapplerdotcom/photos/a.317154781638645/5594264657260938/</v>
      </c>
      <c r="J2593" s="1" t="str">
        <f>IFERROR(__xludf.DUMMYFUNCTION("""COMPUTED_VALUE"""),"2022-07-04T15:51:46.029Z")</f>
        <v>2022-07-04T15:51:46.029Z</v>
      </c>
      <c r="K2593" s="1"/>
    </row>
    <row r="2594">
      <c r="A2594" s="2" t="str">
        <f>IFERROR(__xludf.DUMMYFUNCTION("""COMPUTED_VALUE"""),"https://www.facebook.com/louie.m.quidlat")</f>
        <v>https://www.facebook.com/louie.m.quidlat</v>
      </c>
      <c r="B2594" s="1" t="str">
        <f>IFERROR(__xludf.DUMMYFUNCTION("""COMPUTED_VALUE"""),"Louie Mercaral Quidlat")</f>
        <v>Louie Mercaral Quidlat</v>
      </c>
      <c r="C2594" s="1" t="str">
        <f>IFERROR(__xludf.DUMMYFUNCTION("""COMPUTED_VALUE"""),"Louie")</f>
        <v>Louie</v>
      </c>
      <c r="D2594" s="1" t="str">
        <f>IFERROR(__xludf.DUMMYFUNCTION("""COMPUTED_VALUE"""),"Mercaral Quidlat")</f>
        <v>Mercaral Quidlat</v>
      </c>
      <c r="E2594" s="1" t="str">
        <f>IFERROR(__xludf.DUMMYFUNCTION("""COMPUTED_VALUE"""),"Russel Navarro Aray 🤣🤣🤣")</f>
        <v>Russel Navarro Aray 🤣🤣🤣</v>
      </c>
      <c r="F2594" s="1">
        <f>IFERROR(__xludf.DUMMYFUNCTION("""COMPUTED_VALUE"""),1.0)</f>
        <v>1</v>
      </c>
      <c r="G2594" s="1" t="str">
        <f>IFERROR(__xludf.DUMMYFUNCTION("""COMPUTED_VALUE"""),"3 mos")</f>
        <v>3 mos</v>
      </c>
      <c r="H2594" s="1" t="str">
        <f>IFERROR(__xludf.DUMMYFUNCTION("""COMPUTED_VALUE"""),"reply")</f>
        <v>reply</v>
      </c>
      <c r="I2594" s="2" t="str">
        <f>IFERROR(__xludf.DUMMYFUNCTION("""COMPUTED_VALUE"""),"https://www.facebook.com/rapplerdotcom/photos/a.317154781638645/5594264657260938/")</f>
        <v>https://www.facebook.com/rapplerdotcom/photos/a.317154781638645/5594264657260938/</v>
      </c>
      <c r="J2594" s="1" t="str">
        <f>IFERROR(__xludf.DUMMYFUNCTION("""COMPUTED_VALUE"""),"2022-07-04T15:51:46.029Z")</f>
        <v>2022-07-04T15:51:46.029Z</v>
      </c>
      <c r="K2594" s="1"/>
    </row>
    <row r="2595">
      <c r="A2595" s="2" t="str">
        <f>IFERROR(__xludf.DUMMYFUNCTION("""COMPUTED_VALUE"""),"https://www.facebook.com/lilian.sunglao")</f>
        <v>https://www.facebook.com/lilian.sunglao</v>
      </c>
      <c r="B2595" s="1" t="str">
        <f>IFERROR(__xludf.DUMMYFUNCTION("""COMPUTED_VALUE"""),"Lilian Sunglao")</f>
        <v>Lilian Sunglao</v>
      </c>
      <c r="C2595" s="1" t="str">
        <f>IFERROR(__xludf.DUMMYFUNCTION("""COMPUTED_VALUE"""),"Lilian")</f>
        <v>Lilian</v>
      </c>
      <c r="D2595" s="1" t="str">
        <f>IFERROR(__xludf.DUMMYFUNCTION("""COMPUTED_VALUE"""),"Sunglao")</f>
        <v>Sunglao</v>
      </c>
      <c r="E2595" s="1" t="str">
        <f>IFERROR(__xludf.DUMMYFUNCTION("""COMPUTED_VALUE"""),"Russel Navarro pinatunayan lng na unithievs kayo")</f>
        <v>Russel Navarro pinatunayan lng na unithievs kayo</v>
      </c>
      <c r="F2595" s="1">
        <f>IFERROR(__xludf.DUMMYFUNCTION("""COMPUTED_VALUE"""),3.0)</f>
        <v>3</v>
      </c>
      <c r="G2595" s="1" t="str">
        <f>IFERROR(__xludf.DUMMYFUNCTION("""COMPUTED_VALUE"""),"3 mos")</f>
        <v>3 mos</v>
      </c>
      <c r="H2595" s="1" t="str">
        <f>IFERROR(__xludf.DUMMYFUNCTION("""COMPUTED_VALUE"""),"reply")</f>
        <v>reply</v>
      </c>
      <c r="I2595" s="2" t="str">
        <f>IFERROR(__xludf.DUMMYFUNCTION("""COMPUTED_VALUE"""),"https://www.facebook.com/rapplerdotcom/photos/a.317154781638645/5594264657260938/")</f>
        <v>https://www.facebook.com/rapplerdotcom/photos/a.317154781638645/5594264657260938/</v>
      </c>
      <c r="J2595" s="1" t="str">
        <f>IFERROR(__xludf.DUMMYFUNCTION("""COMPUTED_VALUE"""),"2022-07-04T15:51:46.029Z")</f>
        <v>2022-07-04T15:51:46.029Z</v>
      </c>
      <c r="K2595" s="1"/>
    </row>
    <row r="2596">
      <c r="A2596" s="2" t="str">
        <f>IFERROR(__xludf.DUMMYFUNCTION("""COMPUTED_VALUE"""),"https://www.facebook.com/eugine.flores.5")</f>
        <v>https://www.facebook.com/eugine.flores.5</v>
      </c>
      <c r="B2596" s="1" t="str">
        <f>IFERROR(__xludf.DUMMYFUNCTION("""COMPUTED_VALUE"""),"Bigo Sa Pag Ibig")</f>
        <v>Bigo Sa Pag Ibig</v>
      </c>
      <c r="C2596" s="1" t="str">
        <f>IFERROR(__xludf.DUMMYFUNCTION("""COMPUTED_VALUE"""),"Bigo")</f>
        <v>Bigo</v>
      </c>
      <c r="D2596" s="1" t="str">
        <f>IFERROR(__xludf.DUMMYFUNCTION("""COMPUTED_VALUE"""),"Sa Pag Ibig")</f>
        <v>Sa Pag Ibig</v>
      </c>
      <c r="E2596" s="1" t="str">
        <f>IFERROR(__xludf.DUMMYFUNCTION("""COMPUTED_VALUE"""),"Doon tyo sa mkabago...gising na kyo sa ktotohanan DUTERTE administration kawawa tyong mga mahihrap...laging may patayan khit wlang ka laban2x ang tao kya bkit pa tyo bablik sa gnun systema")</f>
        <v>Doon tyo sa mkabago...gising na kyo sa ktotohanan DUTERTE administration kawawa tyong mga mahihrap...laging may patayan khit wlang ka laban2x ang tao kya bkit pa tyo bablik sa gnun systema</v>
      </c>
      <c r="F2596" s="1">
        <f>IFERROR(__xludf.DUMMYFUNCTION("""COMPUTED_VALUE"""),7.0)</f>
        <v>7</v>
      </c>
      <c r="G2596" s="1" t="str">
        <f>IFERROR(__xludf.DUMMYFUNCTION("""COMPUTED_VALUE"""),"3 mos")</f>
        <v>3 mos</v>
      </c>
      <c r="H2596" s="1" t="str">
        <f>IFERROR(__xludf.DUMMYFUNCTION("""COMPUTED_VALUE"""),"comment")</f>
        <v>comment</v>
      </c>
      <c r="I2596" s="2" t="str">
        <f>IFERROR(__xludf.DUMMYFUNCTION("""COMPUTED_VALUE"""),"https://www.facebook.com/rapplerdotcom/photos/a.317154781638645/5594264657260938/")</f>
        <v>https://www.facebook.com/rapplerdotcom/photos/a.317154781638645/5594264657260938/</v>
      </c>
      <c r="J2596" s="1" t="str">
        <f>IFERROR(__xludf.DUMMYFUNCTION("""COMPUTED_VALUE"""),"2022-07-04T15:51:46.029Z")</f>
        <v>2022-07-04T15:51:46.029Z</v>
      </c>
      <c r="K2596" s="1"/>
    </row>
    <row r="2597">
      <c r="A2597" s="2" t="str">
        <f>IFERROR(__xludf.DUMMYFUNCTION("""COMPUTED_VALUE"""),"https://www.facebook.com/reniel.carandang.56")</f>
        <v>https://www.facebook.com/reniel.carandang.56</v>
      </c>
      <c r="B2597" s="1" t="str">
        <f>IFERROR(__xludf.DUMMYFUNCTION("""COMPUTED_VALUE"""),"Renato Carandang")</f>
        <v>Renato Carandang</v>
      </c>
      <c r="C2597" s="1" t="str">
        <f>IFERROR(__xludf.DUMMYFUNCTION("""COMPUTED_VALUE"""),"Renato")</f>
        <v>Renato</v>
      </c>
      <c r="D2597" s="1" t="str">
        <f>IFERROR(__xludf.DUMMYFUNCTION("""COMPUTED_VALUE"""),"Carandang")</f>
        <v>Carandang</v>
      </c>
      <c r="E2597" s="1" t="str">
        <f>IFERROR(__xludf.DUMMYFUNCTION("""COMPUTED_VALUE"""),"Bigo Sa Pag Ibig gumising ka katotohan  wlang bansa ang wlang nagpapatayan dito sa mundo laging magulo at may patayan wlang kapayapan")</f>
        <v>Bigo Sa Pag Ibig gumising ka katotohan  wlang bansa ang wlang nagpapatayan dito sa mundo laging magulo at may patayan wlang kapayapan</v>
      </c>
      <c r="F2597" s="1"/>
      <c r="G2597" s="1" t="str">
        <f>IFERROR(__xludf.DUMMYFUNCTION("""COMPUTED_VALUE"""),"3 mos")</f>
        <v>3 mos</v>
      </c>
      <c r="H2597" s="1" t="str">
        <f>IFERROR(__xludf.DUMMYFUNCTION("""COMPUTED_VALUE"""),"reply")</f>
        <v>reply</v>
      </c>
      <c r="I2597" s="2" t="str">
        <f>IFERROR(__xludf.DUMMYFUNCTION("""COMPUTED_VALUE"""),"https://www.facebook.com/rapplerdotcom/photos/a.317154781638645/5594264657260938/")</f>
        <v>https://www.facebook.com/rapplerdotcom/photos/a.317154781638645/5594264657260938/</v>
      </c>
      <c r="J2597" s="1" t="str">
        <f>IFERROR(__xludf.DUMMYFUNCTION("""COMPUTED_VALUE"""),"2022-07-04T15:51:46.029Z")</f>
        <v>2022-07-04T15:51:46.029Z</v>
      </c>
      <c r="K2597" s="1"/>
    </row>
    <row r="2598">
      <c r="A2598" s="2" t="str">
        <f>IFERROR(__xludf.DUMMYFUNCTION("""COMPUTED_VALUE"""),"https://www.facebook.com/gemrose.rescobactol")</f>
        <v>https://www.facebook.com/gemrose.rescobactol</v>
      </c>
      <c r="B2598" s="1" t="str">
        <f>IFERROR(__xludf.DUMMYFUNCTION("""COMPUTED_VALUE"""),"Gemrose Resco Bactol")</f>
        <v>Gemrose Resco Bactol</v>
      </c>
      <c r="C2598" s="1" t="str">
        <f>IFERROR(__xludf.DUMMYFUNCTION("""COMPUTED_VALUE"""),"Gemrose")</f>
        <v>Gemrose</v>
      </c>
      <c r="D2598" s="1" t="str">
        <f>IFERROR(__xludf.DUMMYFUNCTION("""COMPUTED_VALUE"""),"Resco Bactol")</f>
        <v>Resco Bactol</v>
      </c>
      <c r="E2598" s="1" t="str">
        <f>IFERROR(__xludf.DUMMYFUNCTION("""COMPUTED_VALUE"""),"Bigo Sa Pag Ibig kawawa ka naman kung ganyan ka Magisip")</f>
        <v>Bigo Sa Pag Ibig kawawa ka naman kung ganyan ka Magisip</v>
      </c>
      <c r="F2598" s="1"/>
      <c r="G2598" s="1" t="str">
        <f>IFERROR(__xludf.DUMMYFUNCTION("""COMPUTED_VALUE"""),"3 mos")</f>
        <v>3 mos</v>
      </c>
      <c r="H2598" s="1" t="str">
        <f>IFERROR(__xludf.DUMMYFUNCTION("""COMPUTED_VALUE"""),"reply")</f>
        <v>reply</v>
      </c>
      <c r="I2598" s="2" t="str">
        <f>IFERROR(__xludf.DUMMYFUNCTION("""COMPUTED_VALUE"""),"https://www.facebook.com/rapplerdotcom/photos/a.317154781638645/5594264657260938/")</f>
        <v>https://www.facebook.com/rapplerdotcom/photos/a.317154781638645/5594264657260938/</v>
      </c>
      <c r="J2598" s="1" t="str">
        <f>IFERROR(__xludf.DUMMYFUNCTION("""COMPUTED_VALUE"""),"2022-07-04T15:51:46.029Z")</f>
        <v>2022-07-04T15:51:46.029Z</v>
      </c>
      <c r="K2598" s="1"/>
    </row>
    <row r="2599">
      <c r="A2599" s="2" t="str">
        <f>IFERROR(__xludf.DUMMYFUNCTION("""COMPUTED_VALUE"""),"https://www.facebook.com/ebucayan")</f>
        <v>https://www.facebook.com/ebucayan</v>
      </c>
      <c r="B2599" s="1" t="str">
        <f>IFERROR(__xludf.DUMMYFUNCTION("""COMPUTED_VALUE"""),"Elvie Bucayan")</f>
        <v>Elvie Bucayan</v>
      </c>
      <c r="C2599" s="1" t="str">
        <f>IFERROR(__xludf.DUMMYFUNCTION("""COMPUTED_VALUE"""),"Elvie")</f>
        <v>Elvie</v>
      </c>
      <c r="D2599" s="1" t="str">
        <f>IFERROR(__xludf.DUMMYFUNCTION("""COMPUTED_VALUE"""),"Bucayan")</f>
        <v>Bucayan</v>
      </c>
      <c r="E2599" s="1" t="str">
        <f>IFERROR(__xludf.DUMMYFUNCTION("""COMPUTED_VALUE"""),"Punta ka sa sky doon walang patay … Hahaha or sa ibang planeta doon walang nakatira kaya walang patayan bugak ..")</f>
        <v>Punta ka sa sky doon walang patay … Hahaha or sa ibang planeta doon walang nakatira kaya walang patayan bugak ..</v>
      </c>
      <c r="F2599" s="1"/>
      <c r="G2599" s="1" t="str">
        <f>IFERROR(__xludf.DUMMYFUNCTION("""COMPUTED_VALUE"""),"3 mos")</f>
        <v>3 mos</v>
      </c>
      <c r="H2599" s="1" t="str">
        <f>IFERROR(__xludf.DUMMYFUNCTION("""COMPUTED_VALUE"""),"reply")</f>
        <v>reply</v>
      </c>
      <c r="I2599" s="2" t="str">
        <f>IFERROR(__xludf.DUMMYFUNCTION("""COMPUTED_VALUE"""),"https://www.facebook.com/rapplerdotcom/photos/a.317154781638645/5594264657260938/")</f>
        <v>https://www.facebook.com/rapplerdotcom/photos/a.317154781638645/5594264657260938/</v>
      </c>
      <c r="J2599" s="1" t="str">
        <f>IFERROR(__xludf.DUMMYFUNCTION("""COMPUTED_VALUE"""),"2022-07-04T15:51:46.029Z")</f>
        <v>2022-07-04T15:51:46.029Z</v>
      </c>
      <c r="K2599" s="1"/>
    </row>
    <row r="2600">
      <c r="A2600" s="2" t="str">
        <f>IFERROR(__xludf.DUMMYFUNCTION("""COMPUTED_VALUE"""),"https://www.facebook.com/liza.smmercado")</f>
        <v>https://www.facebook.com/liza.smmercado</v>
      </c>
      <c r="B2600" s="1" t="str">
        <f>IFERROR(__xludf.DUMMYFUNCTION("""COMPUTED_VALUE"""),"ディリザ フロルディリザ")</f>
        <v>ディリザ フロルディリザ</v>
      </c>
      <c r="C2600" s="1" t="str">
        <f>IFERROR(__xludf.DUMMYFUNCTION("""COMPUTED_VALUE"""),"ディリザ")</f>
        <v>ディリザ</v>
      </c>
      <c r="D2600" s="1" t="str">
        <f>IFERROR(__xludf.DUMMYFUNCTION("""COMPUTED_VALUE"""),"フロルディリザ")</f>
        <v>フロルディリザ</v>
      </c>
      <c r="E2600" s="1" t="str">
        <f>IFERROR(__xludf.DUMMYFUNCTION("""COMPUTED_VALUE"""),"Wala ng ttoo sa kanila kampanya nila lahat pammeke!😅😅😅")</f>
        <v>Wala ng ttoo sa kanila kampanya nila lahat pammeke!😅😅😅</v>
      </c>
      <c r="F2600" s="1"/>
      <c r="G2600" s="1" t="str">
        <f>IFERROR(__xludf.DUMMYFUNCTION("""COMPUTED_VALUE"""),"3 mos")</f>
        <v>3 mos</v>
      </c>
      <c r="H2600" s="1" t="str">
        <f>IFERROR(__xludf.DUMMYFUNCTION("""COMPUTED_VALUE"""),"comment")</f>
        <v>comment</v>
      </c>
      <c r="I2600" s="2" t="str">
        <f>IFERROR(__xludf.DUMMYFUNCTION("""COMPUTED_VALUE"""),"https://www.facebook.com/rapplerdotcom/photos/a.317154781638645/5594264657260938/")</f>
        <v>https://www.facebook.com/rapplerdotcom/photos/a.317154781638645/5594264657260938/</v>
      </c>
      <c r="J2600" s="1" t="str">
        <f>IFERROR(__xludf.DUMMYFUNCTION("""COMPUTED_VALUE"""),"2022-07-04T15:51:46.029Z")</f>
        <v>2022-07-04T15:51:46.029Z</v>
      </c>
      <c r="K2600" s="1"/>
    </row>
    <row r="2601">
      <c r="A2601" s="2" t="str">
        <f>IFERROR(__xludf.DUMMYFUNCTION("""COMPUTED_VALUE"""),"https://www.facebook.com/profile.php?id=100075263366177")</f>
        <v>https://www.facebook.com/profile.php?id=100075263366177</v>
      </c>
      <c r="B2601" s="1" t="str">
        <f>IFERROR(__xludf.DUMMYFUNCTION("""COMPUTED_VALUE"""),"Ebeth Quinto")</f>
        <v>Ebeth Quinto</v>
      </c>
      <c r="C2601" s="1" t="str">
        <f>IFERROR(__xludf.DUMMYFUNCTION("""COMPUTED_VALUE"""),"Ebeth")</f>
        <v>Ebeth</v>
      </c>
      <c r="D2601" s="1" t="str">
        <f>IFERROR(__xludf.DUMMYFUNCTION("""COMPUTED_VALUE"""),"Quinto")</f>
        <v>Quinto</v>
      </c>
      <c r="E2601" s="1" t="str">
        <f>IFERROR(__xludf.DUMMYFUNCTION("""COMPUTED_VALUE"""),"Mahirap magkaroon ng pekeng Presidente ang Gawain.")</f>
        <v>Mahirap magkaroon ng pekeng Presidente ang Gawain.</v>
      </c>
      <c r="F2601" s="1">
        <f>IFERROR(__xludf.DUMMYFUNCTION("""COMPUTED_VALUE"""),4.0)</f>
        <v>4</v>
      </c>
      <c r="G2601" s="1" t="str">
        <f>IFERROR(__xludf.DUMMYFUNCTION("""COMPUTED_VALUE"""),"3 mos")</f>
        <v>3 mos</v>
      </c>
      <c r="H2601" s="1" t="str">
        <f>IFERROR(__xludf.DUMMYFUNCTION("""COMPUTED_VALUE"""),"comment")</f>
        <v>comment</v>
      </c>
      <c r="I2601" s="2" t="str">
        <f>IFERROR(__xludf.DUMMYFUNCTION("""COMPUTED_VALUE"""),"https://www.facebook.com/rapplerdotcom/photos/a.317154781638645/5594264657260938/")</f>
        <v>https://www.facebook.com/rapplerdotcom/photos/a.317154781638645/5594264657260938/</v>
      </c>
      <c r="J2601" s="1" t="str">
        <f>IFERROR(__xludf.DUMMYFUNCTION("""COMPUTED_VALUE"""),"2022-07-04T15:51:46.029Z")</f>
        <v>2022-07-04T15:51:46.029Z</v>
      </c>
      <c r="K2601" s="1"/>
    </row>
    <row r="2602">
      <c r="A2602" s="2" t="str">
        <f>IFERROR(__xludf.DUMMYFUNCTION("""COMPUTED_VALUE"""),"https://www.facebook.com/cydrex.bernabe.7")</f>
        <v>https://www.facebook.com/cydrex.bernabe.7</v>
      </c>
      <c r="B2602" s="1" t="str">
        <f>IFERROR(__xludf.DUMMYFUNCTION("""COMPUTED_VALUE"""),"Cydrex Bernabe")</f>
        <v>Cydrex Bernabe</v>
      </c>
      <c r="C2602" s="1" t="str">
        <f>IFERROR(__xludf.DUMMYFUNCTION("""COMPUTED_VALUE"""),"Cydrex")</f>
        <v>Cydrex</v>
      </c>
      <c r="D2602" s="1" t="str">
        <f>IFERROR(__xludf.DUMMYFUNCTION("""COMPUTED_VALUE"""),"Bernabe")</f>
        <v>Bernabe</v>
      </c>
      <c r="E2602" s="1" t="str">
        <f>IFERROR(__xludf.DUMMYFUNCTION("""COMPUTED_VALUE"""),"Ebeth Quinto dahil simula nong naging VP palang peke na")</f>
        <v>Ebeth Quinto dahil simula nong naging VP palang peke na</v>
      </c>
      <c r="F2602" s="1">
        <f>IFERROR(__xludf.DUMMYFUNCTION("""COMPUTED_VALUE"""),3.0)</f>
        <v>3</v>
      </c>
      <c r="G2602" s="1" t="str">
        <f>IFERROR(__xludf.DUMMYFUNCTION("""COMPUTED_VALUE"""),"3 mos")</f>
        <v>3 mos</v>
      </c>
      <c r="H2602" s="1" t="str">
        <f>IFERROR(__xludf.DUMMYFUNCTION("""COMPUTED_VALUE"""),"reply")</f>
        <v>reply</v>
      </c>
      <c r="I2602" s="2" t="str">
        <f>IFERROR(__xludf.DUMMYFUNCTION("""COMPUTED_VALUE"""),"https://www.facebook.com/rapplerdotcom/photos/a.317154781638645/5594264657260938/")</f>
        <v>https://www.facebook.com/rapplerdotcom/photos/a.317154781638645/5594264657260938/</v>
      </c>
      <c r="J2602" s="1" t="str">
        <f>IFERROR(__xludf.DUMMYFUNCTION("""COMPUTED_VALUE"""),"2022-07-04T15:51:46.029Z")</f>
        <v>2022-07-04T15:51:46.029Z</v>
      </c>
      <c r="K2602" s="1"/>
    </row>
    <row r="2603">
      <c r="A2603" s="2" t="str">
        <f>IFERROR(__xludf.DUMMYFUNCTION("""COMPUTED_VALUE"""),"https://www.facebook.com/dhailyn.serrano")</f>
        <v>https://www.facebook.com/dhailyn.serrano</v>
      </c>
      <c r="B2603" s="1" t="str">
        <f>IFERROR(__xludf.DUMMYFUNCTION("""COMPUTED_VALUE"""),"Lyn Serrano")</f>
        <v>Lyn Serrano</v>
      </c>
      <c r="C2603" s="1" t="str">
        <f>IFERROR(__xludf.DUMMYFUNCTION("""COMPUTED_VALUE"""),"Lyn")</f>
        <v>Lyn</v>
      </c>
      <c r="D2603" s="1" t="str">
        <f>IFERROR(__xludf.DUMMYFUNCTION("""COMPUTED_VALUE"""),"Serrano")</f>
        <v>Serrano</v>
      </c>
      <c r="E2603" s="1" t="str">
        <f>IFERROR(__xludf.DUMMYFUNCTION("""COMPUTED_VALUE"""),"Cydrex Bernabe true")</f>
        <v>Cydrex Bernabe true</v>
      </c>
      <c r="F2603" s="1">
        <f>IFERROR(__xludf.DUMMYFUNCTION("""COMPUTED_VALUE"""),1.0)</f>
        <v>1</v>
      </c>
      <c r="G2603" s="1" t="str">
        <f>IFERROR(__xludf.DUMMYFUNCTION("""COMPUTED_VALUE"""),"3 mos")</f>
        <v>3 mos</v>
      </c>
      <c r="H2603" s="1" t="str">
        <f>IFERROR(__xludf.DUMMYFUNCTION("""COMPUTED_VALUE"""),"reply")</f>
        <v>reply</v>
      </c>
      <c r="I2603" s="2" t="str">
        <f>IFERROR(__xludf.DUMMYFUNCTION("""COMPUTED_VALUE"""),"https://www.facebook.com/rapplerdotcom/photos/a.317154781638645/5594264657260938/")</f>
        <v>https://www.facebook.com/rapplerdotcom/photos/a.317154781638645/5594264657260938/</v>
      </c>
      <c r="J2603" s="1" t="str">
        <f>IFERROR(__xludf.DUMMYFUNCTION("""COMPUTED_VALUE"""),"2022-07-04T15:51:46.029Z")</f>
        <v>2022-07-04T15:51:46.029Z</v>
      </c>
      <c r="K2603" s="1"/>
    </row>
    <row r="2604">
      <c r="A2604" s="2" t="str">
        <f>IFERROR(__xludf.DUMMYFUNCTION("""COMPUTED_VALUE"""),"https://www.facebook.com/profile.php?id=100057086594248")</f>
        <v>https://www.facebook.com/profile.php?id=100057086594248</v>
      </c>
      <c r="B2604" s="1" t="str">
        <f>IFERROR(__xludf.DUMMYFUNCTION("""COMPUTED_VALUE"""),"Jay Riofrio Alvarez")</f>
        <v>Jay Riofrio Alvarez</v>
      </c>
      <c r="C2604" s="1" t="str">
        <f>IFERROR(__xludf.DUMMYFUNCTION("""COMPUTED_VALUE"""),"Jay")</f>
        <v>Jay</v>
      </c>
      <c r="D2604" s="1" t="str">
        <f>IFERROR(__xludf.DUMMYFUNCTION("""COMPUTED_VALUE"""),"Riofrio Alvarez")</f>
        <v>Riofrio Alvarez</v>
      </c>
      <c r="E2604" s="1" t="str">
        <f>IFERROR(__xludf.DUMMYFUNCTION("""COMPUTED_VALUE"""),"Cydrex Bernabe burn haha")</f>
        <v>Cydrex Bernabe burn haha</v>
      </c>
      <c r="F2604" s="1"/>
      <c r="G2604" s="1" t="str">
        <f>IFERROR(__xludf.DUMMYFUNCTION("""COMPUTED_VALUE"""),"3 mos")</f>
        <v>3 mos</v>
      </c>
      <c r="H2604" s="1" t="str">
        <f>IFERROR(__xludf.DUMMYFUNCTION("""COMPUTED_VALUE"""),"reply")</f>
        <v>reply</v>
      </c>
      <c r="I2604" s="2" t="str">
        <f>IFERROR(__xludf.DUMMYFUNCTION("""COMPUTED_VALUE"""),"https://www.facebook.com/rapplerdotcom/photos/a.317154781638645/5594264657260938/")</f>
        <v>https://www.facebook.com/rapplerdotcom/photos/a.317154781638645/5594264657260938/</v>
      </c>
      <c r="J2604" s="1" t="str">
        <f>IFERROR(__xludf.DUMMYFUNCTION("""COMPUTED_VALUE"""),"2022-07-04T15:51:46.029Z")</f>
        <v>2022-07-04T15:51:46.029Z</v>
      </c>
      <c r="K2604" s="1"/>
    </row>
    <row r="2605">
      <c r="A2605" s="2" t="str">
        <f>IFERROR(__xludf.DUMMYFUNCTION("""COMPUTED_VALUE"""),"https://www.facebook.com/lorenza.ito.33")</f>
        <v>https://www.facebook.com/lorenza.ito.33</v>
      </c>
      <c r="B2605" s="1" t="str">
        <f>IFERROR(__xludf.DUMMYFUNCTION("""COMPUTED_VALUE"""),"Lorenza Ito")</f>
        <v>Lorenza Ito</v>
      </c>
      <c r="C2605" s="1" t="str">
        <f>IFERROR(__xludf.DUMMYFUNCTION("""COMPUTED_VALUE"""),"Lorenza")</f>
        <v>Lorenza</v>
      </c>
      <c r="D2605" s="1" t="str">
        <f>IFERROR(__xludf.DUMMYFUNCTION("""COMPUTED_VALUE"""),"Ito")</f>
        <v>Ito</v>
      </c>
      <c r="E2605" s="1" t="str">
        <f>IFERROR(__xludf.DUMMYFUNCTION("""COMPUTED_VALUE"""),"Suporter sya hindi sya ang sound track ng team..bagong bayan ang sound track.")</f>
        <v>Suporter sya hindi sya ang sound track ng team..bagong bayan ang sound track.</v>
      </c>
      <c r="F2605" s="1"/>
      <c r="G2605" s="1" t="str">
        <f>IFERROR(__xludf.DUMMYFUNCTION("""COMPUTED_VALUE"""),"3 mos")</f>
        <v>3 mos</v>
      </c>
      <c r="H2605" s="1" t="str">
        <f>IFERROR(__xludf.DUMMYFUNCTION("""COMPUTED_VALUE"""),"comment")</f>
        <v>comment</v>
      </c>
      <c r="I2605" s="2" t="str">
        <f>IFERROR(__xludf.DUMMYFUNCTION("""COMPUTED_VALUE"""),"https://www.facebook.com/rapplerdotcom/photos/a.317154781638645/5594264657260938/")</f>
        <v>https://www.facebook.com/rapplerdotcom/photos/a.317154781638645/5594264657260938/</v>
      </c>
      <c r="J2605" s="1" t="str">
        <f>IFERROR(__xludf.DUMMYFUNCTION("""COMPUTED_VALUE"""),"2022-07-04T15:51:46.029Z")</f>
        <v>2022-07-04T15:51:46.029Z</v>
      </c>
      <c r="K2605" s="1"/>
    </row>
    <row r="2606">
      <c r="A2606" s="2" t="str">
        <f>IFERROR(__xludf.DUMMYFUNCTION("""COMPUTED_VALUE"""),"https://www.facebook.com/vivien.griego")</f>
        <v>https://www.facebook.com/vivien.griego</v>
      </c>
      <c r="B2606" s="1" t="str">
        <f>IFERROR(__xludf.DUMMYFUNCTION("""COMPUTED_VALUE"""),"Rachel Vivien Griego")</f>
        <v>Rachel Vivien Griego</v>
      </c>
      <c r="C2606" s="1" t="str">
        <f>IFERROR(__xludf.DUMMYFUNCTION("""COMPUTED_VALUE"""),"Rachel")</f>
        <v>Rachel</v>
      </c>
      <c r="D2606" s="1" t="str">
        <f>IFERROR(__xludf.DUMMYFUNCTION("""COMPUTED_VALUE"""),"Vivien Griego")</f>
        <v>Vivien Griego</v>
      </c>
      <c r="E2606" s="1" t="str">
        <f>IFERROR(__xludf.DUMMYFUNCTION("""COMPUTED_VALUE"""),"Bakit gan’yan ang mga supporter ng UniTeam?")</f>
        <v>Bakit gan’yan ang mga supporter ng UniTeam?</v>
      </c>
      <c r="F2606" s="1">
        <f>IFERROR(__xludf.DUMMYFUNCTION("""COMPUTED_VALUE"""),3.0)</f>
        <v>3</v>
      </c>
      <c r="G2606" s="1" t="str">
        <f>IFERROR(__xludf.DUMMYFUNCTION("""COMPUTED_VALUE"""),"3 mos")</f>
        <v>3 mos</v>
      </c>
      <c r="H2606" s="1" t="str">
        <f>IFERROR(__xludf.DUMMYFUNCTION("""COMPUTED_VALUE"""),"comment")</f>
        <v>comment</v>
      </c>
      <c r="I2606" s="2" t="str">
        <f>IFERROR(__xludf.DUMMYFUNCTION("""COMPUTED_VALUE"""),"https://www.facebook.com/rapplerdotcom/photos/a.317154781638645/5594264657260938/")</f>
        <v>https://www.facebook.com/rapplerdotcom/photos/a.317154781638645/5594264657260938/</v>
      </c>
      <c r="J2606" s="1" t="str">
        <f>IFERROR(__xludf.DUMMYFUNCTION("""COMPUTED_VALUE"""),"2022-07-04T15:51:46.029Z")</f>
        <v>2022-07-04T15:51:46.029Z</v>
      </c>
      <c r="K2606" s="1"/>
    </row>
    <row r="2607">
      <c r="A2607" s="2" t="str">
        <f>IFERROR(__xludf.DUMMYFUNCTION("""COMPUTED_VALUE"""),"https://www.facebook.com/nick.codico.5")</f>
        <v>https://www.facebook.com/nick.codico.5</v>
      </c>
      <c r="B2607" s="1" t="str">
        <f>IFERROR(__xludf.DUMMYFUNCTION("""COMPUTED_VALUE"""),"Nick Codico")</f>
        <v>Nick Codico</v>
      </c>
      <c r="C2607" s="1" t="str">
        <f>IFERROR(__xludf.DUMMYFUNCTION("""COMPUTED_VALUE"""),"Nick")</f>
        <v>Nick</v>
      </c>
      <c r="D2607" s="1" t="str">
        <f>IFERROR(__xludf.DUMMYFUNCTION("""COMPUTED_VALUE"""),"Codico")</f>
        <v>Codico</v>
      </c>
      <c r="E2607" s="1" t="str">
        <f>IFERROR(__xludf.DUMMYFUNCTION("""COMPUTED_VALUE"""),"Mahigpit ang pangangailangan ni Andrew...")</f>
        <v>Mahigpit ang pangangailangan ni Andrew...</v>
      </c>
      <c r="F2607" s="1">
        <f>IFERROR(__xludf.DUMMYFUNCTION("""COMPUTED_VALUE"""),5.0)</f>
        <v>5</v>
      </c>
      <c r="G2607" s="1" t="str">
        <f>IFERROR(__xludf.DUMMYFUNCTION("""COMPUTED_VALUE"""),"3 mos")</f>
        <v>3 mos</v>
      </c>
      <c r="H2607" s="1" t="str">
        <f>IFERROR(__xludf.DUMMYFUNCTION("""COMPUTED_VALUE"""),"comment")</f>
        <v>comment</v>
      </c>
      <c r="I2607" s="2" t="str">
        <f>IFERROR(__xludf.DUMMYFUNCTION("""COMPUTED_VALUE"""),"https://www.facebook.com/rapplerdotcom/photos/a.317154781638645/5594264657260938/")</f>
        <v>https://www.facebook.com/rapplerdotcom/photos/a.317154781638645/5594264657260938/</v>
      </c>
      <c r="J2607" s="1" t="str">
        <f>IFERROR(__xludf.DUMMYFUNCTION("""COMPUTED_VALUE"""),"2022-07-04T15:51:46.029Z")</f>
        <v>2022-07-04T15:51:46.029Z</v>
      </c>
      <c r="K2607" s="1"/>
    </row>
    <row r="2608">
      <c r="A2608" s="2" t="str">
        <f>IFERROR(__xludf.DUMMYFUNCTION("""COMPUTED_VALUE"""),"https://www.facebook.com/profile.php?id=100078311490623")</f>
        <v>https://www.facebook.com/profile.php?id=100078311490623</v>
      </c>
      <c r="B2608" s="1" t="str">
        <f>IFERROR(__xludf.DUMMYFUNCTION("""COMPUTED_VALUE"""),"Graciano P Sales")</f>
        <v>Graciano P Sales</v>
      </c>
      <c r="C2608" s="1" t="str">
        <f>IFERROR(__xludf.DUMMYFUNCTION("""COMPUTED_VALUE"""),"Graciano")</f>
        <v>Graciano</v>
      </c>
      <c r="D2608" s="1" t="str">
        <f>IFERROR(__xludf.DUMMYFUNCTION("""COMPUTED_VALUE"""),"P Sales")</f>
        <v>P Sales</v>
      </c>
      <c r="E2608" s="1" t="str">
        <f>IFERROR(__xludf.DUMMYFUNCTION("""COMPUTED_VALUE"""),"Baka kilusang bagong lipunan Ang ibig sabihin")</f>
        <v>Baka kilusang bagong lipunan Ang ibig sabihin</v>
      </c>
      <c r="F2608" s="1">
        <f>IFERROR(__xludf.DUMMYFUNCTION("""COMPUTED_VALUE"""),1.0)</f>
        <v>1</v>
      </c>
      <c r="G2608" s="1" t="str">
        <f>IFERROR(__xludf.DUMMYFUNCTION("""COMPUTED_VALUE"""),"3 mos")</f>
        <v>3 mos</v>
      </c>
      <c r="H2608" s="1" t="str">
        <f>IFERROR(__xludf.DUMMYFUNCTION("""COMPUTED_VALUE"""),"comment")</f>
        <v>comment</v>
      </c>
      <c r="I2608" s="2" t="str">
        <f>IFERROR(__xludf.DUMMYFUNCTION("""COMPUTED_VALUE"""),"https://www.facebook.com/rapplerdotcom/photos/a.317154781638645/5594264657260938/")</f>
        <v>https://www.facebook.com/rapplerdotcom/photos/a.317154781638645/5594264657260938/</v>
      </c>
      <c r="J2608" s="1" t="str">
        <f>IFERROR(__xludf.DUMMYFUNCTION("""COMPUTED_VALUE"""),"2022-07-04T15:51:46.029Z")</f>
        <v>2022-07-04T15:51:46.029Z</v>
      </c>
      <c r="K2608" s="1"/>
    </row>
    <row r="2609">
      <c r="A2609" s="2" t="str">
        <f>IFERROR(__xludf.DUMMYFUNCTION("""COMPUTED_VALUE"""),"https://www.facebook.com/jenessa.dano.1")</f>
        <v>https://www.facebook.com/jenessa.dano.1</v>
      </c>
      <c r="B2609" s="1" t="str">
        <f>IFERROR(__xludf.DUMMYFUNCTION("""COMPUTED_VALUE"""),"Jenessa Daño")</f>
        <v>Jenessa Daño</v>
      </c>
      <c r="C2609" s="1" t="str">
        <f>IFERROR(__xludf.DUMMYFUNCTION("""COMPUTED_VALUE"""),"Jenessa")</f>
        <v>Jenessa</v>
      </c>
      <c r="D2609" s="1" t="str">
        <f>IFERROR(__xludf.DUMMYFUNCTION("""COMPUTED_VALUE"""),"Daño")</f>
        <v>Daño</v>
      </c>
      <c r="E2609" s="1" t="str">
        <f>IFERROR(__xludf.DUMMYFUNCTION("""COMPUTED_VALUE"""),"Ba yan pati yang kanta pag iintiresan mopa")</f>
        <v>Ba yan pati yang kanta pag iintiresan mopa</v>
      </c>
      <c r="F2609" s="1">
        <f>IFERROR(__xludf.DUMMYFUNCTION("""COMPUTED_VALUE"""),2.0)</f>
        <v>2</v>
      </c>
      <c r="G2609" s="1" t="str">
        <f>IFERROR(__xludf.DUMMYFUNCTION("""COMPUTED_VALUE"""),"3 mos")</f>
        <v>3 mos</v>
      </c>
      <c r="H2609" s="1" t="str">
        <f>IFERROR(__xludf.DUMMYFUNCTION("""COMPUTED_VALUE"""),"comment")</f>
        <v>comment</v>
      </c>
      <c r="I2609" s="2" t="str">
        <f>IFERROR(__xludf.DUMMYFUNCTION("""COMPUTED_VALUE"""),"https://www.facebook.com/rapplerdotcom/photos/a.317154781638645/5594264657260938/")</f>
        <v>https://www.facebook.com/rapplerdotcom/photos/a.317154781638645/5594264657260938/</v>
      </c>
      <c r="J2609" s="1" t="str">
        <f>IFERROR(__xludf.DUMMYFUNCTION("""COMPUTED_VALUE"""),"2022-07-04T15:51:46.029Z")</f>
        <v>2022-07-04T15:51:46.029Z</v>
      </c>
      <c r="K2609" s="1"/>
    </row>
    <row r="2610">
      <c r="A2610" s="2" t="str">
        <f>IFERROR(__xludf.DUMMYFUNCTION("""COMPUTED_VALUE"""),"https://www.facebook.com/leysillote")</f>
        <v>https://www.facebook.com/leysillote</v>
      </c>
      <c r="B2610" s="1" t="str">
        <f>IFERROR(__xludf.DUMMYFUNCTION("""COMPUTED_VALUE"""),"Ley Sillote")</f>
        <v>Ley Sillote</v>
      </c>
      <c r="C2610" s="1" t="str">
        <f>IFERROR(__xludf.DUMMYFUNCTION("""COMPUTED_VALUE"""),"Ley")</f>
        <v>Ley</v>
      </c>
      <c r="D2610" s="1" t="str">
        <f>IFERROR(__xludf.DUMMYFUNCTION("""COMPUTED_VALUE"""),"Sillote")</f>
        <v>Sillote</v>
      </c>
      <c r="E2610" s="1" t="str">
        <f>IFERROR(__xludf.DUMMYFUNCTION("""COMPUTED_VALUE"""),"Jenessa Daño FYI this is called ""FACT"" checking.")</f>
        <v>Jenessa Daño FYI this is called "FACT" checking.</v>
      </c>
      <c r="F2610" s="1">
        <f>IFERROR(__xludf.DUMMYFUNCTION("""COMPUTED_VALUE"""),2.0)</f>
        <v>2</v>
      </c>
      <c r="G2610" s="1" t="str">
        <f>IFERROR(__xludf.DUMMYFUNCTION("""COMPUTED_VALUE"""),"3 mos")</f>
        <v>3 mos</v>
      </c>
      <c r="H2610" s="1" t="str">
        <f>IFERROR(__xludf.DUMMYFUNCTION("""COMPUTED_VALUE"""),"reply")</f>
        <v>reply</v>
      </c>
      <c r="I2610" s="2" t="str">
        <f>IFERROR(__xludf.DUMMYFUNCTION("""COMPUTED_VALUE"""),"https://www.facebook.com/rapplerdotcom/photos/a.317154781638645/5594264657260938/")</f>
        <v>https://www.facebook.com/rapplerdotcom/photos/a.317154781638645/5594264657260938/</v>
      </c>
      <c r="J2610" s="1" t="str">
        <f>IFERROR(__xludf.DUMMYFUNCTION("""COMPUTED_VALUE"""),"2022-07-04T15:51:46.029Z")</f>
        <v>2022-07-04T15:51:46.029Z</v>
      </c>
      <c r="K2610" s="1"/>
    </row>
    <row r="2611">
      <c r="A2611" s="2" t="str">
        <f>IFERROR(__xludf.DUMMYFUNCTION("""COMPUTED_VALUE"""),"https://www.facebook.com/ramondexter.tuason")</f>
        <v>https://www.facebook.com/ramondexter.tuason</v>
      </c>
      <c r="B2611" s="1" t="str">
        <f>IFERROR(__xludf.DUMMYFUNCTION("""COMPUTED_VALUE"""),"Ramon Dexter Tuason")</f>
        <v>Ramon Dexter Tuason</v>
      </c>
      <c r="C2611" s="1" t="str">
        <f>IFERROR(__xludf.DUMMYFUNCTION("""COMPUTED_VALUE"""),"Ramon")</f>
        <v>Ramon</v>
      </c>
      <c r="D2611" s="1" t="str">
        <f>IFERROR(__xludf.DUMMYFUNCTION("""COMPUTED_VALUE"""),"Dexter Tuason")</f>
        <v>Dexter Tuason</v>
      </c>
      <c r="E2611" s="1" t="str">
        <f>IFERROR(__xludf.DUMMYFUNCTION("""COMPUTED_VALUE"""),"As usual kalokohan pa rin magbago na kayo mga troll ni Jr. wala na kayo pagbabago puro pangloloko ginagawa ninyo")</f>
        <v>As usual kalokohan pa rin magbago na kayo mga troll ni Jr. wala na kayo pagbabago puro pangloloko ginagawa ninyo</v>
      </c>
      <c r="F2611" s="1">
        <f>IFERROR(__xludf.DUMMYFUNCTION("""COMPUTED_VALUE"""),2.0)</f>
        <v>2</v>
      </c>
      <c r="G2611" s="1" t="str">
        <f>IFERROR(__xludf.DUMMYFUNCTION("""COMPUTED_VALUE"""),"3 mos")</f>
        <v>3 mos</v>
      </c>
      <c r="H2611" s="1" t="str">
        <f>IFERROR(__xludf.DUMMYFUNCTION("""COMPUTED_VALUE"""),"comment")</f>
        <v>comment</v>
      </c>
      <c r="I2611" s="2" t="str">
        <f>IFERROR(__xludf.DUMMYFUNCTION("""COMPUTED_VALUE"""),"https://www.facebook.com/rapplerdotcom/photos/a.317154781638645/5594264657260938/")</f>
        <v>https://www.facebook.com/rapplerdotcom/photos/a.317154781638645/5594264657260938/</v>
      </c>
      <c r="J2611" s="1" t="str">
        <f>IFERROR(__xludf.DUMMYFUNCTION("""COMPUTED_VALUE"""),"2022-07-04T15:51:46.029Z")</f>
        <v>2022-07-04T15:51:46.029Z</v>
      </c>
      <c r="K2611" s="1"/>
    </row>
    <row r="2612">
      <c r="A2612" s="2" t="str">
        <f>IFERROR(__xludf.DUMMYFUNCTION("""COMPUTED_VALUE"""),"https://www.facebook.com/emman.bantad")</f>
        <v>https://www.facebook.com/emman.bantad</v>
      </c>
      <c r="B2612" s="1" t="str">
        <f>IFERROR(__xludf.DUMMYFUNCTION("""COMPUTED_VALUE"""),"Eman Bantad")</f>
        <v>Eman Bantad</v>
      </c>
      <c r="C2612" s="1" t="str">
        <f>IFERROR(__xludf.DUMMYFUNCTION("""COMPUTED_VALUE"""),"Eman")</f>
        <v>Eman</v>
      </c>
      <c r="D2612" s="1" t="str">
        <f>IFERROR(__xludf.DUMMYFUNCTION("""COMPUTED_VALUE"""),"Bantad")</f>
        <v>Bantad</v>
      </c>
      <c r="E2612" s="1" t="str">
        <f>IFERROR(__xludf.DUMMYFUNCTION("""COMPUTED_VALUE"""),"Babaw nyo mag fact check, napaka tatanga talaga 😂😂😂")</f>
        <v>Babaw nyo mag fact check, napaka tatanga talaga 😂😂😂</v>
      </c>
      <c r="F2612" s="1"/>
      <c r="G2612" s="1" t="str">
        <f>IFERROR(__xludf.DUMMYFUNCTION("""COMPUTED_VALUE"""),"3 mos")</f>
        <v>3 mos</v>
      </c>
      <c r="H2612" s="1" t="str">
        <f>IFERROR(__xludf.DUMMYFUNCTION("""COMPUTED_VALUE"""),"comment")</f>
        <v>comment</v>
      </c>
      <c r="I2612" s="2" t="str">
        <f>IFERROR(__xludf.DUMMYFUNCTION("""COMPUTED_VALUE"""),"https://www.facebook.com/rapplerdotcom/photos/a.317154781638645/5594264657260938/")</f>
        <v>https://www.facebook.com/rapplerdotcom/photos/a.317154781638645/5594264657260938/</v>
      </c>
      <c r="J2612" s="1" t="str">
        <f>IFERROR(__xludf.DUMMYFUNCTION("""COMPUTED_VALUE"""),"2022-07-04T15:51:46.029Z")</f>
        <v>2022-07-04T15:51:46.029Z</v>
      </c>
      <c r="K2612" s="1"/>
    </row>
    <row r="2613">
      <c r="A2613" s="2" t="str">
        <f>IFERROR(__xludf.DUMMYFUNCTION("""COMPUTED_VALUE"""),"https://www.facebook.com/DBTunacao")</f>
        <v>https://www.facebook.com/DBTunacao</v>
      </c>
      <c r="B2613" s="1" t="str">
        <f>IFERROR(__xludf.DUMMYFUNCTION("""COMPUTED_VALUE"""),"DB Tunacao")</f>
        <v>DB Tunacao</v>
      </c>
      <c r="C2613" s="1" t="str">
        <f>IFERROR(__xludf.DUMMYFUNCTION("""COMPUTED_VALUE"""),"DB")</f>
        <v>DB</v>
      </c>
      <c r="D2613" s="1" t="str">
        <f>IFERROR(__xludf.DUMMYFUNCTION("""COMPUTED_VALUE"""),"Tunacao")</f>
        <v>Tunacao</v>
      </c>
      <c r="E2613" s="1" t="str">
        <f>IFERROR(__xludf.DUMMYFUNCTION("""COMPUTED_VALUE"""),"Totoo talaga money is the root of all evil.")</f>
        <v>Totoo talaga money is the root of all evil.</v>
      </c>
      <c r="F2613" s="1">
        <f>IFERROR(__xludf.DUMMYFUNCTION("""COMPUTED_VALUE"""),2.0)</f>
        <v>2</v>
      </c>
      <c r="G2613" s="1" t="str">
        <f>IFERROR(__xludf.DUMMYFUNCTION("""COMPUTED_VALUE"""),"3 mos")</f>
        <v>3 mos</v>
      </c>
      <c r="H2613" s="1" t="str">
        <f>IFERROR(__xludf.DUMMYFUNCTION("""COMPUTED_VALUE"""),"comment")</f>
        <v>comment</v>
      </c>
      <c r="I2613" s="2" t="str">
        <f>IFERROR(__xludf.DUMMYFUNCTION("""COMPUTED_VALUE"""),"https://www.facebook.com/rapplerdotcom/photos/a.317154781638645/5594264657260938/")</f>
        <v>https://www.facebook.com/rapplerdotcom/photos/a.317154781638645/5594264657260938/</v>
      </c>
      <c r="J2613" s="1" t="str">
        <f>IFERROR(__xludf.DUMMYFUNCTION("""COMPUTED_VALUE"""),"2022-07-04T15:51:46.029Z")</f>
        <v>2022-07-04T15:51:46.029Z</v>
      </c>
      <c r="K2613" s="1"/>
    </row>
    <row r="2614">
      <c r="A2614" s="2" t="str">
        <f>IFERROR(__xludf.DUMMYFUNCTION("""COMPUTED_VALUE"""),"https://www.facebook.com/estherlyn1")</f>
        <v>https://www.facebook.com/estherlyn1</v>
      </c>
      <c r="B2614" s="1" t="str">
        <f>IFERROR(__xludf.DUMMYFUNCTION("""COMPUTED_VALUE"""),"Esther Lyn Anonuevo")</f>
        <v>Esther Lyn Anonuevo</v>
      </c>
      <c r="C2614" s="1" t="str">
        <f>IFERROR(__xludf.DUMMYFUNCTION("""COMPUTED_VALUE"""),"Esther")</f>
        <v>Esther</v>
      </c>
      <c r="D2614" s="1" t="str">
        <f>IFERROR(__xludf.DUMMYFUNCTION("""COMPUTED_VALUE"""),"Lyn Anonuevo")</f>
        <v>Lyn Anonuevo</v>
      </c>
      <c r="E2614" s="1" t="str">
        <f>IFERROR(__xludf.DUMMYFUNCTION("""COMPUTED_VALUE"""),"レオンから で アンジェロウ jan sila nabubuhay sa balita. At ung gumawa ng manipuladong video don din kumikita kaya parehas lang cla.")</f>
        <v>レオンから で アンジェロウ jan sila nabubuhay sa balita. At ung gumawa ng manipuladong video don din kumikita kaya parehas lang cla.</v>
      </c>
      <c r="F2614" s="1"/>
      <c r="G2614" s="1" t="str">
        <f>IFERROR(__xludf.DUMMYFUNCTION("""COMPUTED_VALUE"""),"3 mos")</f>
        <v>3 mos</v>
      </c>
      <c r="H2614" s="1" t="str">
        <f>IFERROR(__xludf.DUMMYFUNCTION("""COMPUTED_VALUE"""),"comment")</f>
        <v>comment</v>
      </c>
      <c r="I2614" s="2" t="str">
        <f>IFERROR(__xludf.DUMMYFUNCTION("""COMPUTED_VALUE"""),"https://www.facebook.com/rapplerdotcom/photos/a.317154781638645/5594264657260938/")</f>
        <v>https://www.facebook.com/rapplerdotcom/photos/a.317154781638645/5594264657260938/</v>
      </c>
      <c r="J2614" s="1" t="str">
        <f>IFERROR(__xludf.DUMMYFUNCTION("""COMPUTED_VALUE"""),"2022-07-04T15:51:46.029Z")</f>
        <v>2022-07-04T15:51:46.029Z</v>
      </c>
      <c r="K2614" s="1"/>
    </row>
    <row r="2615">
      <c r="A2615" s="2" t="str">
        <f>IFERROR(__xludf.DUMMYFUNCTION("""COMPUTED_VALUE"""),"https://www.facebook.com/markela.kamama")</f>
        <v>https://www.facebook.com/markela.kamama</v>
      </c>
      <c r="B2615" s="1" t="str">
        <f>IFERROR(__xludf.DUMMYFUNCTION("""COMPUTED_VALUE"""),"MarkEla Kamama")</f>
        <v>MarkEla Kamama</v>
      </c>
      <c r="C2615" s="1" t="str">
        <f>IFERROR(__xludf.DUMMYFUNCTION("""COMPUTED_VALUE"""),"MarkEla")</f>
        <v>MarkEla</v>
      </c>
      <c r="D2615" s="1" t="str">
        <f>IFERROR(__xludf.DUMMYFUNCTION("""COMPUTED_VALUE"""),"Kamama")</f>
        <v>Kamama</v>
      </c>
      <c r="E2615" s="1" t="str">
        <f>IFERROR(__xludf.DUMMYFUNCTION("""COMPUTED_VALUE"""),",nkakasawa n s 2wing mlapit ag halalan sasabihin""bagong Pilipinas,Bangon Pilipinas.ahahaha")</f>
        <v>,nkakasawa n s 2wing mlapit ag halalan sasabihin"bagong Pilipinas,Bangon Pilipinas.ahahaha</v>
      </c>
      <c r="F2615" s="1"/>
      <c r="G2615" s="1" t="str">
        <f>IFERROR(__xludf.DUMMYFUNCTION("""COMPUTED_VALUE"""),"3 mos")</f>
        <v>3 mos</v>
      </c>
      <c r="H2615" s="1" t="str">
        <f>IFERROR(__xludf.DUMMYFUNCTION("""COMPUTED_VALUE"""),"comment")</f>
        <v>comment</v>
      </c>
      <c r="I2615" s="2" t="str">
        <f>IFERROR(__xludf.DUMMYFUNCTION("""COMPUTED_VALUE"""),"https://www.facebook.com/rapplerdotcom/photos/a.317154781638645/5594264657260938/")</f>
        <v>https://www.facebook.com/rapplerdotcom/photos/a.317154781638645/5594264657260938/</v>
      </c>
      <c r="J2615" s="1" t="str">
        <f>IFERROR(__xludf.DUMMYFUNCTION("""COMPUTED_VALUE"""),"2022-07-04T15:51:46.029Z")</f>
        <v>2022-07-04T15:51:46.029Z</v>
      </c>
      <c r="K2615" s="1"/>
    </row>
    <row r="2616">
      <c r="A2616" s="2" t="str">
        <f>IFERROR(__xludf.DUMMYFUNCTION("""COMPUTED_VALUE"""),"https://www.facebook.com/layf.lacatango.3")</f>
        <v>https://www.facebook.com/layf.lacatango.3</v>
      </c>
      <c r="B2616" s="1" t="str">
        <f>IFERROR(__xludf.DUMMYFUNCTION("""COMPUTED_VALUE"""),"Lacky Tango")</f>
        <v>Lacky Tango</v>
      </c>
      <c r="C2616" s="1" t="str">
        <f>IFERROR(__xludf.DUMMYFUNCTION("""COMPUTED_VALUE"""),"Lacky")</f>
        <v>Lacky</v>
      </c>
      <c r="D2616" s="1" t="str">
        <f>IFERROR(__xludf.DUMMYFUNCTION("""COMPUTED_VALUE"""),"Tango")</f>
        <v>Tango</v>
      </c>
      <c r="E2616" s="1" t="str">
        <f>IFERROR(__xludf.DUMMYFUNCTION("""COMPUTED_VALUE"""),"Disperado n ang mga tanso kht bts tinatahe ung vedio")</f>
        <v>Disperado n ang mga tanso kht bts tinatahe ung vedio</v>
      </c>
      <c r="F2616" s="1"/>
      <c r="G2616" s="1" t="str">
        <f>IFERROR(__xludf.DUMMYFUNCTION("""COMPUTED_VALUE"""),"3 mos")</f>
        <v>3 mos</v>
      </c>
      <c r="H2616" s="1" t="str">
        <f>IFERROR(__xludf.DUMMYFUNCTION("""COMPUTED_VALUE"""),"comment")</f>
        <v>comment</v>
      </c>
      <c r="I2616" s="2" t="str">
        <f>IFERROR(__xludf.DUMMYFUNCTION("""COMPUTED_VALUE"""),"https://www.facebook.com/rapplerdotcom/photos/a.317154781638645/5594264657260938/")</f>
        <v>https://www.facebook.com/rapplerdotcom/photos/a.317154781638645/5594264657260938/</v>
      </c>
      <c r="J2616" s="1" t="str">
        <f>IFERROR(__xludf.DUMMYFUNCTION("""COMPUTED_VALUE"""),"2022-07-04T15:51:46.029Z")</f>
        <v>2022-07-04T15:51:46.029Z</v>
      </c>
      <c r="K2616" s="1"/>
    </row>
    <row r="2617">
      <c r="A2617" s="2" t="str">
        <f>IFERROR(__xludf.DUMMYFUNCTION("""COMPUTED_VALUE"""),"https://www.facebook.com/jon.eleria")</f>
        <v>https://www.facebook.com/jon.eleria</v>
      </c>
      <c r="B2617" s="1" t="str">
        <f>IFERROR(__xludf.DUMMYFUNCTION("""COMPUTED_VALUE"""),"Jon-perry Eleria")</f>
        <v>Jon-perry Eleria</v>
      </c>
      <c r="C2617" s="1" t="str">
        <f>IFERROR(__xludf.DUMMYFUNCTION("""COMPUTED_VALUE"""),"Jon-perry")</f>
        <v>Jon-perry</v>
      </c>
      <c r="D2617" s="1" t="str">
        <f>IFERROR(__xludf.DUMMYFUNCTION("""COMPUTED_VALUE"""),"Eleria")</f>
        <v>Eleria</v>
      </c>
      <c r="E2617" s="1" t="str">
        <f>IFERROR(__xludf.DUMMYFUNCTION("""COMPUTED_VALUE"""),"Haha.. pati ba naman BTS? walang patawad..")</f>
        <v>Haha.. pati ba naman BTS? walang patawad..</v>
      </c>
      <c r="F2617" s="1"/>
      <c r="G2617" s="1" t="str">
        <f>IFERROR(__xludf.DUMMYFUNCTION("""COMPUTED_VALUE"""),"3 mos")</f>
        <v>3 mos</v>
      </c>
      <c r="H2617" s="1" t="str">
        <f>IFERROR(__xludf.DUMMYFUNCTION("""COMPUTED_VALUE"""),"comment")</f>
        <v>comment</v>
      </c>
      <c r="I2617" s="2" t="str">
        <f>IFERROR(__xludf.DUMMYFUNCTION("""COMPUTED_VALUE"""),"https://www.facebook.com/rapplerdotcom/photos/a.317154781638645/5594264657260938/")</f>
        <v>https://www.facebook.com/rapplerdotcom/photos/a.317154781638645/5594264657260938/</v>
      </c>
      <c r="J2617" s="1" t="str">
        <f>IFERROR(__xludf.DUMMYFUNCTION("""COMPUTED_VALUE"""),"2022-07-04T15:51:46.029Z")</f>
        <v>2022-07-04T15:51:46.029Z</v>
      </c>
      <c r="K2617" s="1"/>
    </row>
    <row r="2618">
      <c r="A2618" s="2" t="str">
        <f>IFERROR(__xludf.DUMMYFUNCTION("""COMPUTED_VALUE"""),"https://www.facebook.com/toto.sanpedro")</f>
        <v>https://www.facebook.com/toto.sanpedro</v>
      </c>
      <c r="B2618" s="1" t="str">
        <f>IFERROR(__xludf.DUMMYFUNCTION("""COMPUTED_VALUE"""),"Toto San Pedro")</f>
        <v>Toto San Pedro</v>
      </c>
      <c r="C2618" s="1" t="str">
        <f>IFERROR(__xludf.DUMMYFUNCTION("""COMPUTED_VALUE"""),"Toto")</f>
        <v>Toto</v>
      </c>
      <c r="D2618" s="1" t="str">
        <f>IFERROR(__xludf.DUMMYFUNCTION("""COMPUTED_VALUE"""),"San Pedro")</f>
        <v>San Pedro</v>
      </c>
      <c r="E2618" s="1" t="str">
        <f>IFERROR(__xludf.DUMMYFUNCTION("""COMPUTED_VALUE"""),"Lahat na lang Daya😂")</f>
        <v>Lahat na lang Daya😂</v>
      </c>
      <c r="F2618" s="1"/>
      <c r="G2618" s="1" t="str">
        <f>IFERROR(__xludf.DUMMYFUNCTION("""COMPUTED_VALUE"""),"3 mos")</f>
        <v>3 mos</v>
      </c>
      <c r="H2618" s="1" t="str">
        <f>IFERROR(__xludf.DUMMYFUNCTION("""COMPUTED_VALUE"""),"comment")</f>
        <v>comment</v>
      </c>
      <c r="I2618" s="2" t="str">
        <f>IFERROR(__xludf.DUMMYFUNCTION("""COMPUTED_VALUE"""),"https://www.facebook.com/rapplerdotcom/photos/a.317154781638645/5594264657260938/")</f>
        <v>https://www.facebook.com/rapplerdotcom/photos/a.317154781638645/5594264657260938/</v>
      </c>
      <c r="J2618" s="1" t="str">
        <f>IFERROR(__xludf.DUMMYFUNCTION("""COMPUTED_VALUE"""),"2022-07-04T15:51:46.029Z")</f>
        <v>2022-07-04T15:51:46.029Z</v>
      </c>
      <c r="K2618" s="1"/>
    </row>
    <row r="2619">
      <c r="A2619" s="2" t="str">
        <f>IFERROR(__xludf.DUMMYFUNCTION("""COMPUTED_VALUE"""),"https://www.facebook.com/penn.adbiz")</f>
        <v>https://www.facebook.com/penn.adbiz</v>
      </c>
      <c r="B2619" s="1" t="str">
        <f>IFERROR(__xludf.DUMMYFUNCTION("""COMPUTED_VALUE"""),"Penn Adver Biz")</f>
        <v>Penn Adver Biz</v>
      </c>
      <c r="C2619" s="1" t="str">
        <f>IFERROR(__xludf.DUMMYFUNCTION("""COMPUTED_VALUE"""),"Penn")</f>
        <v>Penn</v>
      </c>
      <c r="D2619" s="1" t="str">
        <f>IFERROR(__xludf.DUMMYFUNCTION("""COMPUTED_VALUE"""),"Adver Biz")</f>
        <v>Adver Biz</v>
      </c>
      <c r="E2619" s="1" t="str">
        <f>IFERROR(__xludf.DUMMYFUNCTION("""COMPUTED_VALUE"""),"grabe sila maka gawa hahahhaa kakantahin ba naman ng BTS 🤣🤣🤣")</f>
        <v>grabe sila maka gawa hahahhaa kakantahin ba naman ng BTS 🤣🤣🤣</v>
      </c>
      <c r="F2619" s="1"/>
      <c r="G2619" s="1" t="str">
        <f>IFERROR(__xludf.DUMMYFUNCTION("""COMPUTED_VALUE"""),"3 mos")</f>
        <v>3 mos</v>
      </c>
      <c r="H2619" s="1" t="str">
        <f>IFERROR(__xludf.DUMMYFUNCTION("""COMPUTED_VALUE"""),"comment")</f>
        <v>comment</v>
      </c>
      <c r="I2619" s="2" t="str">
        <f>IFERROR(__xludf.DUMMYFUNCTION("""COMPUTED_VALUE"""),"https://www.facebook.com/rapplerdotcom/photos/a.317154781638645/5594264657260938/")</f>
        <v>https://www.facebook.com/rapplerdotcom/photos/a.317154781638645/5594264657260938/</v>
      </c>
      <c r="J2619" s="1" t="str">
        <f>IFERROR(__xludf.DUMMYFUNCTION("""COMPUTED_VALUE"""),"2022-07-04T15:51:46.029Z")</f>
        <v>2022-07-04T15:51:46.029Z</v>
      </c>
      <c r="K2619" s="1"/>
    </row>
    <row r="2620">
      <c r="A2620" s="2" t="str">
        <f>IFERROR(__xludf.DUMMYFUNCTION("""COMPUTED_VALUE"""),"https://www.facebook.com/gectojennieca")</f>
        <v>https://www.facebook.com/gectojennieca</v>
      </c>
      <c r="B2620" s="1" t="str">
        <f>IFERROR(__xludf.DUMMYFUNCTION("""COMPUTED_VALUE"""),"Jennieca Bayani Gecto")</f>
        <v>Jennieca Bayani Gecto</v>
      </c>
      <c r="C2620" s="1" t="str">
        <f>IFERROR(__xludf.DUMMYFUNCTION("""COMPUTED_VALUE"""),"Jennieca")</f>
        <v>Jennieca</v>
      </c>
      <c r="D2620" s="1" t="str">
        <f>IFERROR(__xludf.DUMMYFUNCTION("""COMPUTED_VALUE"""),"Bayani Gecto")</f>
        <v>Bayani Gecto</v>
      </c>
      <c r="E2620" s="1" t="str">
        <f>IFERROR(__xludf.DUMMYFUNCTION("""COMPUTED_VALUE"""),"Double time na kayo? Hahahahaha")</f>
        <v>Double time na kayo? Hahahahaha</v>
      </c>
      <c r="F2620" s="1">
        <f>IFERROR(__xludf.DUMMYFUNCTION("""COMPUTED_VALUE"""),3.0)</f>
        <v>3</v>
      </c>
      <c r="G2620" s="1" t="str">
        <f>IFERROR(__xludf.DUMMYFUNCTION("""COMPUTED_VALUE"""),"3 mos")</f>
        <v>3 mos</v>
      </c>
      <c r="H2620" s="1" t="str">
        <f>IFERROR(__xludf.DUMMYFUNCTION("""COMPUTED_VALUE"""),"comment")</f>
        <v>comment</v>
      </c>
      <c r="I2620" s="2" t="str">
        <f>IFERROR(__xludf.DUMMYFUNCTION("""COMPUTED_VALUE"""),"https://www.facebook.com/rapplerdotcom/photos/a.317154781638645/5594264657260938/")</f>
        <v>https://www.facebook.com/rapplerdotcom/photos/a.317154781638645/5594264657260938/</v>
      </c>
      <c r="J2620" s="1" t="str">
        <f>IFERROR(__xludf.DUMMYFUNCTION("""COMPUTED_VALUE"""),"2022-07-04T15:51:46.029Z")</f>
        <v>2022-07-04T15:51:46.029Z</v>
      </c>
      <c r="K2620" s="1"/>
    </row>
    <row r="2621">
      <c r="A2621" s="2" t="str">
        <f>IFERROR(__xludf.DUMMYFUNCTION("""COMPUTED_VALUE"""),"https://www.facebook.com/claryssebea.sana")</f>
        <v>https://www.facebook.com/claryssebea.sana</v>
      </c>
      <c r="B2621" s="1" t="str">
        <f>IFERROR(__xludf.DUMMYFUNCTION("""COMPUTED_VALUE"""),"Clarysse Sana-Abutazil")</f>
        <v>Clarysse Sana-Abutazil</v>
      </c>
      <c r="C2621" s="1" t="str">
        <f>IFERROR(__xludf.DUMMYFUNCTION("""COMPUTED_VALUE"""),"Clarysse")</f>
        <v>Clarysse</v>
      </c>
      <c r="D2621" s="1" t="str">
        <f>IFERROR(__xludf.DUMMYFUNCTION("""COMPUTED_VALUE"""),"Sana-Abutazil")</f>
        <v>Sana-Abutazil</v>
      </c>
      <c r="E2621" s="1" t="str">
        <f>IFERROR(__xludf.DUMMYFUNCTION("""COMPUTED_VALUE"""),"Jennieca Bayani Gecto d siya nakaktulong para magdouble time.. nakakalok to")</f>
        <v>Jennieca Bayani Gecto d siya nakaktulong para magdouble time.. nakakalok to</v>
      </c>
      <c r="F2621" s="1"/>
      <c r="G2621" s="1" t="str">
        <f>IFERROR(__xludf.DUMMYFUNCTION("""COMPUTED_VALUE"""),"3 mos")</f>
        <v>3 mos</v>
      </c>
      <c r="H2621" s="1" t="str">
        <f>IFERROR(__xludf.DUMMYFUNCTION("""COMPUTED_VALUE"""),"reply")</f>
        <v>reply</v>
      </c>
      <c r="I2621" s="2" t="str">
        <f>IFERROR(__xludf.DUMMYFUNCTION("""COMPUTED_VALUE"""),"https://www.facebook.com/rapplerdotcom/photos/a.317154781638645/5594264657260938/")</f>
        <v>https://www.facebook.com/rapplerdotcom/photos/a.317154781638645/5594264657260938/</v>
      </c>
      <c r="J2621" s="1" t="str">
        <f>IFERROR(__xludf.DUMMYFUNCTION("""COMPUTED_VALUE"""),"2022-07-04T15:51:46.029Z")</f>
        <v>2022-07-04T15:51:46.029Z</v>
      </c>
      <c r="K2621" s="1"/>
    </row>
    <row r="2622">
      <c r="A2622" s="2" t="str">
        <f>IFERROR(__xludf.DUMMYFUNCTION("""COMPUTED_VALUE"""),"https://www.facebook.com/gectojennieca")</f>
        <v>https://www.facebook.com/gectojennieca</v>
      </c>
      <c r="B2622" s="1" t="str">
        <f>IFERROR(__xludf.DUMMYFUNCTION("""COMPUTED_VALUE"""),"Jennieca Bayani Gecto")</f>
        <v>Jennieca Bayani Gecto</v>
      </c>
      <c r="C2622" s="1" t="str">
        <f>IFERROR(__xludf.DUMMYFUNCTION("""COMPUTED_VALUE"""),"Jennieca")</f>
        <v>Jennieca</v>
      </c>
      <c r="D2622" s="1" t="str">
        <f>IFERROR(__xludf.DUMMYFUNCTION("""COMPUTED_VALUE"""),"Bayani Gecto")</f>
        <v>Bayani Gecto</v>
      </c>
      <c r="E2622" s="1" t="str">
        <f>IFERROR(__xludf.DUMMYFUNCTION("""COMPUTED_VALUE"""),"Ano daw??")</f>
        <v>Ano daw??</v>
      </c>
      <c r="F2622" s="1"/>
      <c r="G2622" s="1" t="str">
        <f>IFERROR(__xludf.DUMMYFUNCTION("""COMPUTED_VALUE"""),"3 mos")</f>
        <v>3 mos</v>
      </c>
      <c r="H2622" s="1" t="str">
        <f>IFERROR(__xludf.DUMMYFUNCTION("""COMPUTED_VALUE"""),"reply")</f>
        <v>reply</v>
      </c>
      <c r="I2622" s="2" t="str">
        <f>IFERROR(__xludf.DUMMYFUNCTION("""COMPUTED_VALUE"""),"https://www.facebook.com/rapplerdotcom/photos/a.317154781638645/5594264657260938/")</f>
        <v>https://www.facebook.com/rapplerdotcom/photos/a.317154781638645/5594264657260938/</v>
      </c>
      <c r="J2622" s="1" t="str">
        <f>IFERROR(__xludf.DUMMYFUNCTION("""COMPUTED_VALUE"""),"2022-07-04T15:51:46.030Z")</f>
        <v>2022-07-04T15:51:46.030Z</v>
      </c>
      <c r="K2622" s="1"/>
    </row>
    <row r="2623">
      <c r="A2623" s="2" t="str">
        <f>IFERROR(__xludf.DUMMYFUNCTION("""COMPUTED_VALUE"""),"https://www.facebook.com/mrbentaph/")</f>
        <v>https://www.facebook.com/mrbentaph/</v>
      </c>
      <c r="B2623" s="1" t="str">
        <f>IFERROR(__xludf.DUMMYFUNCTION("""COMPUTED_VALUE"""),"Mr. Benta PH")</f>
        <v>Mr. Benta PH</v>
      </c>
      <c r="C2623" s="1" t="str">
        <f>IFERROR(__xludf.DUMMYFUNCTION("""COMPUTED_VALUE"""),"Mr.")</f>
        <v>Mr.</v>
      </c>
      <c r="D2623" s="1" t="str">
        <f>IFERROR(__xludf.DUMMYFUNCTION("""COMPUTED_VALUE"""),"Benta PH")</f>
        <v>Benta PH</v>
      </c>
      <c r="E2623" s="1" t="str">
        <f>IFERROR(__xludf.DUMMYFUNCTION("""COMPUTED_VALUE"""),"Jennieca Bayani Gecto EXACTLY. HAHAHHAHAHAH")</f>
        <v>Jennieca Bayani Gecto EXACTLY. HAHAHHAHAHAH</v>
      </c>
      <c r="F2623" s="1"/>
      <c r="G2623" s="1" t="str">
        <f>IFERROR(__xludf.DUMMYFUNCTION("""COMPUTED_VALUE"""),"3 mos")</f>
        <v>3 mos</v>
      </c>
      <c r="H2623" s="1" t="str">
        <f>IFERROR(__xludf.DUMMYFUNCTION("""COMPUTED_VALUE"""),"reply")</f>
        <v>reply</v>
      </c>
      <c r="I2623" s="2" t="str">
        <f>IFERROR(__xludf.DUMMYFUNCTION("""COMPUTED_VALUE"""),"https://www.facebook.com/rapplerdotcom/photos/a.317154781638645/5594264657260938/")</f>
        <v>https://www.facebook.com/rapplerdotcom/photos/a.317154781638645/5594264657260938/</v>
      </c>
      <c r="J2623" s="1" t="str">
        <f>IFERROR(__xludf.DUMMYFUNCTION("""COMPUTED_VALUE"""),"2022-07-04T15:51:46.030Z")</f>
        <v>2022-07-04T15:51:46.030Z</v>
      </c>
      <c r="K2623" s="1"/>
    </row>
    <row r="2624">
      <c r="A2624" s="2" t="str">
        <f>IFERROR(__xludf.DUMMYFUNCTION("""COMPUTED_VALUE"""),"https://www.facebook.com/nichi.egg")</f>
        <v>https://www.facebook.com/nichi.egg</v>
      </c>
      <c r="B2624" s="1" t="str">
        <f>IFERROR(__xludf.DUMMYFUNCTION("""COMPUTED_VALUE"""),"Nico Gabriel Navidad")</f>
        <v>Nico Gabriel Navidad</v>
      </c>
      <c r="C2624" s="1" t="str">
        <f>IFERROR(__xludf.DUMMYFUNCTION("""COMPUTED_VALUE"""),"Nico")</f>
        <v>Nico</v>
      </c>
      <c r="D2624" s="1" t="str">
        <f>IFERROR(__xludf.DUMMYFUNCTION("""COMPUTED_VALUE"""),"Gabriel Navidad")</f>
        <v>Gabriel Navidad</v>
      </c>
      <c r="E2624" s="1" t="str">
        <f>IFERROR(__xludf.DUMMYFUNCTION("""COMPUTED_VALUE"""),"Jennieca Bayani Gecto Hataw na yan maam obvious naman na edited yung video tapos may caption pa na "" Mamppinkon lang tayo ng kakampink "" kinakagat padin netong mga matatalino kuno 😆")</f>
        <v>Jennieca Bayani Gecto Hataw na yan maam obvious naman na edited yung video tapos may caption pa na " Mamppinkon lang tayo ng kakampink " kinakagat padin netong mga matatalino kuno 😆</v>
      </c>
      <c r="F2624" s="1">
        <f>IFERROR(__xludf.DUMMYFUNCTION("""COMPUTED_VALUE"""),1.0)</f>
        <v>1</v>
      </c>
      <c r="G2624" s="1" t="str">
        <f>IFERROR(__xludf.DUMMYFUNCTION("""COMPUTED_VALUE"""),"3 mos")</f>
        <v>3 mos</v>
      </c>
      <c r="H2624" s="1" t="str">
        <f>IFERROR(__xludf.DUMMYFUNCTION("""COMPUTED_VALUE"""),"reply")</f>
        <v>reply</v>
      </c>
      <c r="I2624" s="2" t="str">
        <f>IFERROR(__xludf.DUMMYFUNCTION("""COMPUTED_VALUE"""),"https://www.facebook.com/rapplerdotcom/photos/a.317154781638645/5594264657260938/")</f>
        <v>https://www.facebook.com/rapplerdotcom/photos/a.317154781638645/5594264657260938/</v>
      </c>
      <c r="J2624" s="1" t="str">
        <f>IFERROR(__xludf.DUMMYFUNCTION("""COMPUTED_VALUE"""),"2022-07-04T15:51:46.030Z")</f>
        <v>2022-07-04T15:51:46.030Z</v>
      </c>
      <c r="K2624" s="1"/>
    </row>
    <row r="2625">
      <c r="A2625" s="2" t="str">
        <f>IFERROR(__xludf.DUMMYFUNCTION("""COMPUTED_VALUE"""),"https://www.facebook.com/john.berango")</f>
        <v>https://www.facebook.com/john.berango</v>
      </c>
      <c r="B2625" s="1" t="str">
        <f>IFERROR(__xludf.DUMMYFUNCTION("""COMPUTED_VALUE"""),"John Berango")</f>
        <v>John Berango</v>
      </c>
      <c r="C2625" s="1" t="str">
        <f>IFERROR(__xludf.DUMMYFUNCTION("""COMPUTED_VALUE"""),"John")</f>
        <v>John</v>
      </c>
      <c r="D2625" s="1" t="str">
        <f>IFERROR(__xludf.DUMMYFUNCTION("""COMPUTED_VALUE"""),"Berango")</f>
        <v>Berango</v>
      </c>
      <c r="E2625" s="1" t="str">
        <f>IFERROR(__xludf.DUMMYFUNCTION("""COMPUTED_VALUE"""),"Sayang naman yun tig-500 kung kulang sa chant")</f>
        <v>Sayang naman yun tig-500 kung kulang sa chant</v>
      </c>
      <c r="F2625" s="1"/>
      <c r="G2625" s="1" t="str">
        <f>IFERROR(__xludf.DUMMYFUNCTION("""COMPUTED_VALUE"""),"3 mos")</f>
        <v>3 mos</v>
      </c>
      <c r="H2625" s="1" t="str">
        <f>IFERROR(__xludf.DUMMYFUNCTION("""COMPUTED_VALUE"""),"comment")</f>
        <v>comment</v>
      </c>
      <c r="I2625" s="2" t="str">
        <f>IFERROR(__xludf.DUMMYFUNCTION("""COMPUTED_VALUE"""),"https://www.facebook.com/rapplerdotcom/photos/a.317154781638645/5594264657260938/")</f>
        <v>https://www.facebook.com/rapplerdotcom/photos/a.317154781638645/5594264657260938/</v>
      </c>
      <c r="J2625" s="1" t="str">
        <f>IFERROR(__xludf.DUMMYFUNCTION("""COMPUTED_VALUE"""),"2022-07-04T15:51:46.030Z")</f>
        <v>2022-07-04T15:51:46.030Z</v>
      </c>
      <c r="K2625" s="1"/>
    </row>
    <row r="2626">
      <c r="A2626" s="2" t="str">
        <f>IFERROR(__xludf.DUMMYFUNCTION("""COMPUTED_VALUE"""),"https://www.facebook.com/maldita.santita")</f>
        <v>https://www.facebook.com/maldita.santita</v>
      </c>
      <c r="B2626" s="1" t="str">
        <f>IFERROR(__xludf.DUMMYFUNCTION("""COMPUTED_VALUE"""),"Juliet Presto")</f>
        <v>Juliet Presto</v>
      </c>
      <c r="C2626" s="1" t="str">
        <f>IFERROR(__xludf.DUMMYFUNCTION("""COMPUTED_VALUE"""),"Juliet")</f>
        <v>Juliet</v>
      </c>
      <c r="D2626" s="1" t="str">
        <f>IFERROR(__xludf.DUMMYFUNCTION("""COMPUTED_VALUE"""),"Presto")</f>
        <v>Presto</v>
      </c>
      <c r="E2626" s="1" t="str">
        <f>IFERROR(__xludf.DUMMYFUNCTION("""COMPUTED_VALUE"""),"Ampalaya kayo dyan 🤣🤣🤣")</f>
        <v>Ampalaya kayo dyan 🤣🤣🤣</v>
      </c>
      <c r="F2626" s="1"/>
      <c r="G2626" s="1" t="str">
        <f>IFERROR(__xludf.DUMMYFUNCTION("""COMPUTED_VALUE"""),"3 mos")</f>
        <v>3 mos</v>
      </c>
      <c r="H2626" s="1" t="str">
        <f>IFERROR(__xludf.DUMMYFUNCTION("""COMPUTED_VALUE"""),"comment")</f>
        <v>comment</v>
      </c>
      <c r="I2626" s="2" t="str">
        <f>IFERROR(__xludf.DUMMYFUNCTION("""COMPUTED_VALUE"""),"https://www.facebook.com/rapplerdotcom/photos/a.317154781638645/5594264657260938/")</f>
        <v>https://www.facebook.com/rapplerdotcom/photos/a.317154781638645/5594264657260938/</v>
      </c>
      <c r="J2626" s="1" t="str">
        <f>IFERROR(__xludf.DUMMYFUNCTION("""COMPUTED_VALUE"""),"2022-07-04T15:51:46.030Z")</f>
        <v>2022-07-04T15:51:46.030Z</v>
      </c>
      <c r="K2626" s="1"/>
    </row>
    <row r="2627">
      <c r="A2627" s="2" t="str">
        <f>IFERROR(__xludf.DUMMYFUNCTION("""COMPUTED_VALUE"""),"https://www.facebook.com/topher.asp.3")</f>
        <v>https://www.facebook.com/topher.asp.3</v>
      </c>
      <c r="B2627" s="1" t="str">
        <f>IFERROR(__xludf.DUMMYFUNCTION("""COMPUTED_VALUE"""),"Aspuria Chrstophr")</f>
        <v>Aspuria Chrstophr</v>
      </c>
      <c r="C2627" s="1" t="str">
        <f>IFERROR(__xludf.DUMMYFUNCTION("""COMPUTED_VALUE"""),"Aspuria")</f>
        <v>Aspuria</v>
      </c>
      <c r="D2627" s="1" t="str">
        <f>IFERROR(__xludf.DUMMYFUNCTION("""COMPUTED_VALUE"""),"Chrstophr")</f>
        <v>Chrstophr</v>
      </c>
      <c r="E2627" s="1" t="str">
        <f>IFERROR(__xludf.DUMMYFUNCTION("""COMPUTED_VALUE"""),"Kanta lng yan lawakan naman ang utak")</f>
        <v>Kanta lng yan lawakan naman ang utak</v>
      </c>
      <c r="F2627" s="1">
        <f>IFERROR(__xludf.DUMMYFUNCTION("""COMPUTED_VALUE"""),1.0)</f>
        <v>1</v>
      </c>
      <c r="G2627" s="1" t="str">
        <f>IFERROR(__xludf.DUMMYFUNCTION("""COMPUTED_VALUE"""),"3 mos")</f>
        <v>3 mos</v>
      </c>
      <c r="H2627" s="1" t="str">
        <f>IFERROR(__xludf.DUMMYFUNCTION("""COMPUTED_VALUE"""),"comment")</f>
        <v>comment</v>
      </c>
      <c r="I2627" s="2" t="str">
        <f>IFERROR(__xludf.DUMMYFUNCTION("""COMPUTED_VALUE"""),"https://www.facebook.com/rapplerdotcom/photos/a.317154781638645/5594264657260938/")</f>
        <v>https://www.facebook.com/rapplerdotcom/photos/a.317154781638645/5594264657260938/</v>
      </c>
      <c r="J2627" s="1" t="str">
        <f>IFERROR(__xludf.DUMMYFUNCTION("""COMPUTED_VALUE"""),"2022-07-04T15:51:46.030Z")</f>
        <v>2022-07-04T15:51:46.030Z</v>
      </c>
      <c r="K2627" s="1"/>
    </row>
    <row r="2628">
      <c r="A2628" s="2" t="str">
        <f>IFERROR(__xludf.DUMMYFUNCTION("""COMPUTED_VALUE"""),"https://www.facebook.com/fred.deleon.9")</f>
        <v>https://www.facebook.com/fred.deleon.9</v>
      </c>
      <c r="B2628" s="1" t="str">
        <f>IFERROR(__xludf.DUMMYFUNCTION("""COMPUTED_VALUE"""),"Fred de Leon")</f>
        <v>Fred de Leon</v>
      </c>
      <c r="C2628" s="1" t="str">
        <f>IFERROR(__xludf.DUMMYFUNCTION("""COMPUTED_VALUE"""),"Fred")</f>
        <v>Fred</v>
      </c>
      <c r="D2628" s="1" t="str">
        <f>IFERROR(__xludf.DUMMYFUNCTION("""COMPUTED_VALUE"""),"de Leon")</f>
        <v>de Leon</v>
      </c>
      <c r="E2628" s="1" t="str">
        <f>IFERROR(__xludf.DUMMYFUNCTION("""COMPUTED_VALUE"""),"Desperate move!")</f>
        <v>Desperate move!</v>
      </c>
      <c r="F2628" s="1">
        <f>IFERROR(__xludf.DUMMYFUNCTION("""COMPUTED_VALUE"""),5.0)</f>
        <v>5</v>
      </c>
      <c r="G2628" s="1" t="str">
        <f>IFERROR(__xludf.DUMMYFUNCTION("""COMPUTED_VALUE"""),"3 mos")</f>
        <v>3 mos</v>
      </c>
      <c r="H2628" s="1" t="str">
        <f>IFERROR(__xludf.DUMMYFUNCTION("""COMPUTED_VALUE"""),"comment")</f>
        <v>comment</v>
      </c>
      <c r="I2628" s="2" t="str">
        <f>IFERROR(__xludf.DUMMYFUNCTION("""COMPUTED_VALUE"""),"https://www.facebook.com/rapplerdotcom/photos/a.317154781638645/5594264657260938/")</f>
        <v>https://www.facebook.com/rapplerdotcom/photos/a.317154781638645/5594264657260938/</v>
      </c>
      <c r="J2628" s="1" t="str">
        <f>IFERROR(__xludf.DUMMYFUNCTION("""COMPUTED_VALUE"""),"2022-07-04T15:51:46.030Z")</f>
        <v>2022-07-04T15:51:46.030Z</v>
      </c>
      <c r="K2628" s="1"/>
    </row>
    <row r="2629">
      <c r="A2629" s="2" t="str">
        <f>IFERROR(__xludf.DUMMYFUNCTION("""COMPUTED_VALUE"""),"https://www.facebook.com/nivelyn.abella.1")</f>
        <v>https://www.facebook.com/nivelyn.abella.1</v>
      </c>
      <c r="B2629" s="1" t="str">
        <f>IFERROR(__xludf.DUMMYFUNCTION("""COMPUTED_VALUE"""),"Nibyangski Suarez Anga")</f>
        <v>Nibyangski Suarez Anga</v>
      </c>
      <c r="C2629" s="1" t="str">
        <f>IFERROR(__xludf.DUMMYFUNCTION("""COMPUTED_VALUE"""),"Nibyangski")</f>
        <v>Nibyangski</v>
      </c>
      <c r="D2629" s="1" t="str">
        <f>IFERROR(__xludf.DUMMYFUNCTION("""COMPUTED_VALUE"""),"Suarez Anga")</f>
        <v>Suarez Anga</v>
      </c>
      <c r="E2629" s="1" t="str">
        <f>IFERROR(__xludf.DUMMYFUNCTION("""COMPUTED_VALUE"""),"minarcos ang sariling video.")</f>
        <v>minarcos ang sariling video.</v>
      </c>
      <c r="F2629" s="1">
        <f>IFERROR(__xludf.DUMMYFUNCTION("""COMPUTED_VALUE"""),1.0)</f>
        <v>1</v>
      </c>
      <c r="G2629" s="1" t="str">
        <f>IFERROR(__xludf.DUMMYFUNCTION("""COMPUTED_VALUE"""),"3 mos")</f>
        <v>3 mos</v>
      </c>
      <c r="H2629" s="1" t="str">
        <f>IFERROR(__xludf.DUMMYFUNCTION("""COMPUTED_VALUE"""),"comment")</f>
        <v>comment</v>
      </c>
      <c r="I2629" s="2" t="str">
        <f>IFERROR(__xludf.DUMMYFUNCTION("""COMPUTED_VALUE"""),"https://www.facebook.com/rapplerdotcom/photos/a.317154781638645/5594264657260938/")</f>
        <v>https://www.facebook.com/rapplerdotcom/photos/a.317154781638645/5594264657260938/</v>
      </c>
      <c r="J2629" s="1" t="str">
        <f>IFERROR(__xludf.DUMMYFUNCTION("""COMPUTED_VALUE"""),"2022-07-04T15:51:46.030Z")</f>
        <v>2022-07-04T15:51:46.030Z</v>
      </c>
      <c r="K2629" s="1"/>
    </row>
    <row r="2630">
      <c r="A2630" s="2" t="str">
        <f>IFERROR(__xludf.DUMMYFUNCTION("""COMPUTED_VALUE"""),"https://www.facebook.com/cjal.valhol")</f>
        <v>https://www.facebook.com/cjal.valhol</v>
      </c>
      <c r="B2630" s="1" t="str">
        <f>IFERROR(__xludf.DUMMYFUNCTION("""COMPUTED_VALUE"""),"Marcking Estabillo")</f>
        <v>Marcking Estabillo</v>
      </c>
      <c r="C2630" s="1" t="str">
        <f>IFERROR(__xludf.DUMMYFUNCTION("""COMPUTED_VALUE"""),"Marcking")</f>
        <v>Marcking</v>
      </c>
      <c r="D2630" s="1" t="str">
        <f>IFERROR(__xludf.DUMMYFUNCTION("""COMPUTED_VALUE"""),"Estabillo")</f>
        <v>Estabillo</v>
      </c>
      <c r="E2630" s="1" t="str">
        <f>IFERROR(__xludf.DUMMYFUNCTION("""COMPUTED_VALUE"""),"Oo nlng")</f>
        <v>Oo nlng</v>
      </c>
      <c r="F2630" s="1"/>
      <c r="G2630" s="1" t="str">
        <f>IFERROR(__xludf.DUMMYFUNCTION("""COMPUTED_VALUE"""),"3 mos")</f>
        <v>3 mos</v>
      </c>
      <c r="H2630" s="1" t="str">
        <f>IFERROR(__xludf.DUMMYFUNCTION("""COMPUTED_VALUE"""),"comment")</f>
        <v>comment</v>
      </c>
      <c r="I2630" s="2" t="str">
        <f>IFERROR(__xludf.DUMMYFUNCTION("""COMPUTED_VALUE"""),"https://www.facebook.com/rapplerdotcom/photos/a.317154781638645/5594264657260938/")</f>
        <v>https://www.facebook.com/rapplerdotcom/photos/a.317154781638645/5594264657260938/</v>
      </c>
      <c r="J2630" s="1" t="str">
        <f>IFERROR(__xludf.DUMMYFUNCTION("""COMPUTED_VALUE"""),"2022-07-04T15:51:46.030Z")</f>
        <v>2022-07-04T15:51:46.030Z</v>
      </c>
      <c r="K2630" s="1"/>
    </row>
    <row r="2631">
      <c r="A2631" s="2" t="str">
        <f>IFERROR(__xludf.DUMMYFUNCTION("""COMPUTED_VALUE"""),"https://www.facebook.com/ryanjay.gil")</f>
        <v>https://www.facebook.com/ryanjay.gil</v>
      </c>
      <c r="B2631" s="1" t="str">
        <f>IFERROR(__xludf.DUMMYFUNCTION("""COMPUTED_VALUE"""),"Ryan Jay Gil")</f>
        <v>Ryan Jay Gil</v>
      </c>
      <c r="C2631" s="1" t="str">
        <f>IFERROR(__xludf.DUMMYFUNCTION("""COMPUTED_VALUE"""),"Ryan")</f>
        <v>Ryan</v>
      </c>
      <c r="D2631" s="1" t="str">
        <f>IFERROR(__xludf.DUMMYFUNCTION("""COMPUTED_VALUE"""),"Jay Gil")</f>
        <v>Jay Gil</v>
      </c>
      <c r="E2631" s="1" t="str">
        <f>IFERROR(__xludf.DUMMYFUNCTION("""COMPUTED_VALUE"""),"OA niyo")</f>
        <v>OA niyo</v>
      </c>
      <c r="F2631" s="1"/>
      <c r="G2631" s="1" t="str">
        <f>IFERROR(__xludf.DUMMYFUNCTION("""COMPUTED_VALUE"""),"3 mos")</f>
        <v>3 mos</v>
      </c>
      <c r="H2631" s="1" t="str">
        <f>IFERROR(__xludf.DUMMYFUNCTION("""COMPUTED_VALUE"""),"comment")</f>
        <v>comment</v>
      </c>
      <c r="I2631" s="2" t="str">
        <f>IFERROR(__xludf.DUMMYFUNCTION("""COMPUTED_VALUE"""),"https://www.facebook.com/rapplerdotcom/photos/a.317154781638645/5594264657260938/")</f>
        <v>https://www.facebook.com/rapplerdotcom/photos/a.317154781638645/5594264657260938/</v>
      </c>
      <c r="J2631" s="1" t="str">
        <f>IFERROR(__xludf.DUMMYFUNCTION("""COMPUTED_VALUE"""),"2022-07-04T15:51:46.030Z")</f>
        <v>2022-07-04T15:51:46.030Z</v>
      </c>
      <c r="K2631" s="1"/>
    </row>
    <row r="2632">
      <c r="A2632" s="2" t="str">
        <f>IFERROR(__xludf.DUMMYFUNCTION("""COMPUTED_VALUE"""),"https://www.facebook.com/rhodora.entera")</f>
        <v>https://www.facebook.com/rhodora.entera</v>
      </c>
      <c r="B2632" s="1" t="str">
        <f>IFERROR(__xludf.DUMMYFUNCTION("""COMPUTED_VALUE"""),"Rhodora Batillano Entera")</f>
        <v>Rhodora Batillano Entera</v>
      </c>
      <c r="C2632" s="1" t="str">
        <f>IFERROR(__xludf.DUMMYFUNCTION("""COMPUTED_VALUE"""),"Rhodora")</f>
        <v>Rhodora</v>
      </c>
      <c r="D2632" s="1" t="str">
        <f>IFERROR(__xludf.DUMMYFUNCTION("""COMPUTED_VALUE"""),"Batillano Entera")</f>
        <v>Batillano Entera</v>
      </c>
      <c r="E2632" s="1" t="str">
        <f>IFERROR(__xludf.DUMMYFUNCTION("""COMPUTED_VALUE"""),"Ano pa inaasahan nyo 😂")</f>
        <v>Ano pa inaasahan nyo 😂</v>
      </c>
      <c r="F2632" s="1"/>
      <c r="G2632" s="1" t="str">
        <f>IFERROR(__xludf.DUMMYFUNCTION("""COMPUTED_VALUE"""),"3 mos")</f>
        <v>3 mos</v>
      </c>
      <c r="H2632" s="1" t="str">
        <f>IFERROR(__xludf.DUMMYFUNCTION("""COMPUTED_VALUE"""),"comment")</f>
        <v>comment</v>
      </c>
      <c r="I2632" s="2" t="str">
        <f>IFERROR(__xludf.DUMMYFUNCTION("""COMPUTED_VALUE"""),"https://www.facebook.com/rapplerdotcom/photos/a.317154781638645/5594264657260938/")</f>
        <v>https://www.facebook.com/rapplerdotcom/photos/a.317154781638645/5594264657260938/</v>
      </c>
      <c r="J2632" s="1" t="str">
        <f>IFERROR(__xludf.DUMMYFUNCTION("""COMPUTED_VALUE"""),"2022-07-04T15:51:46.030Z")</f>
        <v>2022-07-04T15:51:46.030Z</v>
      </c>
      <c r="K2632" s="1"/>
    </row>
    <row r="2633">
      <c r="A2633" s="2" t="str">
        <f>IFERROR(__xludf.DUMMYFUNCTION("""COMPUTED_VALUE"""),"https://www.facebook.com/profile.php?id=100076414760032")</f>
        <v>https://www.facebook.com/profile.php?id=100076414760032</v>
      </c>
      <c r="B2633" s="1" t="str">
        <f>IFERROR(__xludf.DUMMYFUNCTION("""COMPUTED_VALUE"""),"Gemma G Tamagos")</f>
        <v>Gemma G Tamagos</v>
      </c>
      <c r="C2633" s="1" t="str">
        <f>IFERROR(__xludf.DUMMYFUNCTION("""COMPUTED_VALUE"""),"Gemma")</f>
        <v>Gemma</v>
      </c>
      <c r="D2633" s="1" t="str">
        <f>IFERROR(__xludf.DUMMYFUNCTION("""COMPUTED_VALUE"""),"G Tamagos")</f>
        <v>G Tamagos</v>
      </c>
      <c r="E2633" s="1" t="str">
        <f>IFERROR(__xludf.DUMMYFUNCTION("""COMPUTED_VALUE"""),"Paulit2 na lng...")</f>
        <v>Paulit2 na lng...</v>
      </c>
      <c r="F2633" s="1"/>
      <c r="G2633" s="1" t="str">
        <f>IFERROR(__xludf.DUMMYFUNCTION("""COMPUTED_VALUE"""),"3 mos")</f>
        <v>3 mos</v>
      </c>
      <c r="H2633" s="1" t="str">
        <f>IFERROR(__xludf.DUMMYFUNCTION("""COMPUTED_VALUE"""),"comment")</f>
        <v>comment</v>
      </c>
      <c r="I2633" s="2" t="str">
        <f>IFERROR(__xludf.DUMMYFUNCTION("""COMPUTED_VALUE"""),"https://www.facebook.com/rapplerdotcom/photos/a.317154781638645/5594264657260938/")</f>
        <v>https://www.facebook.com/rapplerdotcom/photos/a.317154781638645/5594264657260938/</v>
      </c>
      <c r="J2633" s="1" t="str">
        <f>IFERROR(__xludf.DUMMYFUNCTION("""COMPUTED_VALUE"""),"2022-07-04T15:51:46.030Z")</f>
        <v>2022-07-04T15:51:46.030Z</v>
      </c>
      <c r="K2633" s="1"/>
    </row>
    <row r="2634">
      <c r="A2634" s="2" t="str">
        <f>IFERROR(__xludf.DUMMYFUNCTION("""COMPUTED_VALUE"""),"https://www.facebook.com/eavonnemurielle.baltazar")</f>
        <v>https://www.facebook.com/eavonnemurielle.baltazar</v>
      </c>
      <c r="B2634" s="1" t="str">
        <f>IFERROR(__xludf.DUMMYFUNCTION("""COMPUTED_VALUE"""),"Em Miras Solleza")</f>
        <v>Em Miras Solleza</v>
      </c>
      <c r="C2634" s="1" t="str">
        <f>IFERROR(__xludf.DUMMYFUNCTION("""COMPUTED_VALUE"""),"Em")</f>
        <v>Em</v>
      </c>
      <c r="D2634" s="1" t="str">
        <f>IFERROR(__xludf.DUMMYFUNCTION("""COMPUTED_VALUE"""),"Miras Solleza")</f>
        <v>Miras Solleza</v>
      </c>
      <c r="E2634" s="1" t="str">
        <f>IFERROR(__xludf.DUMMYFUNCTION("""COMPUTED_VALUE"""),"Namarcos yan HAHAHAHAHAHAHA")</f>
        <v>Namarcos yan HAHAHAHAHAHAHA</v>
      </c>
      <c r="F2634" s="1"/>
      <c r="G2634" s="1" t="str">
        <f>IFERROR(__xludf.DUMMYFUNCTION("""COMPUTED_VALUE"""),"3 mos")</f>
        <v>3 mos</v>
      </c>
      <c r="H2634" s="1" t="str">
        <f>IFERROR(__xludf.DUMMYFUNCTION("""COMPUTED_VALUE"""),"comment")</f>
        <v>comment</v>
      </c>
      <c r="I2634" s="2" t="str">
        <f>IFERROR(__xludf.DUMMYFUNCTION("""COMPUTED_VALUE"""),"https://www.facebook.com/rapplerdotcom/photos/a.317154781638645/5594264657260938/")</f>
        <v>https://www.facebook.com/rapplerdotcom/photos/a.317154781638645/5594264657260938/</v>
      </c>
      <c r="J2634" s="1" t="str">
        <f>IFERROR(__xludf.DUMMYFUNCTION("""COMPUTED_VALUE"""),"2022-07-04T15:51:46.030Z")</f>
        <v>2022-07-04T15:51:46.030Z</v>
      </c>
      <c r="K2634" s="1"/>
    </row>
    <row r="2635">
      <c r="A2635" s="2" t="str">
        <f>IFERROR(__xludf.DUMMYFUNCTION("""COMPUTED_VALUE"""),"https://www.facebook.com/melchor.serawom")</f>
        <v>https://www.facebook.com/melchor.serawom</v>
      </c>
      <c r="B2635" s="1" t="str">
        <f>IFERROR(__xludf.DUMMYFUNCTION("""COMPUTED_VALUE"""),"Melchor Lumacad Serawom")</f>
        <v>Melchor Lumacad Serawom</v>
      </c>
      <c r="C2635" s="1" t="str">
        <f>IFERROR(__xludf.DUMMYFUNCTION("""COMPUTED_VALUE"""),"Melchor")</f>
        <v>Melchor</v>
      </c>
      <c r="D2635" s="1" t="str">
        <f>IFERROR(__xludf.DUMMYFUNCTION("""COMPUTED_VALUE"""),"Lumacad Serawom")</f>
        <v>Lumacad Serawom</v>
      </c>
      <c r="E2635" s="1" t="str">
        <f>IFERROR(__xludf.DUMMYFUNCTION("""COMPUTED_VALUE"""),"Okay po😊😅")</f>
        <v>Okay po😊😅</v>
      </c>
      <c r="F2635" s="1"/>
      <c r="G2635" s="1" t="str">
        <f>IFERROR(__xludf.DUMMYFUNCTION("""COMPUTED_VALUE"""),"3 mos")</f>
        <v>3 mos</v>
      </c>
      <c r="H2635" s="1" t="str">
        <f>IFERROR(__xludf.DUMMYFUNCTION("""COMPUTED_VALUE"""),"comment")</f>
        <v>comment</v>
      </c>
      <c r="I2635" s="2" t="str">
        <f>IFERROR(__xludf.DUMMYFUNCTION("""COMPUTED_VALUE"""),"https://www.facebook.com/rapplerdotcom/photos/a.317154781638645/5594264657260938/")</f>
        <v>https://www.facebook.com/rapplerdotcom/photos/a.317154781638645/5594264657260938/</v>
      </c>
      <c r="J2635" s="1" t="str">
        <f>IFERROR(__xludf.DUMMYFUNCTION("""COMPUTED_VALUE"""),"2022-07-04T15:51:46.030Z")</f>
        <v>2022-07-04T15:51:46.030Z</v>
      </c>
      <c r="K2635" s="1"/>
    </row>
    <row r="2636">
      <c r="A2636" s="2" t="str">
        <f>IFERROR(__xludf.DUMMYFUNCTION("""COMPUTED_VALUE"""),"https://www.facebook.com/ETHANAJMARK")</f>
        <v>https://www.facebook.com/ETHANAJMARK</v>
      </c>
      <c r="B2636" s="1" t="str">
        <f>IFERROR(__xludf.DUMMYFUNCTION("""COMPUTED_VALUE"""),"Benj Dal Ronquillo")</f>
        <v>Benj Dal Ronquillo</v>
      </c>
      <c r="C2636" s="1" t="str">
        <f>IFERROR(__xludf.DUMMYFUNCTION("""COMPUTED_VALUE"""),"Benj")</f>
        <v>Benj</v>
      </c>
      <c r="D2636" s="1" t="str">
        <f>IFERROR(__xludf.DUMMYFUNCTION("""COMPUTED_VALUE"""),"Dal Ronquillo")</f>
        <v>Dal Ronquillo</v>
      </c>
      <c r="E2636" s="1" t="str">
        <f>IFERROR(__xludf.DUMMYFUNCTION("""COMPUTED_VALUE"""),"Trying hard")</f>
        <v>Trying hard</v>
      </c>
      <c r="F2636" s="1"/>
      <c r="G2636" s="1" t="str">
        <f>IFERROR(__xludf.DUMMYFUNCTION("""COMPUTED_VALUE"""),"3 mos")</f>
        <v>3 mos</v>
      </c>
      <c r="H2636" s="1" t="str">
        <f>IFERROR(__xludf.DUMMYFUNCTION("""COMPUTED_VALUE"""),"comment")</f>
        <v>comment</v>
      </c>
      <c r="I2636" s="2" t="str">
        <f>IFERROR(__xludf.DUMMYFUNCTION("""COMPUTED_VALUE"""),"https://www.facebook.com/rapplerdotcom/photos/a.317154781638645/5594264657260938/")</f>
        <v>https://www.facebook.com/rapplerdotcom/photos/a.317154781638645/5594264657260938/</v>
      </c>
      <c r="J2636" s="1" t="str">
        <f>IFERROR(__xludf.DUMMYFUNCTION("""COMPUTED_VALUE"""),"2022-07-04T15:51:46.030Z")</f>
        <v>2022-07-04T15:51:46.030Z</v>
      </c>
      <c r="K2636" s="1"/>
    </row>
    <row r="2637">
      <c r="A2637" s="2" t="str">
        <f>IFERROR(__xludf.DUMMYFUNCTION("""COMPUTED_VALUE"""),"https://www.facebook.com/chazper21")</f>
        <v>https://www.facebook.com/chazper21</v>
      </c>
      <c r="B2637" s="1" t="str">
        <f>IFERROR(__xludf.DUMMYFUNCTION("""COMPUTED_VALUE"""),"Jeffrh Sequito Dela Cerna")</f>
        <v>Jeffrh Sequito Dela Cerna</v>
      </c>
      <c r="C2637" s="1" t="str">
        <f>IFERROR(__xludf.DUMMYFUNCTION("""COMPUTED_VALUE"""),"Jeffrh")</f>
        <v>Jeffrh</v>
      </c>
      <c r="D2637" s="1" t="str">
        <f>IFERROR(__xludf.DUMMYFUNCTION("""COMPUTED_VALUE"""),"Sequito Dela Cerna")</f>
        <v>Sequito Dela Cerna</v>
      </c>
      <c r="E2637" s="1" t="str">
        <f>IFERROR(__xludf.DUMMYFUNCTION("""COMPUTED_VALUE"""),"We don't care")</f>
        <v>We don't care</v>
      </c>
      <c r="F2637" s="1"/>
      <c r="G2637" s="1" t="str">
        <f>IFERROR(__xludf.DUMMYFUNCTION("""COMPUTED_VALUE"""),"3 mos")</f>
        <v>3 mos</v>
      </c>
      <c r="H2637" s="1" t="str">
        <f>IFERROR(__xludf.DUMMYFUNCTION("""COMPUTED_VALUE"""),"comment")</f>
        <v>comment</v>
      </c>
      <c r="I2637" s="2" t="str">
        <f>IFERROR(__xludf.DUMMYFUNCTION("""COMPUTED_VALUE"""),"https://www.facebook.com/rapplerdotcom/photos/a.317154781638645/5594264657260938/")</f>
        <v>https://www.facebook.com/rapplerdotcom/photos/a.317154781638645/5594264657260938/</v>
      </c>
      <c r="J2637" s="1" t="str">
        <f>IFERROR(__xludf.DUMMYFUNCTION("""COMPUTED_VALUE"""),"2022-07-04T15:51:46.030Z")</f>
        <v>2022-07-04T15:51:46.030Z</v>
      </c>
      <c r="K2637" s="1"/>
    </row>
    <row r="2638">
      <c r="A2638" s="2" t="str">
        <f>IFERROR(__xludf.DUMMYFUNCTION("""COMPUTED_VALUE"""),"https://www.facebook.com/alectv07")</f>
        <v>https://www.facebook.com/alectv07</v>
      </c>
      <c r="B2638" s="1" t="str">
        <f>IFERROR(__xludf.DUMMYFUNCTION("""COMPUTED_VALUE"""),"Jonathan Utzurrum")</f>
        <v>Jonathan Utzurrum</v>
      </c>
      <c r="C2638" s="1" t="str">
        <f>IFERROR(__xludf.DUMMYFUNCTION("""COMPUTED_VALUE"""),"Jonathan")</f>
        <v>Jonathan</v>
      </c>
      <c r="D2638" s="1" t="str">
        <f>IFERROR(__xludf.DUMMYFUNCTION("""COMPUTED_VALUE"""),"Utzurrum")</f>
        <v>Utzurrum</v>
      </c>
      <c r="E2638" s="1" t="str">
        <f>IFERROR(__xludf.DUMMYFUNCTION("""COMPUTED_VALUE"""),"Puro kayo fact check peri d pa din umaangat si nanay lenlrn ninyo.")</f>
        <v>Puro kayo fact check peri d pa din umaangat si nanay lenlrn ninyo.</v>
      </c>
      <c r="F2638" s="1"/>
      <c r="G2638" s="1" t="str">
        <f>IFERROR(__xludf.DUMMYFUNCTION("""COMPUTED_VALUE"""),"3 mos")</f>
        <v>3 mos</v>
      </c>
      <c r="H2638" s="1" t="str">
        <f>IFERROR(__xludf.DUMMYFUNCTION("""COMPUTED_VALUE"""),"comment")</f>
        <v>comment</v>
      </c>
      <c r="I2638" s="2" t="str">
        <f>IFERROR(__xludf.DUMMYFUNCTION("""COMPUTED_VALUE"""),"https://www.facebook.com/rapplerdotcom/photos/a.317154781638645/5594264657260938/")</f>
        <v>https://www.facebook.com/rapplerdotcom/photos/a.317154781638645/5594264657260938/</v>
      </c>
      <c r="J2638" s="1" t="str">
        <f>IFERROR(__xludf.DUMMYFUNCTION("""COMPUTED_VALUE"""),"2022-07-04T15:51:46.030Z")</f>
        <v>2022-07-04T15:51:46.030Z</v>
      </c>
      <c r="K2638" s="1"/>
    </row>
    <row r="2639">
      <c r="A2639" s="2" t="str">
        <f>IFERROR(__xludf.DUMMYFUNCTION("""COMPUTED_VALUE"""),"https://www.facebook.com/alex.calague")</f>
        <v>https://www.facebook.com/alex.calague</v>
      </c>
      <c r="B2639" s="1" t="str">
        <f>IFERROR(__xludf.DUMMYFUNCTION("""COMPUTED_VALUE"""),"Alex Calague")</f>
        <v>Alex Calague</v>
      </c>
      <c r="C2639" s="1" t="str">
        <f>IFERROR(__xludf.DUMMYFUNCTION("""COMPUTED_VALUE"""),"Alex")</f>
        <v>Alex</v>
      </c>
      <c r="D2639" s="1" t="str">
        <f>IFERROR(__xludf.DUMMYFUNCTION("""COMPUTED_VALUE"""),"Calague")</f>
        <v>Calague</v>
      </c>
      <c r="E2639" s="1" t="str">
        <f>IFERROR(__xludf.DUMMYFUNCTION("""COMPUTED_VALUE"""),"Nakoh pwede ba hayaan nyo na kung daya ang video nila sa rally... ang importante energetic, buhay na buhay, at masaya ang video sa rally nyo... 😁 hindi naman nila kayang imanipula ang isipan na may discernment...")</f>
        <v>Nakoh pwede ba hayaan nyo na kung daya ang video nila sa rally... ang importante energetic, buhay na buhay, at masaya ang video sa rally nyo... 😁 hindi naman nila kayang imanipula ang isipan na may discernment...</v>
      </c>
      <c r="F2639" s="1">
        <f>IFERROR(__xludf.DUMMYFUNCTION("""COMPUTED_VALUE"""),1.0)</f>
        <v>1</v>
      </c>
      <c r="G2639" s="1" t="str">
        <f>IFERROR(__xludf.DUMMYFUNCTION("""COMPUTED_VALUE"""),"3 mos")</f>
        <v>3 mos</v>
      </c>
      <c r="H2639" s="1" t="str">
        <f>IFERROR(__xludf.DUMMYFUNCTION("""COMPUTED_VALUE"""),"comment")</f>
        <v>comment</v>
      </c>
      <c r="I2639" s="2" t="str">
        <f>IFERROR(__xludf.DUMMYFUNCTION("""COMPUTED_VALUE"""),"https://www.facebook.com/rapplerdotcom/photos/a.317154781638645/5594264657260938/")</f>
        <v>https://www.facebook.com/rapplerdotcom/photos/a.317154781638645/5594264657260938/</v>
      </c>
      <c r="J2639" s="1" t="str">
        <f>IFERROR(__xludf.DUMMYFUNCTION("""COMPUTED_VALUE"""),"2022-07-04T15:51:46.030Z")</f>
        <v>2022-07-04T15:51:46.030Z</v>
      </c>
      <c r="K2639" s="1"/>
    </row>
    <row r="2640">
      <c r="A2640" s="2" t="str">
        <f>IFERROR(__xludf.DUMMYFUNCTION("""COMPUTED_VALUE"""),"https://www.facebook.com/vcatamisanjr")</f>
        <v>https://www.facebook.com/vcatamisanjr</v>
      </c>
      <c r="B2640" s="1" t="str">
        <f>IFERROR(__xludf.DUMMYFUNCTION("""COMPUTED_VALUE"""),"Jay Ar")</f>
        <v>Jay Ar</v>
      </c>
      <c r="C2640" s="1" t="str">
        <f>IFERROR(__xludf.DUMMYFUNCTION("""COMPUTED_VALUE"""),"Jay")</f>
        <v>Jay</v>
      </c>
      <c r="D2640" s="1" t="str">
        <f>IFERROR(__xludf.DUMMYFUNCTION("""COMPUTED_VALUE"""),"Ar")</f>
        <v>Ar</v>
      </c>
      <c r="E2640" s="1" t="str">
        <f>IFERROR(__xludf.DUMMYFUNCTION("""COMPUTED_VALUE"""),"Bwahahahhahahahahahhahahahah alam nang lahat na edited yan at pang asar lang na vids yan hahahahahahha. Nai- fact check nyo pa hahahha. Walang wala naba talaga hahahha..")</f>
        <v>Bwahahahhahahahahahhahahahah alam nang lahat na edited yan at pang asar lang na vids yan hahahahahahha. Nai- fact check nyo pa hahahha. Walang wala naba talaga hahahha..</v>
      </c>
      <c r="F2640" s="1">
        <f>IFERROR(__xludf.DUMMYFUNCTION("""COMPUTED_VALUE"""),1.0)</f>
        <v>1</v>
      </c>
      <c r="G2640" s="1" t="str">
        <f>IFERROR(__xludf.DUMMYFUNCTION("""COMPUTED_VALUE"""),"3 mos")</f>
        <v>3 mos</v>
      </c>
      <c r="H2640" s="1" t="str">
        <f>IFERROR(__xludf.DUMMYFUNCTION("""COMPUTED_VALUE"""),"comment")</f>
        <v>comment</v>
      </c>
      <c r="I2640" s="2" t="str">
        <f>IFERROR(__xludf.DUMMYFUNCTION("""COMPUTED_VALUE"""),"https://www.facebook.com/rapplerdotcom/photos/a.317154781638645/5594264657260938/")</f>
        <v>https://www.facebook.com/rapplerdotcom/photos/a.317154781638645/5594264657260938/</v>
      </c>
      <c r="J2640" s="1" t="str">
        <f>IFERROR(__xludf.DUMMYFUNCTION("""COMPUTED_VALUE"""),"2022-07-04T15:51:46.030Z")</f>
        <v>2022-07-04T15:51:46.030Z</v>
      </c>
      <c r="K2640" s="1"/>
    </row>
    <row r="2641">
      <c r="A2641" s="2" t="str">
        <f>IFERROR(__xludf.DUMMYFUNCTION("""COMPUTED_VALUE"""),"https://www.facebook.com/profile.php?id=100065857924899")</f>
        <v>https://www.facebook.com/profile.php?id=100065857924899</v>
      </c>
      <c r="B2641" s="1" t="str">
        <f>IFERROR(__xludf.DUMMYFUNCTION("""COMPUTED_VALUE"""),"Kim Tokmol")</f>
        <v>Kim Tokmol</v>
      </c>
      <c r="C2641" s="1" t="str">
        <f>IFERROR(__xludf.DUMMYFUNCTION("""COMPUTED_VALUE"""),"Kim")</f>
        <v>Kim</v>
      </c>
      <c r="D2641" s="1" t="str">
        <f>IFERROR(__xludf.DUMMYFUNCTION("""COMPUTED_VALUE"""),"Tokmol")</f>
        <v>Tokmol</v>
      </c>
      <c r="E2641" s="1" t="str">
        <f>IFERROR(__xludf.DUMMYFUNCTION("""COMPUTED_VALUE"""),"Bakit kaya walang uniteam army ang nag reklamo kung totoo yan ,😅 kc hindi totoo")</f>
        <v>Bakit kaya walang uniteam army ang nag reklamo kung totoo yan ,😅 kc hindi totoo</v>
      </c>
      <c r="F2641" s="1"/>
      <c r="G2641" s="1" t="str">
        <f>IFERROR(__xludf.DUMMYFUNCTION("""COMPUTED_VALUE"""),"3 mos")</f>
        <v>3 mos</v>
      </c>
      <c r="H2641" s="1" t="str">
        <f>IFERROR(__xludf.DUMMYFUNCTION("""COMPUTED_VALUE"""),"comment")</f>
        <v>comment</v>
      </c>
      <c r="I2641" s="2" t="str">
        <f>IFERROR(__xludf.DUMMYFUNCTION("""COMPUTED_VALUE"""),"https://www.facebook.com/rapplerdotcom/photos/a.317154781638645/5594264657260938/")</f>
        <v>https://www.facebook.com/rapplerdotcom/photos/a.317154781638645/5594264657260938/</v>
      </c>
      <c r="J2641" s="1" t="str">
        <f>IFERROR(__xludf.DUMMYFUNCTION("""COMPUTED_VALUE"""),"2022-07-04T15:51:46.030Z")</f>
        <v>2022-07-04T15:51:46.030Z</v>
      </c>
      <c r="K2641" s="1"/>
    </row>
    <row r="2642">
      <c r="A2642" s="2" t="str">
        <f>IFERROR(__xludf.DUMMYFUNCTION("""COMPUTED_VALUE"""),"https://www.facebook.com/TANSHAOILING")</f>
        <v>https://www.facebook.com/TANSHAOILING</v>
      </c>
      <c r="B2642" s="1" t="str">
        <f>IFERROR(__xludf.DUMMYFUNCTION("""COMPUTED_VALUE"""),"Tan Arnel")</f>
        <v>Tan Arnel</v>
      </c>
      <c r="C2642" s="1" t="str">
        <f>IFERROR(__xludf.DUMMYFUNCTION("""COMPUTED_VALUE"""),"Tan")</f>
        <v>Tan</v>
      </c>
      <c r="D2642" s="1" t="str">
        <f>IFERROR(__xludf.DUMMYFUNCTION("""COMPUTED_VALUE"""),"Arnel")</f>
        <v>Arnel</v>
      </c>
      <c r="E2642" s="1" t="str">
        <f>IFERROR(__xludf.DUMMYFUNCTION("""COMPUTED_VALUE"""),"Kapag ingit pikit")</f>
        <v>Kapag ingit pikit</v>
      </c>
      <c r="F2642" s="1"/>
      <c r="G2642" s="1" t="str">
        <f>IFERROR(__xludf.DUMMYFUNCTION("""COMPUTED_VALUE"""),"3 mos")</f>
        <v>3 mos</v>
      </c>
      <c r="H2642" s="1" t="str">
        <f>IFERROR(__xludf.DUMMYFUNCTION("""COMPUTED_VALUE"""),"comment")</f>
        <v>comment</v>
      </c>
      <c r="I2642" s="2" t="str">
        <f>IFERROR(__xludf.DUMMYFUNCTION("""COMPUTED_VALUE"""),"https://www.facebook.com/rapplerdotcom/photos/a.317154781638645/5594264657260938/")</f>
        <v>https://www.facebook.com/rapplerdotcom/photos/a.317154781638645/5594264657260938/</v>
      </c>
      <c r="J2642" s="1" t="str">
        <f>IFERROR(__xludf.DUMMYFUNCTION("""COMPUTED_VALUE"""),"2022-07-04T15:51:46.030Z")</f>
        <v>2022-07-04T15:51:46.030Z</v>
      </c>
      <c r="K2642" s="1"/>
    </row>
    <row r="2643">
      <c r="A2643" s="2" t="str">
        <f>IFERROR(__xludf.DUMMYFUNCTION("""COMPUTED_VALUE"""),"https://www.facebook.com/renato.visitacion")</f>
        <v>https://www.facebook.com/renato.visitacion</v>
      </c>
      <c r="B2643" s="1" t="str">
        <f>IFERROR(__xludf.DUMMYFUNCTION("""COMPUTED_VALUE"""),"Visitacion Renato")</f>
        <v>Visitacion Renato</v>
      </c>
      <c r="C2643" s="1" t="str">
        <f>IFERROR(__xludf.DUMMYFUNCTION("""COMPUTED_VALUE"""),"Visitacion")</f>
        <v>Visitacion</v>
      </c>
      <c r="D2643" s="1" t="str">
        <f>IFERROR(__xludf.DUMMYFUNCTION("""COMPUTED_VALUE"""),"Renato")</f>
        <v>Renato</v>
      </c>
      <c r="E2643" s="1" t="str">
        <f>IFERROR(__xludf.DUMMYFUNCTION("""COMPUTED_VALUE"""),"Lostlost malapit na kayo mag signoff")</f>
        <v>Lostlost malapit na kayo mag signoff</v>
      </c>
      <c r="F2643" s="1"/>
      <c r="G2643" s="1" t="str">
        <f>IFERROR(__xludf.DUMMYFUNCTION("""COMPUTED_VALUE"""),"3 mos")</f>
        <v>3 mos</v>
      </c>
      <c r="H2643" s="1" t="str">
        <f>IFERROR(__xludf.DUMMYFUNCTION("""COMPUTED_VALUE"""),"comment")</f>
        <v>comment</v>
      </c>
      <c r="I2643" s="2" t="str">
        <f>IFERROR(__xludf.DUMMYFUNCTION("""COMPUTED_VALUE"""),"https://www.facebook.com/rapplerdotcom/photos/a.317154781638645/5594264657260938/")</f>
        <v>https://www.facebook.com/rapplerdotcom/photos/a.317154781638645/5594264657260938/</v>
      </c>
      <c r="J2643" s="1" t="str">
        <f>IFERROR(__xludf.DUMMYFUNCTION("""COMPUTED_VALUE"""),"2022-07-04T15:51:46.030Z")</f>
        <v>2022-07-04T15:51:46.030Z</v>
      </c>
      <c r="K2643" s="1"/>
    </row>
    <row r="2644">
      <c r="A2644" s="2" t="str">
        <f>IFERROR(__xludf.DUMMYFUNCTION("""COMPUTED_VALUE"""),"https://www.facebook.com/virgiliobeau.marvida")</f>
        <v>https://www.facebook.com/virgiliobeau.marvida</v>
      </c>
      <c r="B2644" s="1" t="str">
        <f>IFERROR(__xludf.DUMMYFUNCTION("""COMPUTED_VALUE"""),"Virgilio Marvida")</f>
        <v>Virgilio Marvida</v>
      </c>
      <c r="C2644" s="1" t="str">
        <f>IFERROR(__xludf.DUMMYFUNCTION("""COMPUTED_VALUE"""),"Virgilio")</f>
        <v>Virgilio</v>
      </c>
      <c r="D2644" s="1" t="str">
        <f>IFERROR(__xludf.DUMMYFUNCTION("""COMPUTED_VALUE"""),"Marvida")</f>
        <v>Marvida</v>
      </c>
      <c r="E2644" s="1" t="str">
        <f>IFERROR(__xludf.DUMMYFUNCTION("""COMPUTED_VALUE"""),"Kaumay na issue na yan")</f>
        <v>Kaumay na issue na yan</v>
      </c>
      <c r="F2644" s="1"/>
      <c r="G2644" s="1" t="str">
        <f>IFERROR(__xludf.DUMMYFUNCTION("""COMPUTED_VALUE"""),"3 mos")</f>
        <v>3 mos</v>
      </c>
      <c r="H2644" s="1" t="str">
        <f>IFERROR(__xludf.DUMMYFUNCTION("""COMPUTED_VALUE"""),"comment")</f>
        <v>comment</v>
      </c>
      <c r="I2644" s="2" t="str">
        <f>IFERROR(__xludf.DUMMYFUNCTION("""COMPUTED_VALUE"""),"https://www.facebook.com/rapplerdotcom/photos/a.317154781638645/5594264657260938/")</f>
        <v>https://www.facebook.com/rapplerdotcom/photos/a.317154781638645/5594264657260938/</v>
      </c>
      <c r="J2644" s="1" t="str">
        <f>IFERROR(__xludf.DUMMYFUNCTION("""COMPUTED_VALUE"""),"2022-07-04T15:51:46.030Z")</f>
        <v>2022-07-04T15:51:46.030Z</v>
      </c>
      <c r="K2644" s="1"/>
    </row>
    <row r="2645">
      <c r="A2645" s="2" t="str">
        <f>IFERROR(__xludf.DUMMYFUNCTION("""COMPUTED_VALUE"""),"https://www.facebook.com/danilo.bergonio.9")</f>
        <v>https://www.facebook.com/danilo.bergonio.9</v>
      </c>
      <c r="B2645" s="1" t="str">
        <f>IFERROR(__xludf.DUMMYFUNCTION("""COMPUTED_VALUE"""),"Danilo Bergonio")</f>
        <v>Danilo Bergonio</v>
      </c>
      <c r="C2645" s="1" t="str">
        <f>IFERROR(__xludf.DUMMYFUNCTION("""COMPUTED_VALUE"""),"Danilo")</f>
        <v>Danilo</v>
      </c>
      <c r="D2645" s="1" t="str">
        <f>IFERROR(__xludf.DUMMYFUNCTION("""COMPUTED_VALUE"""),"Bergonio")</f>
        <v>Bergonio</v>
      </c>
      <c r="E2645" s="1" t="str">
        <f>IFERROR(__xludf.DUMMYFUNCTION("""COMPUTED_VALUE"""),"News na ba yan !")</f>
        <v>News na ba yan !</v>
      </c>
      <c r="F2645" s="1"/>
      <c r="G2645" s="1" t="str">
        <f>IFERROR(__xludf.DUMMYFUNCTION("""COMPUTED_VALUE"""),"3 mos")</f>
        <v>3 mos</v>
      </c>
      <c r="H2645" s="1" t="str">
        <f>IFERROR(__xludf.DUMMYFUNCTION("""COMPUTED_VALUE"""),"comment")</f>
        <v>comment</v>
      </c>
      <c r="I2645" s="2" t="str">
        <f>IFERROR(__xludf.DUMMYFUNCTION("""COMPUTED_VALUE"""),"https://www.facebook.com/rapplerdotcom/photos/a.317154781638645/5594264657260938/")</f>
        <v>https://www.facebook.com/rapplerdotcom/photos/a.317154781638645/5594264657260938/</v>
      </c>
      <c r="J2645" s="1" t="str">
        <f>IFERROR(__xludf.DUMMYFUNCTION("""COMPUTED_VALUE"""),"2022-07-04T15:51:46.030Z")</f>
        <v>2022-07-04T15:51:46.030Z</v>
      </c>
      <c r="K2645" s="1"/>
    </row>
    <row r="2646">
      <c r="A2646" s="2" t="str">
        <f>IFERROR(__xludf.DUMMYFUNCTION("""COMPUTED_VALUE"""),"https://www.facebook.com/drebpalomata")</f>
        <v>https://www.facebook.com/drebpalomata</v>
      </c>
      <c r="B2646" s="1" t="str">
        <f>IFERROR(__xludf.DUMMYFUNCTION("""COMPUTED_VALUE"""),"Danreb Palomata")</f>
        <v>Danreb Palomata</v>
      </c>
      <c r="C2646" s="1" t="str">
        <f>IFERROR(__xludf.DUMMYFUNCTION("""COMPUTED_VALUE"""),"Danreb")</f>
        <v>Danreb</v>
      </c>
      <c r="D2646" s="1" t="str">
        <f>IFERROR(__xludf.DUMMYFUNCTION("""COMPUTED_VALUE"""),"Palomata")</f>
        <v>Palomata</v>
      </c>
      <c r="E2646" s="1" t="str">
        <f>IFERROR(__xludf.DUMMYFUNCTION("""COMPUTED_VALUE"""),"Panigurado marami na namang TaBoGo ang nabudol nyan.🤦‍♂️")</f>
        <v>Panigurado marami na namang TaBoGo ang nabudol nyan.🤦‍♂️</v>
      </c>
      <c r="F2646" s="1">
        <f>IFERROR(__xludf.DUMMYFUNCTION("""COMPUTED_VALUE"""),4.0)</f>
        <v>4</v>
      </c>
      <c r="G2646" s="1" t="str">
        <f>IFERROR(__xludf.DUMMYFUNCTION("""COMPUTED_VALUE"""),"3 mos")</f>
        <v>3 mos</v>
      </c>
      <c r="H2646" s="1" t="str">
        <f>IFERROR(__xludf.DUMMYFUNCTION("""COMPUTED_VALUE"""),"comment")</f>
        <v>comment</v>
      </c>
      <c r="I2646" s="2" t="str">
        <f>IFERROR(__xludf.DUMMYFUNCTION("""COMPUTED_VALUE"""),"https://www.facebook.com/rapplerdotcom/photos/a.317154781638645/5594264657260938/")</f>
        <v>https://www.facebook.com/rapplerdotcom/photos/a.317154781638645/5594264657260938/</v>
      </c>
      <c r="J2646" s="1" t="str">
        <f>IFERROR(__xludf.DUMMYFUNCTION("""COMPUTED_VALUE"""),"2022-07-04T15:51:46.030Z")</f>
        <v>2022-07-04T15:51:46.030Z</v>
      </c>
      <c r="K2646" s="1"/>
    </row>
    <row r="2647">
      <c r="A2647" s="2" t="str">
        <f>IFERROR(__xludf.DUMMYFUNCTION("""COMPUTED_VALUE"""),"https://www.facebook.com/jhayahr.santia")</f>
        <v>https://www.facebook.com/jhayahr.santia</v>
      </c>
      <c r="B2647" s="1" t="str">
        <f>IFERROR(__xludf.DUMMYFUNCTION("""COMPUTED_VALUE"""),"William Michael Marikit Santia Jr.")</f>
        <v>William Michael Marikit Santia Jr.</v>
      </c>
      <c r="C2647" s="1" t="str">
        <f>IFERROR(__xludf.DUMMYFUNCTION("""COMPUTED_VALUE"""),"William")</f>
        <v>William</v>
      </c>
      <c r="D2647" s="1" t="str">
        <f>IFERROR(__xludf.DUMMYFUNCTION("""COMPUTED_VALUE"""),"Michael Marikit Santia Jr.")</f>
        <v>Michael Marikit Santia Jr.</v>
      </c>
      <c r="E2647" s="1" t="str">
        <f>IFERROR(__xludf.DUMMYFUNCTION("""COMPUTED_VALUE"""),"May bago pa ba sa kanila..🤭😅")</f>
        <v>May bago pa ba sa kanila..🤭😅</v>
      </c>
      <c r="F2647" s="1">
        <f>IFERROR(__xludf.DUMMYFUNCTION("""COMPUTED_VALUE"""),3.0)</f>
        <v>3</v>
      </c>
      <c r="G2647" s="1" t="str">
        <f>IFERROR(__xludf.DUMMYFUNCTION("""COMPUTED_VALUE"""),"3 mos")</f>
        <v>3 mos</v>
      </c>
      <c r="H2647" s="1" t="str">
        <f>IFERROR(__xludf.DUMMYFUNCTION("""COMPUTED_VALUE"""),"comment")</f>
        <v>comment</v>
      </c>
      <c r="I2647" s="2" t="str">
        <f>IFERROR(__xludf.DUMMYFUNCTION("""COMPUTED_VALUE"""),"https://www.facebook.com/rapplerdotcom/photos/a.317154781638645/5594264657260938/")</f>
        <v>https://www.facebook.com/rapplerdotcom/photos/a.317154781638645/5594264657260938/</v>
      </c>
      <c r="J2647" s="1" t="str">
        <f>IFERROR(__xludf.DUMMYFUNCTION("""COMPUTED_VALUE"""),"2022-07-04T15:51:46.030Z")</f>
        <v>2022-07-04T15:51:46.030Z</v>
      </c>
      <c r="K2647" s="1"/>
    </row>
    <row r="2648">
      <c r="A2648" s="2" t="str">
        <f>IFERROR(__xludf.DUMMYFUNCTION("""COMPUTED_VALUE"""),"https://www.facebook.com/rensoriframos")</f>
        <v>https://www.facebook.com/rensoriframos</v>
      </c>
      <c r="B2648" s="1" t="str">
        <f>IFERROR(__xludf.DUMMYFUNCTION("""COMPUTED_VALUE"""),"Renso Rif Ramos")</f>
        <v>Renso Rif Ramos</v>
      </c>
      <c r="C2648" s="1" t="str">
        <f>IFERROR(__xludf.DUMMYFUNCTION("""COMPUTED_VALUE"""),"Renso")</f>
        <v>Renso</v>
      </c>
      <c r="D2648" s="1" t="str">
        <f>IFERROR(__xludf.DUMMYFUNCTION("""COMPUTED_VALUE"""),"Rif Ramos")</f>
        <v>Rif Ramos</v>
      </c>
      <c r="E2648" s="1" t="str">
        <f>IFERROR(__xludf.DUMMYFUNCTION("""COMPUTED_VALUE"""),"yes bagong tanggap siguro ng sahod")</f>
        <v>yes bagong tanggap siguro ng sahod</v>
      </c>
      <c r="F2648" s="1"/>
      <c r="G2648" s="1" t="str">
        <f>IFERROR(__xludf.DUMMYFUNCTION("""COMPUTED_VALUE"""),"3 mos")</f>
        <v>3 mos</v>
      </c>
      <c r="H2648" s="1" t="str">
        <f>IFERROR(__xludf.DUMMYFUNCTION("""COMPUTED_VALUE"""),"comment")</f>
        <v>comment</v>
      </c>
      <c r="I2648" s="2" t="str">
        <f>IFERROR(__xludf.DUMMYFUNCTION("""COMPUTED_VALUE"""),"https://www.facebook.com/rapplerdotcom/photos/a.317154781638645/5594264657260938/")</f>
        <v>https://www.facebook.com/rapplerdotcom/photos/a.317154781638645/5594264657260938/</v>
      </c>
      <c r="J2648" s="1" t="str">
        <f>IFERROR(__xludf.DUMMYFUNCTION("""COMPUTED_VALUE"""),"2022-07-04T15:51:46.030Z")</f>
        <v>2022-07-04T15:51:46.030Z</v>
      </c>
      <c r="K2648" s="1"/>
    </row>
    <row r="2649">
      <c r="A2649" s="2" t="str">
        <f>IFERROR(__xludf.DUMMYFUNCTION("""COMPUTED_VALUE"""),"https://www.facebook.com/escudero28")</f>
        <v>https://www.facebook.com/escudero28</v>
      </c>
      <c r="B2649" s="1" t="str">
        <f>IFERROR(__xludf.DUMMYFUNCTION("""COMPUTED_VALUE"""),"Waluigi Vince")</f>
        <v>Waluigi Vince</v>
      </c>
      <c r="C2649" s="1" t="str">
        <f>IFERROR(__xludf.DUMMYFUNCTION("""COMPUTED_VALUE"""),"Waluigi")</f>
        <v>Waluigi</v>
      </c>
      <c r="D2649" s="1" t="str">
        <f>IFERROR(__xludf.DUMMYFUNCTION("""COMPUTED_VALUE"""),"Vince")</f>
        <v>Vince</v>
      </c>
      <c r="E2649" s="1" t="str">
        <f>IFERROR(__xludf.DUMMYFUNCTION("""COMPUTED_VALUE"""),"Yung iba dito, ambilis talaga maniwala juskoooo. Gising hoy. HAHAHA")</f>
        <v>Yung iba dito, ambilis talaga maniwala juskoooo. Gising hoy. HAHAHA</v>
      </c>
      <c r="F2649" s="1"/>
      <c r="G2649" s="1" t="str">
        <f>IFERROR(__xludf.DUMMYFUNCTION("""COMPUTED_VALUE"""),"3 mos")</f>
        <v>3 mos</v>
      </c>
      <c r="H2649" s="1" t="str">
        <f>IFERROR(__xludf.DUMMYFUNCTION("""COMPUTED_VALUE"""),"comment")</f>
        <v>comment</v>
      </c>
      <c r="I2649" s="2" t="str">
        <f>IFERROR(__xludf.DUMMYFUNCTION("""COMPUTED_VALUE"""),"https://www.facebook.com/rapplerdotcom/photos/a.317154781638645/5594264657260938/")</f>
        <v>https://www.facebook.com/rapplerdotcom/photos/a.317154781638645/5594264657260938/</v>
      </c>
      <c r="J2649" s="1" t="str">
        <f>IFERROR(__xludf.DUMMYFUNCTION("""COMPUTED_VALUE"""),"2022-07-04T15:51:46.030Z")</f>
        <v>2022-07-04T15:51:46.030Z</v>
      </c>
      <c r="K2649" s="1"/>
    </row>
    <row r="2650">
      <c r="A2650" s="2" t="str">
        <f>IFERROR(__xludf.DUMMYFUNCTION("""COMPUTED_VALUE"""),"https://www.facebook.com/tony.abulencia.1")</f>
        <v>https://www.facebook.com/tony.abulencia.1</v>
      </c>
      <c r="B2650" s="1" t="str">
        <f>IFERROR(__xludf.DUMMYFUNCTION("""COMPUTED_VALUE"""),"Tony Abulencia")</f>
        <v>Tony Abulencia</v>
      </c>
      <c r="C2650" s="1" t="str">
        <f>IFERROR(__xludf.DUMMYFUNCTION("""COMPUTED_VALUE"""),"Tony")</f>
        <v>Tony</v>
      </c>
      <c r="D2650" s="1" t="str">
        <f>IFERROR(__xludf.DUMMYFUNCTION("""COMPUTED_VALUE"""),"Abulencia")</f>
        <v>Abulencia</v>
      </c>
      <c r="E2650" s="1" t="str">
        <f>IFERROR(__xludf.DUMMYFUNCTION("""COMPUTED_VALUE"""),"#NaMarcos na naman tayo. 🤣 #NeverAgain #NeverForget")</f>
        <v>#NaMarcos na naman tayo. 🤣 #NeverAgain #NeverForget</v>
      </c>
      <c r="F2650" s="1">
        <f>IFERROR(__xludf.DUMMYFUNCTION("""COMPUTED_VALUE"""),1.0)</f>
        <v>1</v>
      </c>
      <c r="G2650" s="1" t="str">
        <f>IFERROR(__xludf.DUMMYFUNCTION("""COMPUTED_VALUE"""),"3 mos")</f>
        <v>3 mos</v>
      </c>
      <c r="H2650" s="1" t="str">
        <f>IFERROR(__xludf.DUMMYFUNCTION("""COMPUTED_VALUE"""),"comment")</f>
        <v>comment</v>
      </c>
      <c r="I2650" s="2" t="str">
        <f>IFERROR(__xludf.DUMMYFUNCTION("""COMPUTED_VALUE"""),"https://www.facebook.com/rapplerdotcom/photos/a.317154781638645/5594264657260938/")</f>
        <v>https://www.facebook.com/rapplerdotcom/photos/a.317154781638645/5594264657260938/</v>
      </c>
      <c r="J2650" s="1" t="str">
        <f>IFERROR(__xludf.DUMMYFUNCTION("""COMPUTED_VALUE"""),"2022-07-04T15:51:46.030Z")</f>
        <v>2022-07-04T15:51:46.030Z</v>
      </c>
      <c r="K2650" s="1"/>
    </row>
    <row r="2651">
      <c r="A2651" s="2" t="str">
        <f>IFERROR(__xludf.DUMMYFUNCTION("""COMPUTED_VALUE"""),"https://www.facebook.com/ailen.oneva")</f>
        <v>https://www.facebook.com/ailen.oneva</v>
      </c>
      <c r="B2651" s="1" t="str">
        <f>IFERROR(__xludf.DUMMYFUNCTION("""COMPUTED_VALUE"""),"Ma Aileen Santos")</f>
        <v>Ma Aileen Santos</v>
      </c>
      <c r="C2651" s="1" t="str">
        <f>IFERROR(__xludf.DUMMYFUNCTION("""COMPUTED_VALUE"""),"Ma")</f>
        <v>Ma</v>
      </c>
      <c r="D2651" s="1" t="str">
        <f>IFERROR(__xludf.DUMMYFUNCTION("""COMPUTED_VALUE"""),"Aileen Santos")</f>
        <v>Aileen Santos</v>
      </c>
      <c r="E2651" s="1" t="str">
        <f>IFERROR(__xludf.DUMMYFUNCTION("""COMPUTED_VALUE"""),"Tlgang PULAhan...")</f>
        <v>Tlgang PULAhan...</v>
      </c>
      <c r="F2651" s="1"/>
      <c r="G2651" s="1" t="str">
        <f>IFERROR(__xludf.DUMMYFUNCTION("""COMPUTED_VALUE"""),"3 mos")</f>
        <v>3 mos</v>
      </c>
      <c r="H2651" s="1" t="str">
        <f>IFERROR(__xludf.DUMMYFUNCTION("""COMPUTED_VALUE"""),"comment")</f>
        <v>comment</v>
      </c>
      <c r="I2651" s="2" t="str">
        <f>IFERROR(__xludf.DUMMYFUNCTION("""COMPUTED_VALUE"""),"https://www.facebook.com/rapplerdotcom/photos/a.317154781638645/5594264657260938/")</f>
        <v>https://www.facebook.com/rapplerdotcom/photos/a.317154781638645/5594264657260938/</v>
      </c>
      <c r="J2651" s="1" t="str">
        <f>IFERROR(__xludf.DUMMYFUNCTION("""COMPUTED_VALUE"""),"2022-07-04T15:51:46.030Z")</f>
        <v>2022-07-04T15:51:46.030Z</v>
      </c>
      <c r="K2651" s="1"/>
    </row>
    <row r="2652">
      <c r="A2652" s="2" t="str">
        <f>IFERROR(__xludf.DUMMYFUNCTION("""COMPUTED_VALUE"""),"https://www.facebook.com/fortunato.salas.9")</f>
        <v>https://www.facebook.com/fortunato.salas.9</v>
      </c>
      <c r="B2652" s="1" t="str">
        <f>IFERROR(__xludf.DUMMYFUNCTION("""COMPUTED_VALUE"""),"Leopoldo Mabilangan")</f>
        <v>Leopoldo Mabilangan</v>
      </c>
      <c r="C2652" s="1" t="str">
        <f>IFERROR(__xludf.DUMMYFUNCTION("""COMPUTED_VALUE"""),"Leopoldo")</f>
        <v>Leopoldo</v>
      </c>
      <c r="D2652" s="1" t="str">
        <f>IFERROR(__xludf.DUMMYFUNCTION("""COMPUTED_VALUE"""),"Mabilangan")</f>
        <v>Mabilangan</v>
      </c>
      <c r="E2652" s="1" t="str">
        <f>IFERROR(__xludf.DUMMYFUNCTION("""COMPUTED_VALUE"""),"Si toni lang masaya busog ang bulsa, kayo nganga")</f>
        <v>Si toni lang masaya busog ang bulsa, kayo nganga</v>
      </c>
      <c r="F2652" s="1">
        <f>IFERROR(__xludf.DUMMYFUNCTION("""COMPUTED_VALUE"""),1.0)</f>
        <v>1</v>
      </c>
      <c r="G2652" s="1" t="str">
        <f>IFERROR(__xludf.DUMMYFUNCTION("""COMPUTED_VALUE"""),"3 mos")</f>
        <v>3 mos</v>
      </c>
      <c r="H2652" s="1" t="str">
        <f>IFERROR(__xludf.DUMMYFUNCTION("""COMPUTED_VALUE"""),"comment")</f>
        <v>comment</v>
      </c>
      <c r="I2652" s="2" t="str">
        <f>IFERROR(__xludf.DUMMYFUNCTION("""COMPUTED_VALUE"""),"https://www.facebook.com/rapplerdotcom/photos/a.317154781638645/5594264657260938/")</f>
        <v>https://www.facebook.com/rapplerdotcom/photos/a.317154781638645/5594264657260938/</v>
      </c>
      <c r="J2652" s="1" t="str">
        <f>IFERROR(__xludf.DUMMYFUNCTION("""COMPUTED_VALUE"""),"2022-07-04T15:51:46.030Z")</f>
        <v>2022-07-04T15:51:46.030Z</v>
      </c>
      <c r="K2652" s="1"/>
    </row>
    <row r="2653">
      <c r="A2653" s="2" t="str">
        <f>IFERROR(__xludf.DUMMYFUNCTION("""COMPUTED_VALUE"""),"https://www.facebook.com/gemrose.rescobactol")</f>
        <v>https://www.facebook.com/gemrose.rescobactol</v>
      </c>
      <c r="B2653" s="1" t="str">
        <f>IFERROR(__xludf.DUMMYFUNCTION("""COMPUTED_VALUE"""),"Gemrose Resco Bactol")</f>
        <v>Gemrose Resco Bactol</v>
      </c>
      <c r="C2653" s="1" t="str">
        <f>IFERROR(__xludf.DUMMYFUNCTION("""COMPUTED_VALUE"""),"Gemrose")</f>
        <v>Gemrose</v>
      </c>
      <c r="D2653" s="1" t="str">
        <f>IFERROR(__xludf.DUMMYFUNCTION("""COMPUTED_VALUE"""),"Resco Bactol")</f>
        <v>Resco Bactol</v>
      </c>
      <c r="E2653" s="1" t="str">
        <f>IFERROR(__xludf.DUMMYFUNCTION("""COMPUTED_VALUE"""),"Marco Jalgalado Iglesias okay lang parehas Lang naman po kayo")</f>
        <v>Marco Jalgalado Iglesias okay lang parehas Lang naman po kayo</v>
      </c>
      <c r="F2653" s="1"/>
      <c r="G2653" s="1" t="str">
        <f>IFERROR(__xludf.DUMMYFUNCTION("""COMPUTED_VALUE"""),"3 mos")</f>
        <v>3 mos</v>
      </c>
      <c r="H2653" s="1" t="str">
        <f>IFERROR(__xludf.DUMMYFUNCTION("""COMPUTED_VALUE"""),"reply")</f>
        <v>reply</v>
      </c>
      <c r="I2653" s="2" t="str">
        <f>IFERROR(__xludf.DUMMYFUNCTION("""COMPUTED_VALUE"""),"https://www.facebook.com/rapplerdotcom/photos/a.317154781638645/5594264657260938/")</f>
        <v>https://www.facebook.com/rapplerdotcom/photos/a.317154781638645/5594264657260938/</v>
      </c>
      <c r="J2653" s="1" t="str">
        <f>IFERROR(__xludf.DUMMYFUNCTION("""COMPUTED_VALUE"""),"2022-07-04T15:51:46.030Z")</f>
        <v>2022-07-04T15:51:46.030Z</v>
      </c>
      <c r="K2653" s="1"/>
    </row>
    <row r="2654">
      <c r="A2654" s="2" t="str">
        <f>IFERROR(__xludf.DUMMYFUNCTION("""COMPUTED_VALUE"""),"https://www.facebook.com/tochie.gray.5")</f>
        <v>https://www.facebook.com/tochie.gray.5</v>
      </c>
      <c r="B2654" s="1" t="str">
        <f>IFERROR(__xludf.DUMMYFUNCTION("""COMPUTED_VALUE"""),"Tochie Gray")</f>
        <v>Tochie Gray</v>
      </c>
      <c r="C2654" s="1" t="str">
        <f>IFERROR(__xludf.DUMMYFUNCTION("""COMPUTED_VALUE"""),"Tochie")</f>
        <v>Tochie</v>
      </c>
      <c r="D2654" s="1" t="str">
        <f>IFERROR(__xludf.DUMMYFUNCTION("""COMPUTED_VALUE"""),"Gray")</f>
        <v>Gray</v>
      </c>
      <c r="E2654" s="1" t="str">
        <f>IFERROR(__xludf.DUMMYFUNCTION("""COMPUTED_VALUE"""),"BUTATA na nman ang Truth Evasion tactics ng mga Budoleros...😂😅")</f>
        <v>BUTATA na nman ang Truth Evasion tactics ng mga Budoleros...😂😅</v>
      </c>
      <c r="F2654" s="1">
        <f>IFERROR(__xludf.DUMMYFUNCTION("""COMPUTED_VALUE"""),5.0)</f>
        <v>5</v>
      </c>
      <c r="G2654" s="1" t="str">
        <f>IFERROR(__xludf.DUMMYFUNCTION("""COMPUTED_VALUE"""),"3 mos")</f>
        <v>3 mos</v>
      </c>
      <c r="H2654" s="1" t="str">
        <f>IFERROR(__xludf.DUMMYFUNCTION("""COMPUTED_VALUE"""),"comment")</f>
        <v>comment</v>
      </c>
      <c r="I2654" s="2" t="str">
        <f>IFERROR(__xludf.DUMMYFUNCTION("""COMPUTED_VALUE"""),"https://www.facebook.com/rapplerdotcom/photos/a.317154781638645/5594264657260938/")</f>
        <v>https://www.facebook.com/rapplerdotcom/photos/a.317154781638645/5594264657260938/</v>
      </c>
      <c r="J2654" s="1" t="str">
        <f>IFERROR(__xludf.DUMMYFUNCTION("""COMPUTED_VALUE"""),"2022-07-04T15:51:46.030Z")</f>
        <v>2022-07-04T15:51:46.030Z</v>
      </c>
      <c r="K2654" s="1"/>
    </row>
    <row r="2655">
      <c r="A2655" s="2" t="str">
        <f>IFERROR(__xludf.DUMMYFUNCTION("""COMPUTED_VALUE"""),"https://www.facebook.com/ariel.alcantaraofficial.09")</f>
        <v>https://www.facebook.com/ariel.alcantaraofficial.09</v>
      </c>
      <c r="B2655" s="1" t="str">
        <f>IFERROR(__xludf.DUMMYFUNCTION("""COMPUTED_VALUE"""),"Ariel Alcantara")</f>
        <v>Ariel Alcantara</v>
      </c>
      <c r="C2655" s="1" t="str">
        <f>IFERROR(__xludf.DUMMYFUNCTION("""COMPUTED_VALUE"""),"Ariel")</f>
        <v>Ariel</v>
      </c>
      <c r="D2655" s="1" t="str">
        <f>IFERROR(__xludf.DUMMYFUNCTION("""COMPUTED_VALUE"""),"Alcantara")</f>
        <v>Alcantara</v>
      </c>
      <c r="E2655" s="1" t="str">
        <f>IFERROR(__xludf.DUMMYFUNCTION("""COMPUTED_VALUE"""),"Grabe ang sipag ng social media team nila. Lahat na lang ba talaga nakaw? 😂")</f>
        <v>Grabe ang sipag ng social media team nila. Lahat na lang ba talaga nakaw? 😂</v>
      </c>
      <c r="F2655" s="1"/>
      <c r="G2655" s="1" t="str">
        <f>IFERROR(__xludf.DUMMYFUNCTION("""COMPUTED_VALUE"""),"3 mos")</f>
        <v>3 mos</v>
      </c>
      <c r="H2655" s="1" t="str">
        <f>IFERROR(__xludf.DUMMYFUNCTION("""COMPUTED_VALUE"""),"comment")</f>
        <v>comment</v>
      </c>
      <c r="I2655" s="2" t="str">
        <f>IFERROR(__xludf.DUMMYFUNCTION("""COMPUTED_VALUE"""),"https://www.facebook.com/rapplerdotcom/photos/a.317154781638645/5594264657260938/")</f>
        <v>https://www.facebook.com/rapplerdotcom/photos/a.317154781638645/5594264657260938/</v>
      </c>
      <c r="J2655" s="1" t="str">
        <f>IFERROR(__xludf.DUMMYFUNCTION("""COMPUTED_VALUE"""),"2022-07-04T15:51:46.030Z")</f>
        <v>2022-07-04T15:51:46.030Z</v>
      </c>
      <c r="K2655" s="1"/>
    </row>
    <row r="2656">
      <c r="A2656" s="2" t="str">
        <f>IFERROR(__xludf.DUMMYFUNCTION("""COMPUTED_VALUE"""),"https://www.facebook.com/khrix.mirasol")</f>
        <v>https://www.facebook.com/khrix.mirasol</v>
      </c>
      <c r="B2656" s="1" t="str">
        <f>IFERROR(__xludf.DUMMYFUNCTION("""COMPUTED_VALUE"""),"Khrix Mirasol")</f>
        <v>Khrix Mirasol</v>
      </c>
      <c r="C2656" s="1" t="str">
        <f>IFERROR(__xludf.DUMMYFUNCTION("""COMPUTED_VALUE"""),"Khrix")</f>
        <v>Khrix</v>
      </c>
      <c r="D2656" s="1" t="str">
        <f>IFERROR(__xludf.DUMMYFUNCTION("""COMPUTED_VALUE"""),"Mirasol")</f>
        <v>Mirasol</v>
      </c>
      <c r="E2656" s="1" t="str">
        <f>IFERROR(__xludf.DUMMYFUNCTION("""COMPUTED_VALUE"""),"Pag inggitpikit🤣🤣🤣🤣")</f>
        <v>Pag inggitpikit🤣🤣🤣🤣</v>
      </c>
      <c r="F2656" s="1">
        <f>IFERROR(__xludf.DUMMYFUNCTION("""COMPUTED_VALUE"""),1.0)</f>
        <v>1</v>
      </c>
      <c r="G2656" s="1" t="str">
        <f>IFERROR(__xludf.DUMMYFUNCTION("""COMPUTED_VALUE"""),"3 mos")</f>
        <v>3 mos</v>
      </c>
      <c r="H2656" s="1" t="str">
        <f>IFERROR(__xludf.DUMMYFUNCTION("""COMPUTED_VALUE"""),"comment")</f>
        <v>comment</v>
      </c>
      <c r="I2656" s="2" t="str">
        <f>IFERROR(__xludf.DUMMYFUNCTION("""COMPUTED_VALUE"""),"https://www.facebook.com/rapplerdotcom/photos/a.317154781638645/5594264657260938/")</f>
        <v>https://www.facebook.com/rapplerdotcom/photos/a.317154781638645/5594264657260938/</v>
      </c>
      <c r="J2656" s="1" t="str">
        <f>IFERROR(__xludf.DUMMYFUNCTION("""COMPUTED_VALUE"""),"2022-07-04T15:51:46.030Z")</f>
        <v>2022-07-04T15:51:46.030Z</v>
      </c>
      <c r="K2656" s="1"/>
    </row>
    <row r="2657">
      <c r="A2657" s="2" t="str">
        <f>IFERROR(__xludf.DUMMYFUNCTION("""COMPUTED_VALUE"""),"https://www.facebook.com/anniedane.alfonso")</f>
        <v>https://www.facebook.com/anniedane.alfonso</v>
      </c>
      <c r="B2657" s="1" t="str">
        <f>IFERROR(__xludf.DUMMYFUNCTION("""COMPUTED_VALUE"""),"AN AN")</f>
        <v>AN AN</v>
      </c>
      <c r="C2657" s="1" t="str">
        <f>IFERROR(__xludf.DUMMYFUNCTION("""COMPUTED_VALUE"""),"AN")</f>
        <v>AN</v>
      </c>
      <c r="D2657" s="1" t="str">
        <f>IFERROR(__xludf.DUMMYFUNCTION("""COMPUTED_VALUE"""),"AN")</f>
        <v>AN</v>
      </c>
      <c r="E2657" s="1" t="str">
        <f>IFERROR(__xludf.DUMMYFUNCTION("""COMPUTED_VALUE"""),"pati ba naman chant issue nila🤣🤣🤣")</f>
        <v>pati ba naman chant issue nila🤣🤣🤣</v>
      </c>
      <c r="F2657" s="1">
        <f>IFERROR(__xludf.DUMMYFUNCTION("""COMPUTED_VALUE"""),1.0)</f>
        <v>1</v>
      </c>
      <c r="G2657" s="1" t="str">
        <f>IFERROR(__xludf.DUMMYFUNCTION("""COMPUTED_VALUE"""),"3 mos")</f>
        <v>3 mos</v>
      </c>
      <c r="H2657" s="1" t="str">
        <f>IFERROR(__xludf.DUMMYFUNCTION("""COMPUTED_VALUE"""),"comment")</f>
        <v>comment</v>
      </c>
      <c r="I2657" s="2" t="str">
        <f>IFERROR(__xludf.DUMMYFUNCTION("""COMPUTED_VALUE"""),"https://www.facebook.com/rapplerdotcom/photos/a.317154781638645/5594264657260938/")</f>
        <v>https://www.facebook.com/rapplerdotcom/photos/a.317154781638645/5594264657260938/</v>
      </c>
      <c r="J2657" s="1" t="str">
        <f>IFERROR(__xludf.DUMMYFUNCTION("""COMPUTED_VALUE"""),"2022-07-04T15:51:46.030Z")</f>
        <v>2022-07-04T15:51:46.030Z</v>
      </c>
      <c r="K2657" s="1"/>
    </row>
    <row r="2658">
      <c r="A2658" s="2" t="str">
        <f>IFERROR(__xludf.DUMMYFUNCTION("""COMPUTED_VALUE"""),"https://www.facebook.com/profile.php?id=100077657222039")</f>
        <v>https://www.facebook.com/profile.php?id=100077657222039</v>
      </c>
      <c r="B2658" s="1" t="str">
        <f>IFERROR(__xludf.DUMMYFUNCTION("""COMPUTED_VALUE"""),"Yhan Gabotero")</f>
        <v>Yhan Gabotero</v>
      </c>
      <c r="C2658" s="1" t="str">
        <f>IFERROR(__xludf.DUMMYFUNCTION("""COMPUTED_VALUE"""),"Yhan")</f>
        <v>Yhan</v>
      </c>
      <c r="D2658" s="1" t="str">
        <f>IFERROR(__xludf.DUMMYFUNCTION("""COMPUTED_VALUE"""),"Gabotero")</f>
        <v>Gabotero</v>
      </c>
      <c r="E2658" s="1" t="str">
        <f>IFERROR(__xludf.DUMMYFUNCTION("""COMPUTED_VALUE"""),"AN AN oh diba ganyan sila.")</f>
        <v>AN AN oh diba ganyan sila.</v>
      </c>
      <c r="F2658" s="1">
        <f>IFERROR(__xludf.DUMMYFUNCTION("""COMPUTED_VALUE"""),1.0)</f>
        <v>1</v>
      </c>
      <c r="G2658" s="1" t="str">
        <f>IFERROR(__xludf.DUMMYFUNCTION("""COMPUTED_VALUE"""),"3 mos")</f>
        <v>3 mos</v>
      </c>
      <c r="H2658" s="1" t="str">
        <f>IFERROR(__xludf.DUMMYFUNCTION("""COMPUTED_VALUE"""),"reply")</f>
        <v>reply</v>
      </c>
      <c r="I2658" s="2" t="str">
        <f>IFERROR(__xludf.DUMMYFUNCTION("""COMPUTED_VALUE"""),"https://www.facebook.com/rapplerdotcom/photos/a.317154781638645/5594264657260938/")</f>
        <v>https://www.facebook.com/rapplerdotcom/photos/a.317154781638645/5594264657260938/</v>
      </c>
      <c r="J2658" s="1" t="str">
        <f>IFERROR(__xludf.DUMMYFUNCTION("""COMPUTED_VALUE"""),"2022-07-04T15:51:46.030Z")</f>
        <v>2022-07-04T15:51:46.030Z</v>
      </c>
      <c r="K2658" s="1"/>
    </row>
    <row r="2659">
      <c r="A2659" s="2" t="str">
        <f>IFERROR(__xludf.DUMMYFUNCTION("""COMPUTED_VALUE"""),"https://www.facebook.com/anniedane.alfonso")</f>
        <v>https://www.facebook.com/anniedane.alfonso</v>
      </c>
      <c r="B2659" s="1" t="str">
        <f>IFERROR(__xludf.DUMMYFUNCTION("""COMPUTED_VALUE"""),"AN AN")</f>
        <v>AN AN</v>
      </c>
      <c r="C2659" s="1" t="str">
        <f>IFERROR(__xludf.DUMMYFUNCTION("""COMPUTED_VALUE"""),"AN")</f>
        <v>AN</v>
      </c>
      <c r="D2659" s="1" t="str">
        <f>IFERROR(__xludf.DUMMYFUNCTION("""COMPUTED_VALUE"""),"AN")</f>
        <v>AN</v>
      </c>
      <c r="E2659" s="1" t="str">
        <f>IFERROR(__xludf.DUMMYFUNCTION("""COMPUTED_VALUE"""),"Yhan Gabotero may maipanira lang.🤣🤣")</f>
        <v>Yhan Gabotero may maipanira lang.🤣🤣</v>
      </c>
      <c r="F2659" s="1"/>
      <c r="G2659" s="1" t="str">
        <f>IFERROR(__xludf.DUMMYFUNCTION("""COMPUTED_VALUE"""),"3 mos")</f>
        <v>3 mos</v>
      </c>
      <c r="H2659" s="1" t="str">
        <f>IFERROR(__xludf.DUMMYFUNCTION("""COMPUTED_VALUE"""),"reply")</f>
        <v>reply</v>
      </c>
      <c r="I2659" s="2" t="str">
        <f>IFERROR(__xludf.DUMMYFUNCTION("""COMPUTED_VALUE"""),"https://www.facebook.com/rapplerdotcom/photos/a.317154781638645/5594264657260938/")</f>
        <v>https://www.facebook.com/rapplerdotcom/photos/a.317154781638645/5594264657260938/</v>
      </c>
      <c r="J2659" s="1" t="str">
        <f>IFERROR(__xludf.DUMMYFUNCTION("""COMPUTED_VALUE"""),"2022-07-04T15:51:46.030Z")</f>
        <v>2022-07-04T15:51:46.030Z</v>
      </c>
      <c r="K2659" s="1"/>
    </row>
    <row r="2660">
      <c r="A2660" s="2" t="str">
        <f>IFERROR(__xludf.DUMMYFUNCTION("""COMPUTED_VALUE"""),"https://www.facebook.com/profile.php?id=100077657222039")</f>
        <v>https://www.facebook.com/profile.php?id=100077657222039</v>
      </c>
      <c r="B2660" s="1" t="str">
        <f>IFERROR(__xludf.DUMMYFUNCTION("""COMPUTED_VALUE"""),"Yhan Gabotero")</f>
        <v>Yhan Gabotero</v>
      </c>
      <c r="C2660" s="1" t="str">
        <f>IFERROR(__xludf.DUMMYFUNCTION("""COMPUTED_VALUE"""),"Yhan")</f>
        <v>Yhan</v>
      </c>
      <c r="D2660" s="1" t="str">
        <f>IFERROR(__xludf.DUMMYFUNCTION("""COMPUTED_VALUE"""),"Gabotero")</f>
        <v>Gabotero</v>
      </c>
      <c r="E2660" s="1" t="str">
        <f>IFERROR(__xludf.DUMMYFUNCTION("""COMPUTED_VALUE"""),"AN AN kaya nga. Lahat na lang ginagwan issue.")</f>
        <v>AN AN kaya nga. Lahat na lang ginagwan issue.</v>
      </c>
      <c r="F2660" s="1">
        <f>IFERROR(__xludf.DUMMYFUNCTION("""COMPUTED_VALUE"""),1.0)</f>
        <v>1</v>
      </c>
      <c r="G2660" s="1" t="str">
        <f>IFERROR(__xludf.DUMMYFUNCTION("""COMPUTED_VALUE"""),"3 mos")</f>
        <v>3 mos</v>
      </c>
      <c r="H2660" s="1" t="str">
        <f>IFERROR(__xludf.DUMMYFUNCTION("""COMPUTED_VALUE"""),"reply")</f>
        <v>reply</v>
      </c>
      <c r="I2660" s="2" t="str">
        <f>IFERROR(__xludf.DUMMYFUNCTION("""COMPUTED_VALUE"""),"https://www.facebook.com/rapplerdotcom/photos/a.317154781638645/5594264657260938/")</f>
        <v>https://www.facebook.com/rapplerdotcom/photos/a.317154781638645/5594264657260938/</v>
      </c>
      <c r="J2660" s="1" t="str">
        <f>IFERROR(__xludf.DUMMYFUNCTION("""COMPUTED_VALUE"""),"2022-07-04T15:51:46.030Z")</f>
        <v>2022-07-04T15:51:46.030Z</v>
      </c>
      <c r="K2660" s="1"/>
    </row>
    <row r="2661">
      <c r="A2661" s="2" t="str">
        <f>IFERROR(__xludf.DUMMYFUNCTION("""COMPUTED_VALUE"""),"https://www.facebook.com/rodrigoduterteismypwesident")</f>
        <v>https://www.facebook.com/rodrigoduterteismypwesident</v>
      </c>
      <c r="B2661" s="1" t="str">
        <f>IFERROR(__xludf.DUMMYFUNCTION("""COMPUTED_VALUE"""),"Marlon Dizon")</f>
        <v>Marlon Dizon</v>
      </c>
      <c r="C2661" s="1" t="str">
        <f>IFERROR(__xludf.DUMMYFUNCTION("""COMPUTED_VALUE"""),"Marlon")</f>
        <v>Marlon</v>
      </c>
      <c r="D2661" s="1" t="str">
        <f>IFERROR(__xludf.DUMMYFUNCTION("""COMPUTED_VALUE"""),"Dizon")</f>
        <v>Dizon</v>
      </c>
      <c r="E2661" s="1" t="str">
        <f>IFERROR(__xludf.DUMMYFUNCTION("""COMPUTED_VALUE"""),"sila lang ang may drone na umaabot ng Indonesia 😂")</f>
        <v>sila lang ang may drone na umaabot ng Indonesia 😂</v>
      </c>
      <c r="F2661" s="1">
        <f>IFERROR(__xludf.DUMMYFUNCTION("""COMPUTED_VALUE"""),8.0)</f>
        <v>8</v>
      </c>
      <c r="G2661" s="1" t="str">
        <f>IFERROR(__xludf.DUMMYFUNCTION("""COMPUTED_VALUE"""),"3 mos")</f>
        <v>3 mos</v>
      </c>
      <c r="H2661" s="1" t="str">
        <f>IFERROR(__xludf.DUMMYFUNCTION("""COMPUTED_VALUE"""),"comment")</f>
        <v>comment</v>
      </c>
      <c r="I2661" s="2" t="str">
        <f>IFERROR(__xludf.DUMMYFUNCTION("""COMPUTED_VALUE"""),"https://www.facebook.com/rapplerdotcom/photos/a.317154781638645/5594264657260938/")</f>
        <v>https://www.facebook.com/rapplerdotcom/photos/a.317154781638645/5594264657260938/</v>
      </c>
      <c r="J2661" s="1" t="str">
        <f>IFERROR(__xludf.DUMMYFUNCTION("""COMPUTED_VALUE"""),"2022-07-04T15:51:46.030Z")</f>
        <v>2022-07-04T15:51:46.030Z</v>
      </c>
      <c r="K2661" s="1"/>
    </row>
    <row r="2662">
      <c r="A2662" s="2" t="str">
        <f>IFERROR(__xludf.DUMMYFUNCTION("""COMPUTED_VALUE"""),"https://www.facebook.com/drea.parcon")</f>
        <v>https://www.facebook.com/drea.parcon</v>
      </c>
      <c r="B2662" s="1" t="str">
        <f>IFERROR(__xludf.DUMMYFUNCTION("""COMPUTED_VALUE"""),"Drea Parcon")</f>
        <v>Drea Parcon</v>
      </c>
      <c r="C2662" s="1" t="str">
        <f>IFERROR(__xludf.DUMMYFUNCTION("""COMPUTED_VALUE"""),"Drea")</f>
        <v>Drea</v>
      </c>
      <c r="D2662" s="1" t="str">
        <f>IFERROR(__xludf.DUMMYFUNCTION("""COMPUTED_VALUE"""),"Parcon")</f>
        <v>Parcon</v>
      </c>
      <c r="E2662" s="1" t="str">
        <f>IFERROR(__xludf.DUMMYFUNCTION("""COMPUTED_VALUE"""),"Paulit2?")</f>
        <v>Paulit2?</v>
      </c>
      <c r="F2662" s="1">
        <f>IFERROR(__xludf.DUMMYFUNCTION("""COMPUTED_VALUE"""),1.0)</f>
        <v>1</v>
      </c>
      <c r="G2662" s="1" t="str">
        <f>IFERROR(__xludf.DUMMYFUNCTION("""COMPUTED_VALUE"""),"3 mos")</f>
        <v>3 mos</v>
      </c>
      <c r="H2662" s="1" t="str">
        <f>IFERROR(__xludf.DUMMYFUNCTION("""COMPUTED_VALUE"""),"comment")</f>
        <v>comment</v>
      </c>
      <c r="I2662" s="2" t="str">
        <f>IFERROR(__xludf.DUMMYFUNCTION("""COMPUTED_VALUE"""),"https://www.facebook.com/rapplerdotcom/photos/a.317154781638645/5594264657260938/")</f>
        <v>https://www.facebook.com/rapplerdotcom/photos/a.317154781638645/5594264657260938/</v>
      </c>
      <c r="J2662" s="1" t="str">
        <f>IFERROR(__xludf.DUMMYFUNCTION("""COMPUTED_VALUE"""),"2022-07-04T15:51:46.030Z")</f>
        <v>2022-07-04T15:51:46.030Z</v>
      </c>
      <c r="K2662" s="1"/>
    </row>
    <row r="2663">
      <c r="A2663" s="2" t="str">
        <f>IFERROR(__xludf.DUMMYFUNCTION("""COMPUTED_VALUE"""),"https://www.facebook.com/rene.panganiban.31")</f>
        <v>https://www.facebook.com/rene.panganiban.31</v>
      </c>
      <c r="B2663" s="1" t="str">
        <f>IFERROR(__xludf.DUMMYFUNCTION("""COMPUTED_VALUE"""),"Rene Panganiban")</f>
        <v>Rene Panganiban</v>
      </c>
      <c r="C2663" s="1" t="str">
        <f>IFERROR(__xludf.DUMMYFUNCTION("""COMPUTED_VALUE"""),"Rene")</f>
        <v>Rene</v>
      </c>
      <c r="D2663" s="1" t="str">
        <f>IFERROR(__xludf.DUMMYFUNCTION("""COMPUTED_VALUE"""),"Panganiban")</f>
        <v>Panganiban</v>
      </c>
      <c r="E2663" s="1" t="str">
        <f>IFERROR(__xludf.DUMMYFUNCTION("""COMPUTED_VALUE"""),"bawal ang drone tas biglang may shot na hahahahahaha")</f>
        <v>bawal ang drone tas biglang may shot na hahahahahaha</v>
      </c>
      <c r="F2663" s="1">
        <f>IFERROR(__xludf.DUMMYFUNCTION("""COMPUTED_VALUE"""),2.0)</f>
        <v>2</v>
      </c>
      <c r="G2663" s="1" t="str">
        <f>IFERROR(__xludf.DUMMYFUNCTION("""COMPUTED_VALUE"""),"3 mos")</f>
        <v>3 mos</v>
      </c>
      <c r="H2663" s="1" t="str">
        <f>IFERROR(__xludf.DUMMYFUNCTION("""COMPUTED_VALUE"""),"comment")</f>
        <v>comment</v>
      </c>
      <c r="I2663" s="2" t="str">
        <f>IFERROR(__xludf.DUMMYFUNCTION("""COMPUTED_VALUE"""),"https://www.facebook.com/rapplerdotcom/photos/a.317154781638645/5594264657260938/")</f>
        <v>https://www.facebook.com/rapplerdotcom/photos/a.317154781638645/5594264657260938/</v>
      </c>
      <c r="J2663" s="1" t="str">
        <f>IFERROR(__xludf.DUMMYFUNCTION("""COMPUTED_VALUE"""),"2022-07-04T15:51:46.030Z")</f>
        <v>2022-07-04T15:51:46.030Z</v>
      </c>
      <c r="K2663" s="1"/>
    </row>
    <row r="2664">
      <c r="A2664" s="2" t="str">
        <f>IFERROR(__xludf.DUMMYFUNCTION("""COMPUTED_VALUE"""),"https://www.facebook.com/essieangcaya")</f>
        <v>https://www.facebook.com/essieangcaya</v>
      </c>
      <c r="B2664" s="1" t="str">
        <f>IFERROR(__xludf.DUMMYFUNCTION("""COMPUTED_VALUE"""),"Essie Baybay Angcaya")</f>
        <v>Essie Baybay Angcaya</v>
      </c>
      <c r="C2664" s="1" t="str">
        <f>IFERROR(__xludf.DUMMYFUNCTION("""COMPUTED_VALUE"""),"Essie")</f>
        <v>Essie</v>
      </c>
      <c r="D2664" s="1" t="str">
        <f>IFERROR(__xludf.DUMMYFUNCTION("""COMPUTED_VALUE"""),"Baybay Angcaya")</f>
        <v>Baybay Angcaya</v>
      </c>
      <c r="E2664" s="1" t="str">
        <f>IFERROR(__xludf.DUMMYFUNCTION("""COMPUTED_VALUE"""),"Asa pa!! 😂")</f>
        <v>Asa pa!! 😂</v>
      </c>
      <c r="F2664" s="1"/>
      <c r="G2664" s="1" t="str">
        <f>IFERROR(__xludf.DUMMYFUNCTION("""COMPUTED_VALUE"""),"3 mos")</f>
        <v>3 mos</v>
      </c>
      <c r="H2664" s="1" t="str">
        <f>IFERROR(__xludf.DUMMYFUNCTION("""COMPUTED_VALUE"""),"comment")</f>
        <v>comment</v>
      </c>
      <c r="I2664" s="2" t="str">
        <f>IFERROR(__xludf.DUMMYFUNCTION("""COMPUTED_VALUE"""),"https://www.facebook.com/rapplerdotcom/photos/a.317154781638645/5594264657260938/")</f>
        <v>https://www.facebook.com/rapplerdotcom/photos/a.317154781638645/5594264657260938/</v>
      </c>
      <c r="J2664" s="1" t="str">
        <f>IFERROR(__xludf.DUMMYFUNCTION("""COMPUTED_VALUE"""),"2022-07-04T15:51:46.030Z")</f>
        <v>2022-07-04T15:51:46.030Z</v>
      </c>
      <c r="K2664" s="1"/>
    </row>
    <row r="2665">
      <c r="A2665" s="2" t="str">
        <f>IFERROR(__xludf.DUMMYFUNCTION("""COMPUTED_VALUE"""),"https://www.facebook.com/rafaeljr.romano")</f>
        <v>https://www.facebook.com/rafaeljr.romano</v>
      </c>
      <c r="B2665" s="1" t="str">
        <f>IFERROR(__xludf.DUMMYFUNCTION("""COMPUTED_VALUE"""),"제이제이")</f>
        <v>제이제이</v>
      </c>
      <c r="C2665" s="1" t="str">
        <f>IFERROR(__xludf.DUMMYFUNCTION("""COMPUTED_VALUE"""),"제이제이")</f>
        <v>제이제이</v>
      </c>
      <c r="D2665" s="1"/>
      <c r="E2665" s="1" t="str">
        <f>IFERROR(__xludf.DUMMYFUNCTION("""COMPUTED_VALUE"""),"Minarcos yung video amp")</f>
        <v>Minarcos yung video amp</v>
      </c>
      <c r="F2665" s="1"/>
      <c r="G2665" s="1" t="str">
        <f>IFERROR(__xludf.DUMMYFUNCTION("""COMPUTED_VALUE"""),"3 mos")</f>
        <v>3 mos</v>
      </c>
      <c r="H2665" s="1" t="str">
        <f>IFERROR(__xludf.DUMMYFUNCTION("""COMPUTED_VALUE"""),"comment")</f>
        <v>comment</v>
      </c>
      <c r="I2665" s="2" t="str">
        <f>IFERROR(__xludf.DUMMYFUNCTION("""COMPUTED_VALUE"""),"https://www.facebook.com/rapplerdotcom/photos/a.317154781638645/5594264657260938/")</f>
        <v>https://www.facebook.com/rapplerdotcom/photos/a.317154781638645/5594264657260938/</v>
      </c>
      <c r="J2665" s="1" t="str">
        <f>IFERROR(__xludf.DUMMYFUNCTION("""COMPUTED_VALUE"""),"2022-07-04T15:51:46.030Z")</f>
        <v>2022-07-04T15:51:46.030Z</v>
      </c>
      <c r="K2665" s="1"/>
    </row>
    <row r="2666">
      <c r="A2666" s="2" t="str">
        <f>IFERROR(__xludf.DUMMYFUNCTION("""COMPUTED_VALUE"""),"https://www.facebook.com/herbert.timbre")</f>
        <v>https://www.facebook.com/herbert.timbre</v>
      </c>
      <c r="B2666" s="1" t="str">
        <f>IFERROR(__xludf.DUMMYFUNCTION("""COMPUTED_VALUE"""),"Budee Timbre")</f>
        <v>Budee Timbre</v>
      </c>
      <c r="C2666" s="1" t="str">
        <f>IFERROR(__xludf.DUMMYFUNCTION("""COMPUTED_VALUE"""),"Budee")</f>
        <v>Budee</v>
      </c>
      <c r="D2666" s="1" t="str">
        <f>IFERROR(__xludf.DUMMYFUNCTION("""COMPUTED_VALUE"""),"Timbre")</f>
        <v>Timbre</v>
      </c>
      <c r="E2666" s="1" t="str">
        <f>IFERROR(__xludf.DUMMYFUNCTION("""COMPUTED_VALUE"""),"Dyan lang naman sila magaling eh.. Hahaha")</f>
        <v>Dyan lang naman sila magaling eh.. Hahaha</v>
      </c>
      <c r="F2666" s="1"/>
      <c r="G2666" s="1" t="str">
        <f>IFERROR(__xludf.DUMMYFUNCTION("""COMPUTED_VALUE"""),"3 mos")</f>
        <v>3 mos</v>
      </c>
      <c r="H2666" s="1" t="str">
        <f>IFERROR(__xludf.DUMMYFUNCTION("""COMPUTED_VALUE"""),"comment")</f>
        <v>comment</v>
      </c>
      <c r="I2666" s="2" t="str">
        <f>IFERROR(__xludf.DUMMYFUNCTION("""COMPUTED_VALUE"""),"https://www.facebook.com/rapplerdotcom/photos/a.317154781638645/5594264657260938/")</f>
        <v>https://www.facebook.com/rapplerdotcom/photos/a.317154781638645/5594264657260938/</v>
      </c>
      <c r="J2666" s="1" t="str">
        <f>IFERROR(__xludf.DUMMYFUNCTION("""COMPUTED_VALUE"""),"2022-07-04T15:51:46.030Z")</f>
        <v>2022-07-04T15:51:46.030Z</v>
      </c>
      <c r="K2666" s="1"/>
    </row>
    <row r="2667">
      <c r="A2667" s="2" t="str">
        <f>IFERROR(__xludf.DUMMYFUNCTION("""COMPUTED_VALUE"""),"https://www.facebook.com/profile.php?id=100070343109589")</f>
        <v>https://www.facebook.com/profile.php?id=100070343109589</v>
      </c>
      <c r="B2667" s="1" t="str">
        <f>IFERROR(__xludf.DUMMYFUNCTION("""COMPUTED_VALUE"""),"Lpzes Enj")</f>
        <v>Lpzes Enj</v>
      </c>
      <c r="C2667" s="1" t="str">
        <f>IFERROR(__xludf.DUMMYFUNCTION("""COMPUTED_VALUE"""),"Lpzes")</f>
        <v>Lpzes</v>
      </c>
      <c r="D2667" s="1" t="str">
        <f>IFERROR(__xludf.DUMMYFUNCTION("""COMPUTED_VALUE"""),"Enj")</f>
        <v>Enj</v>
      </c>
      <c r="E2667" s="1" t="str">
        <f>IFERROR(__xludf.DUMMYFUNCTION("""COMPUTED_VALUE"""),"DYAN SILA MAGALING MANGDAYA 🤣🤣🤣🤣🤣🤣🤣🤣🤣🤣")</f>
        <v>DYAN SILA MAGALING MANGDAYA 🤣🤣🤣🤣🤣🤣🤣🤣🤣🤣</v>
      </c>
      <c r="F2667" s="1"/>
      <c r="G2667" s="1" t="str">
        <f>IFERROR(__xludf.DUMMYFUNCTION("""COMPUTED_VALUE"""),"3 mos")</f>
        <v>3 mos</v>
      </c>
      <c r="H2667" s="1" t="str">
        <f>IFERROR(__xludf.DUMMYFUNCTION("""COMPUTED_VALUE"""),"comment")</f>
        <v>comment</v>
      </c>
      <c r="I2667" s="2" t="str">
        <f>IFERROR(__xludf.DUMMYFUNCTION("""COMPUTED_VALUE"""),"https://www.facebook.com/rapplerdotcom/photos/a.317154781638645/5594264657260938/")</f>
        <v>https://www.facebook.com/rapplerdotcom/photos/a.317154781638645/5594264657260938/</v>
      </c>
      <c r="J2667" s="1" t="str">
        <f>IFERROR(__xludf.DUMMYFUNCTION("""COMPUTED_VALUE"""),"2022-07-04T15:51:46.030Z")</f>
        <v>2022-07-04T15:51:46.030Z</v>
      </c>
      <c r="K2667" s="1"/>
    </row>
    <row r="2668">
      <c r="A2668" s="2" t="str">
        <f>IFERROR(__xludf.DUMMYFUNCTION("""COMPUTED_VALUE"""),"https://www.facebook.com/johncalamba.saguimpa")</f>
        <v>https://www.facebook.com/johncalamba.saguimpa</v>
      </c>
      <c r="B2668" s="1" t="str">
        <f>IFERROR(__xludf.DUMMYFUNCTION("""COMPUTED_VALUE"""),"John Calamba Saguimpa")</f>
        <v>John Calamba Saguimpa</v>
      </c>
      <c r="C2668" s="1" t="str">
        <f>IFERROR(__xludf.DUMMYFUNCTION("""COMPUTED_VALUE"""),"John")</f>
        <v>John</v>
      </c>
      <c r="D2668" s="1" t="str">
        <f>IFERROR(__xludf.DUMMYFUNCTION("""COMPUTED_VALUE"""),"Calamba Saguimpa")</f>
        <v>Calamba Saguimpa</v>
      </c>
      <c r="E2668" s="1" t="str">
        <f>IFERROR(__xludf.DUMMYFUNCTION("""COMPUTED_VALUE"""),"lahat na lang Minarcos.")</f>
        <v>lahat na lang Minarcos.</v>
      </c>
      <c r="F2668" s="1">
        <f>IFERROR(__xludf.DUMMYFUNCTION("""COMPUTED_VALUE"""),4.0)</f>
        <v>4</v>
      </c>
      <c r="G2668" s="1" t="str">
        <f>IFERROR(__xludf.DUMMYFUNCTION("""COMPUTED_VALUE"""),"3 mos")</f>
        <v>3 mos</v>
      </c>
      <c r="H2668" s="1" t="str">
        <f>IFERROR(__xludf.DUMMYFUNCTION("""COMPUTED_VALUE"""),"comment")</f>
        <v>comment</v>
      </c>
      <c r="I2668" s="2" t="str">
        <f>IFERROR(__xludf.DUMMYFUNCTION("""COMPUTED_VALUE"""),"https://www.facebook.com/rapplerdotcom/photos/a.317154781638645/5594264657260938/")</f>
        <v>https://www.facebook.com/rapplerdotcom/photos/a.317154781638645/5594264657260938/</v>
      </c>
      <c r="J2668" s="1" t="str">
        <f>IFERROR(__xludf.DUMMYFUNCTION("""COMPUTED_VALUE"""),"2022-07-04T15:51:46.030Z")</f>
        <v>2022-07-04T15:51:46.030Z</v>
      </c>
      <c r="K2668" s="1"/>
    </row>
    <row r="2669">
      <c r="A2669" s="2" t="str">
        <f>IFERROR(__xludf.DUMMYFUNCTION("""COMPUTED_VALUE"""),"https://www.facebook.com/aqoucii.makmak")</f>
        <v>https://www.facebook.com/aqoucii.makmak</v>
      </c>
      <c r="B2669" s="1" t="str">
        <f>IFERROR(__xludf.DUMMYFUNCTION("""COMPUTED_VALUE"""),"Makmak Sepi Panalunsong")</f>
        <v>Makmak Sepi Panalunsong</v>
      </c>
      <c r="C2669" s="1" t="str">
        <f>IFERROR(__xludf.DUMMYFUNCTION("""COMPUTED_VALUE"""),"Makmak")</f>
        <v>Makmak</v>
      </c>
      <c r="D2669" s="1" t="str">
        <f>IFERROR(__xludf.DUMMYFUNCTION("""COMPUTED_VALUE"""),"Sepi Panalunsong")</f>
        <v>Sepi Panalunsong</v>
      </c>
      <c r="E2669" s="1" t="str">
        <f>IFERROR(__xludf.DUMMYFUNCTION("""COMPUTED_VALUE"""),"Tama nga c toni ang puso ng iba ay punong puno ng galit habang sila sa rally ay sobrang saya at puno ng pagmamahal ang puso nila..")</f>
        <v>Tama nga c toni ang puso ng iba ay punong puno ng galit habang sila sa rally ay sobrang saya at puno ng pagmamahal ang puso nila..</v>
      </c>
      <c r="F2669" s="1">
        <f>IFERROR(__xludf.DUMMYFUNCTION("""COMPUTED_VALUE"""),7.0)</f>
        <v>7</v>
      </c>
      <c r="G2669" s="1" t="str">
        <f>IFERROR(__xludf.DUMMYFUNCTION("""COMPUTED_VALUE"""),"3 mos")</f>
        <v>3 mos</v>
      </c>
      <c r="H2669" s="1" t="str">
        <f>IFERROR(__xludf.DUMMYFUNCTION("""COMPUTED_VALUE"""),"comment")</f>
        <v>comment</v>
      </c>
      <c r="I2669" s="2" t="str">
        <f>IFERROR(__xludf.DUMMYFUNCTION("""COMPUTED_VALUE"""),"https://www.facebook.com/rapplerdotcom/photos/a.317154781638645/5594264657260938/")</f>
        <v>https://www.facebook.com/rapplerdotcom/photos/a.317154781638645/5594264657260938/</v>
      </c>
      <c r="J2669" s="1" t="str">
        <f>IFERROR(__xludf.DUMMYFUNCTION("""COMPUTED_VALUE"""),"2022-07-04T15:51:46.030Z")</f>
        <v>2022-07-04T15:51:46.030Z</v>
      </c>
      <c r="K2669" s="1"/>
    </row>
    <row r="2670">
      <c r="A2670" s="2" t="str">
        <f>IFERROR(__xludf.DUMMYFUNCTION("""COMPUTED_VALUE"""),"https://www.facebook.com/lucius.allan")</f>
        <v>https://www.facebook.com/lucius.allan</v>
      </c>
      <c r="B2670" s="1" t="str">
        <f>IFERROR(__xludf.DUMMYFUNCTION("""COMPUTED_VALUE"""),"Allan")</f>
        <v>Allan</v>
      </c>
      <c r="C2670" s="1" t="str">
        <f>IFERROR(__xludf.DUMMYFUNCTION("""COMPUTED_VALUE"""),"Allan")</f>
        <v>Allan</v>
      </c>
      <c r="D2670" s="1"/>
      <c r="E2670" s="1" t="str">
        <f>IFERROR(__xludf.DUMMYFUNCTION("""COMPUTED_VALUE"""),"Lahat na lang talaga ng panggagago ginagawa para ibida ang idol nila 🤣🤣🤣")</f>
        <v>Lahat na lang talaga ng panggagago ginagawa para ibida ang idol nila 🤣🤣🤣</v>
      </c>
      <c r="F2670" s="1">
        <f>IFERROR(__xludf.DUMMYFUNCTION("""COMPUTED_VALUE"""),10.0)</f>
        <v>10</v>
      </c>
      <c r="G2670" s="1" t="str">
        <f>IFERROR(__xludf.DUMMYFUNCTION("""COMPUTED_VALUE"""),"3 mos")</f>
        <v>3 mos</v>
      </c>
      <c r="H2670" s="1" t="str">
        <f>IFERROR(__xludf.DUMMYFUNCTION("""COMPUTED_VALUE"""),"comment")</f>
        <v>comment</v>
      </c>
      <c r="I2670" s="2" t="str">
        <f>IFERROR(__xludf.DUMMYFUNCTION("""COMPUTED_VALUE"""),"https://www.facebook.com/rapplerdotcom/photos/a.317154781638645/5594264657260938/")</f>
        <v>https://www.facebook.com/rapplerdotcom/photos/a.317154781638645/5594264657260938/</v>
      </c>
      <c r="J2670" s="1" t="str">
        <f>IFERROR(__xludf.DUMMYFUNCTION("""COMPUTED_VALUE"""),"2022-07-04T15:51:46.030Z")</f>
        <v>2022-07-04T15:51:46.030Z</v>
      </c>
      <c r="K2670" s="1"/>
    </row>
    <row r="2671">
      <c r="A2671" s="2" t="str">
        <f>IFERROR(__xludf.DUMMYFUNCTION("""COMPUTED_VALUE"""),"https://www.facebook.com/initials.jt")</f>
        <v>https://www.facebook.com/initials.jt</v>
      </c>
      <c r="B2671" s="1" t="str">
        <f>IFERROR(__xludf.DUMMYFUNCTION("""COMPUTED_VALUE"""),"Brader Jaafar")</f>
        <v>Brader Jaafar</v>
      </c>
      <c r="C2671" s="1" t="str">
        <f>IFERROR(__xludf.DUMMYFUNCTION("""COMPUTED_VALUE"""),"Brader")</f>
        <v>Brader</v>
      </c>
      <c r="D2671" s="1" t="str">
        <f>IFERROR(__xludf.DUMMYFUNCTION("""COMPUTED_VALUE"""),"Jaafar")</f>
        <v>Jaafar</v>
      </c>
      <c r="E2671" s="1" t="str">
        <f>IFERROR(__xludf.DUMMYFUNCTION("""COMPUTED_VALUE"""),"Allan https://www.facebook.com/1483983471/posts/10226530538558075/?app=fbl")</f>
        <v>Allan https://www.facebook.com/1483983471/posts/10226530538558075/?app=fbl</v>
      </c>
      <c r="F2671" s="1">
        <f>IFERROR(__xludf.DUMMYFUNCTION("""COMPUTED_VALUE"""),1.0)</f>
        <v>1</v>
      </c>
      <c r="G2671" s="1" t="str">
        <f>IFERROR(__xludf.DUMMYFUNCTION("""COMPUTED_VALUE"""),"October 25, 2021 at 3:35 AM")</f>
        <v>October 25, 2021 at 3:35 AM</v>
      </c>
      <c r="H2671" s="1" t="str">
        <f>IFERROR(__xludf.DUMMYFUNCTION("""COMPUTED_VALUE"""),"reply")</f>
        <v>reply</v>
      </c>
      <c r="I2671" s="2" t="str">
        <f>IFERROR(__xludf.DUMMYFUNCTION("""COMPUTED_VALUE"""),"https://www.facebook.com/rapplerdotcom/photos/a.317154781638645/5594264657260938/")</f>
        <v>https://www.facebook.com/rapplerdotcom/photos/a.317154781638645/5594264657260938/</v>
      </c>
      <c r="J2671" s="1" t="str">
        <f>IFERROR(__xludf.DUMMYFUNCTION("""COMPUTED_VALUE"""),"2022-07-04T15:51:46.031Z")</f>
        <v>2022-07-04T15:51:46.031Z</v>
      </c>
      <c r="K2671" s="1"/>
    </row>
    <row r="2672">
      <c r="A2672" s="2" t="str">
        <f>IFERROR(__xludf.DUMMYFUNCTION("""COMPUTED_VALUE"""),"https://www.facebook.com/zion.poliquit.54")</f>
        <v>https://www.facebook.com/zion.poliquit.54</v>
      </c>
      <c r="B2672" s="1" t="str">
        <f>IFERROR(__xludf.DUMMYFUNCTION("""COMPUTED_VALUE"""),"Zion Zion")</f>
        <v>Zion Zion</v>
      </c>
      <c r="C2672" s="1" t="str">
        <f>IFERROR(__xludf.DUMMYFUNCTION("""COMPUTED_VALUE"""),"Zion")</f>
        <v>Zion</v>
      </c>
      <c r="D2672" s="1" t="str">
        <f>IFERROR(__xludf.DUMMYFUNCTION("""COMPUTED_VALUE"""),"Zion")</f>
        <v>Zion</v>
      </c>
      <c r="E2672" s="1" t="str">
        <f>IFERROR(__xludf.DUMMYFUNCTION("""COMPUTED_VALUE"""),"Allan OO LAHAG NG PANGGAGAGO GINAGAWA NI LENIDORO. DI MO NAPANSIN LAHAT NG RALLY NYA, PURO BAYAD ANG PUMUNTA?")</f>
        <v>Allan OO LAHAG NG PANGGAGAGO GINAGAWA NI LENIDORO. DI MO NAPANSIN LAHAT NG RALLY NYA, PURO BAYAD ANG PUMUNTA?</v>
      </c>
      <c r="F2672" s="1"/>
      <c r="G2672" s="1" t="str">
        <f>IFERROR(__xludf.DUMMYFUNCTION("""COMPUTED_VALUE"""),"3 mos")</f>
        <v>3 mos</v>
      </c>
      <c r="H2672" s="1" t="str">
        <f>IFERROR(__xludf.DUMMYFUNCTION("""COMPUTED_VALUE"""),"reply")</f>
        <v>reply</v>
      </c>
      <c r="I2672" s="2" t="str">
        <f>IFERROR(__xludf.DUMMYFUNCTION("""COMPUTED_VALUE"""),"https://www.facebook.com/rapplerdotcom/photos/a.317154781638645/5594264657260938/")</f>
        <v>https://www.facebook.com/rapplerdotcom/photos/a.317154781638645/5594264657260938/</v>
      </c>
      <c r="J2672" s="1" t="str">
        <f>IFERROR(__xludf.DUMMYFUNCTION("""COMPUTED_VALUE"""),"2022-07-04T15:51:46.031Z")</f>
        <v>2022-07-04T15:51:46.031Z</v>
      </c>
      <c r="K2672" s="1"/>
    </row>
    <row r="2673">
      <c r="A2673" s="2" t="str">
        <f>IFERROR(__xludf.DUMMYFUNCTION("""COMPUTED_VALUE"""),"https://www.facebook.com/jhanemomtenegro")</f>
        <v>https://www.facebook.com/jhanemomtenegro</v>
      </c>
      <c r="B2673" s="1" t="str">
        <f>IFERROR(__xludf.DUMMYFUNCTION("""COMPUTED_VALUE"""),"Jhane Qiuatchon Montenegro")</f>
        <v>Jhane Qiuatchon Montenegro</v>
      </c>
      <c r="C2673" s="1" t="str">
        <f>IFERROR(__xludf.DUMMYFUNCTION("""COMPUTED_VALUE"""),"Jhane")</f>
        <v>Jhane</v>
      </c>
      <c r="D2673" s="1" t="str">
        <f>IFERROR(__xludf.DUMMYFUNCTION("""COMPUTED_VALUE"""),"Qiuatchon Montenegro")</f>
        <v>Qiuatchon Montenegro</v>
      </c>
      <c r="E2673" s="1" t="str">
        <f>IFERROR(__xludf.DUMMYFUNCTION("""COMPUTED_VALUE"""),"Lahat n LNG basta INGGIT PIKIT N LNG KC....")</f>
        <v>Lahat n LNG basta INGGIT PIKIT N LNG KC....</v>
      </c>
      <c r="F2673" s="1"/>
      <c r="G2673" s="1" t="str">
        <f>IFERROR(__xludf.DUMMYFUNCTION("""COMPUTED_VALUE"""),"3 mos")</f>
        <v>3 mos</v>
      </c>
      <c r="H2673" s="1" t="str">
        <f>IFERROR(__xludf.DUMMYFUNCTION("""COMPUTED_VALUE"""),"comment")</f>
        <v>comment</v>
      </c>
      <c r="I2673" s="2" t="str">
        <f>IFERROR(__xludf.DUMMYFUNCTION("""COMPUTED_VALUE"""),"https://www.facebook.com/rapplerdotcom/photos/a.317154781638645/5594264657260938/")</f>
        <v>https://www.facebook.com/rapplerdotcom/photos/a.317154781638645/5594264657260938/</v>
      </c>
      <c r="J2673" s="1" t="str">
        <f>IFERROR(__xludf.DUMMYFUNCTION("""COMPUTED_VALUE"""),"2022-07-04T15:51:46.031Z")</f>
        <v>2022-07-04T15:51:46.031Z</v>
      </c>
      <c r="K2673" s="1"/>
    </row>
    <row r="2674">
      <c r="A2674" s="2" t="str">
        <f>IFERROR(__xludf.DUMMYFUNCTION("""COMPUTED_VALUE"""),"https://www.facebook.com/jo.talisaysay")</f>
        <v>https://www.facebook.com/jo.talisaysay</v>
      </c>
      <c r="B2674" s="1" t="str">
        <f>IFERROR(__xludf.DUMMYFUNCTION("""COMPUTED_VALUE"""),"Jhoriex Jorry Talisaysay")</f>
        <v>Jhoriex Jorry Talisaysay</v>
      </c>
      <c r="C2674" s="1" t="str">
        <f>IFERROR(__xludf.DUMMYFUNCTION("""COMPUTED_VALUE"""),"Jhoriex")</f>
        <v>Jhoriex</v>
      </c>
      <c r="D2674" s="1" t="str">
        <f>IFERROR(__xludf.DUMMYFUNCTION("""COMPUTED_VALUE"""),"Jorry Talisaysay")</f>
        <v>Jorry Talisaysay</v>
      </c>
      <c r="E2674" s="1" t="str">
        <f>IFERROR(__xludf.DUMMYFUNCTION("""COMPUTED_VALUE"""),"Yung NAGA LEAK naman")</f>
        <v>Yung NAGA LEAK naman</v>
      </c>
      <c r="F2674" s="1"/>
      <c r="G2674" s="1" t="str">
        <f>IFERROR(__xludf.DUMMYFUNCTION("""COMPUTED_VALUE"""),"3 mos")</f>
        <v>3 mos</v>
      </c>
      <c r="H2674" s="1" t="str">
        <f>IFERROR(__xludf.DUMMYFUNCTION("""COMPUTED_VALUE"""),"comment")</f>
        <v>comment</v>
      </c>
      <c r="I2674" s="2" t="str">
        <f>IFERROR(__xludf.DUMMYFUNCTION("""COMPUTED_VALUE"""),"https://www.facebook.com/rapplerdotcom/photos/a.317154781638645/5594264657260938/")</f>
        <v>https://www.facebook.com/rapplerdotcom/photos/a.317154781638645/5594264657260938/</v>
      </c>
      <c r="J2674" s="1" t="str">
        <f>IFERROR(__xludf.DUMMYFUNCTION("""COMPUTED_VALUE"""),"2022-07-04T15:51:46.031Z")</f>
        <v>2022-07-04T15:51:46.031Z</v>
      </c>
      <c r="K2674" s="1"/>
    </row>
    <row r="2675">
      <c r="A2675" s="2" t="str">
        <f>IFERROR(__xludf.DUMMYFUNCTION("""COMPUTED_VALUE"""),"https://www.facebook.com/profile.php?id=100012422146329")</f>
        <v>https://www.facebook.com/profile.php?id=100012422146329</v>
      </c>
      <c r="B2675" s="1" t="str">
        <f>IFERROR(__xludf.DUMMYFUNCTION("""COMPUTED_VALUE"""),"Lloyd Day")</f>
        <v>Lloyd Day</v>
      </c>
      <c r="C2675" s="1" t="str">
        <f>IFERROR(__xludf.DUMMYFUNCTION("""COMPUTED_VALUE"""),"Lloyd")</f>
        <v>Lloyd</v>
      </c>
      <c r="D2675" s="1" t="str">
        <f>IFERROR(__xludf.DUMMYFUNCTION("""COMPUTED_VALUE"""),"Day")</f>
        <v>Day</v>
      </c>
      <c r="E2675" s="1" t="str">
        <f>IFERROR(__xludf.DUMMYFUNCTION("""COMPUTED_VALUE"""),"Minarcos?!")</f>
        <v>Minarcos?!</v>
      </c>
      <c r="F2675" s="1"/>
      <c r="G2675" s="1" t="str">
        <f>IFERROR(__xludf.DUMMYFUNCTION("""COMPUTED_VALUE"""),"3 mos")</f>
        <v>3 mos</v>
      </c>
      <c r="H2675" s="1" t="str">
        <f>IFERROR(__xludf.DUMMYFUNCTION("""COMPUTED_VALUE"""),"comment")</f>
        <v>comment</v>
      </c>
      <c r="I2675" s="2" t="str">
        <f>IFERROR(__xludf.DUMMYFUNCTION("""COMPUTED_VALUE"""),"https://www.facebook.com/rapplerdotcom/photos/a.317154781638645/5594264657260938/")</f>
        <v>https://www.facebook.com/rapplerdotcom/photos/a.317154781638645/5594264657260938/</v>
      </c>
      <c r="J2675" s="1" t="str">
        <f>IFERROR(__xludf.DUMMYFUNCTION("""COMPUTED_VALUE"""),"2022-07-04T15:51:46.031Z")</f>
        <v>2022-07-04T15:51:46.031Z</v>
      </c>
      <c r="K2675" s="1"/>
    </row>
    <row r="2676">
      <c r="A2676" s="2" t="str">
        <f>IFERROR(__xludf.DUMMYFUNCTION("""COMPUTED_VALUE"""),"https://www.facebook.com/kharen.salazar.37")</f>
        <v>https://www.facebook.com/kharen.salazar.37</v>
      </c>
      <c r="B2676" s="1" t="str">
        <f>IFERROR(__xludf.DUMMYFUNCTION("""COMPUTED_VALUE"""),"Kharen Berlon Sarza Salazar")</f>
        <v>Kharen Berlon Sarza Salazar</v>
      </c>
      <c r="C2676" s="1" t="str">
        <f>IFERROR(__xludf.DUMMYFUNCTION("""COMPUTED_VALUE"""),"Kharen")</f>
        <v>Kharen</v>
      </c>
      <c r="D2676" s="1" t="str">
        <f>IFERROR(__xludf.DUMMYFUNCTION("""COMPUTED_VALUE"""),"Berlon Sarza Salazar")</f>
        <v>Berlon Sarza Salazar</v>
      </c>
      <c r="E2676" s="1" t="str">
        <f>IFERROR(__xludf.DUMMYFUNCTION("""COMPUTED_VALUE"""),"Kharen Berlon Sarza Salazar")</f>
        <v>Kharen Berlon Sarza Salazar</v>
      </c>
      <c r="F2676" s="1"/>
      <c r="G2676" s="1" t="str">
        <f>IFERROR(__xludf.DUMMYFUNCTION("""COMPUTED_VALUE"""),"3 mos")</f>
        <v>3 mos</v>
      </c>
      <c r="H2676" s="1" t="str">
        <f>IFERROR(__xludf.DUMMYFUNCTION("""COMPUTED_VALUE"""),"comment")</f>
        <v>comment</v>
      </c>
      <c r="I2676" s="2" t="str">
        <f>IFERROR(__xludf.DUMMYFUNCTION("""COMPUTED_VALUE"""),"https://www.facebook.com/rapplerdotcom/photos/a.317154781638645/5594264657260938/")</f>
        <v>https://www.facebook.com/rapplerdotcom/photos/a.317154781638645/5594264657260938/</v>
      </c>
      <c r="J2676" s="1" t="str">
        <f>IFERROR(__xludf.DUMMYFUNCTION("""COMPUTED_VALUE"""),"2022-07-04T15:51:46.031Z")</f>
        <v>2022-07-04T15:51:46.031Z</v>
      </c>
      <c r="K2676" s="1"/>
    </row>
    <row r="2677">
      <c r="A2677" s="2" t="str">
        <f>IFERROR(__xludf.DUMMYFUNCTION("""COMPUTED_VALUE"""),"https://www.facebook.com/ScarfaceNinja13")</f>
        <v>https://www.facebook.com/ScarfaceNinja13</v>
      </c>
      <c r="B2677" s="1" t="str">
        <f>IFERROR(__xludf.DUMMYFUNCTION("""COMPUTED_VALUE"""),"Jigfred Cecilio Palma")</f>
        <v>Jigfred Cecilio Palma</v>
      </c>
      <c r="C2677" s="1" t="str">
        <f>IFERROR(__xludf.DUMMYFUNCTION("""COMPUTED_VALUE"""),"Jigfred")</f>
        <v>Jigfred</v>
      </c>
      <c r="D2677" s="1" t="str">
        <f>IFERROR(__xludf.DUMMYFUNCTION("""COMPUTED_VALUE"""),"Cecilio Palma")</f>
        <v>Cecilio Palma</v>
      </c>
      <c r="E2677" s="1" t="str">
        <f>IFERROR(__xludf.DUMMYFUNCTION("""COMPUTED_VALUE"""),"Jigfred Cecilio Palma")</f>
        <v>Jigfred Cecilio Palma</v>
      </c>
      <c r="F2677" s="1"/>
      <c r="G2677" s="1" t="str">
        <f>IFERROR(__xludf.DUMMYFUNCTION("""COMPUTED_VALUE"""),"3 mos")</f>
        <v>3 mos</v>
      </c>
      <c r="H2677" s="1" t="str">
        <f>IFERROR(__xludf.DUMMYFUNCTION("""COMPUTED_VALUE"""),"comment")</f>
        <v>comment</v>
      </c>
      <c r="I2677" s="2" t="str">
        <f>IFERROR(__xludf.DUMMYFUNCTION("""COMPUTED_VALUE"""),"https://www.facebook.com/rapplerdotcom/photos/a.317154781638645/5594264657260938/")</f>
        <v>https://www.facebook.com/rapplerdotcom/photos/a.317154781638645/5594264657260938/</v>
      </c>
      <c r="J2677" s="1" t="str">
        <f>IFERROR(__xludf.DUMMYFUNCTION("""COMPUTED_VALUE"""),"2022-07-04T15:51:46.031Z")</f>
        <v>2022-07-04T15:51:46.031Z</v>
      </c>
      <c r="K2677" s="1"/>
    </row>
    <row r="2678">
      <c r="A2678" s="2" t="str">
        <f>IFERROR(__xludf.DUMMYFUNCTION("""COMPUTED_VALUE"""),"https://www.facebook.com/nonoigwen")</f>
        <v>https://www.facebook.com/nonoigwen</v>
      </c>
      <c r="B2678" s="1" t="str">
        <f>IFERROR(__xludf.DUMMYFUNCTION("""COMPUTED_VALUE"""),"Noibonoi Go")</f>
        <v>Noibonoi Go</v>
      </c>
      <c r="C2678" s="1" t="str">
        <f>IFERROR(__xludf.DUMMYFUNCTION("""COMPUTED_VALUE"""),"Noibonoi")</f>
        <v>Noibonoi</v>
      </c>
      <c r="D2678" s="1" t="str">
        <f>IFERROR(__xludf.DUMMYFUNCTION("""COMPUTED_VALUE"""),"Go")</f>
        <v>Go</v>
      </c>
      <c r="E2678" s="1" t="str">
        <f>IFERROR(__xludf.DUMMYFUNCTION("""COMPUTED_VALUE"""),"Noibonoi Go")</f>
        <v>Noibonoi Go</v>
      </c>
      <c r="F2678" s="1"/>
      <c r="G2678" s="1" t="str">
        <f>IFERROR(__xludf.DUMMYFUNCTION("""COMPUTED_VALUE"""),"3 mos")</f>
        <v>3 mos</v>
      </c>
      <c r="H2678" s="1" t="str">
        <f>IFERROR(__xludf.DUMMYFUNCTION("""COMPUTED_VALUE"""),"comment")</f>
        <v>comment</v>
      </c>
      <c r="I2678" s="2" t="str">
        <f>IFERROR(__xludf.DUMMYFUNCTION("""COMPUTED_VALUE"""),"https://www.facebook.com/rapplerdotcom/photos/a.317154781638645/5594264657260938/")</f>
        <v>https://www.facebook.com/rapplerdotcom/photos/a.317154781638645/5594264657260938/</v>
      </c>
      <c r="J2678" s="1" t="str">
        <f>IFERROR(__xludf.DUMMYFUNCTION("""COMPUTED_VALUE"""),"2022-07-04T15:51:46.031Z")</f>
        <v>2022-07-04T15:51:46.031Z</v>
      </c>
      <c r="K2678" s="1"/>
    </row>
    <row r="2679">
      <c r="A2679" s="2" t="str">
        <f>IFERROR(__xludf.DUMMYFUNCTION("""COMPUTED_VALUE"""),"https://www.facebook.com/lyn.cobajada")</f>
        <v>https://www.facebook.com/lyn.cobajada</v>
      </c>
      <c r="B2679" s="1" t="str">
        <f>IFERROR(__xludf.DUMMYFUNCTION("""COMPUTED_VALUE"""),"Lyn Co-Bajada")</f>
        <v>Lyn Co-Bajada</v>
      </c>
      <c r="C2679" s="1" t="str">
        <f>IFERROR(__xludf.DUMMYFUNCTION("""COMPUTED_VALUE"""),"Lyn")</f>
        <v>Lyn</v>
      </c>
      <c r="D2679" s="1" t="str">
        <f>IFERROR(__xludf.DUMMYFUNCTION("""COMPUTED_VALUE"""),"Co-Bajada")</f>
        <v>Co-Bajada</v>
      </c>
      <c r="E2679" s="1" t="str">
        <f>IFERROR(__xludf.DUMMYFUNCTION("""COMPUTED_VALUE"""),"Lyn Co-Bajada")</f>
        <v>Lyn Co-Bajada</v>
      </c>
      <c r="F2679" s="1"/>
      <c r="G2679" s="1" t="str">
        <f>IFERROR(__xludf.DUMMYFUNCTION("""COMPUTED_VALUE"""),"3 mos")</f>
        <v>3 mos</v>
      </c>
      <c r="H2679" s="1" t="str">
        <f>IFERROR(__xludf.DUMMYFUNCTION("""COMPUTED_VALUE"""),"comment")</f>
        <v>comment</v>
      </c>
      <c r="I2679" s="2" t="str">
        <f>IFERROR(__xludf.DUMMYFUNCTION("""COMPUTED_VALUE"""),"https://www.facebook.com/rapplerdotcom/photos/a.317154781638645/5594264657260938/")</f>
        <v>https://www.facebook.com/rapplerdotcom/photos/a.317154781638645/5594264657260938/</v>
      </c>
      <c r="J2679" s="1" t="str">
        <f>IFERROR(__xludf.DUMMYFUNCTION("""COMPUTED_VALUE"""),"2022-07-04T15:51:46.031Z")</f>
        <v>2022-07-04T15:51:46.031Z</v>
      </c>
      <c r="K2679" s="1"/>
    </row>
    <row r="2680">
      <c r="A2680" s="2" t="str">
        <f>IFERROR(__xludf.DUMMYFUNCTION("""COMPUTED_VALUE"""),"https://www.facebook.com/iamowenoliveros")</f>
        <v>https://www.facebook.com/iamowenoliveros</v>
      </c>
      <c r="B2680" s="1" t="str">
        <f>IFERROR(__xludf.DUMMYFUNCTION("""COMPUTED_VALUE"""),"Owen Oliveros")</f>
        <v>Owen Oliveros</v>
      </c>
      <c r="C2680" s="1" t="str">
        <f>IFERROR(__xludf.DUMMYFUNCTION("""COMPUTED_VALUE"""),"Owen")</f>
        <v>Owen</v>
      </c>
      <c r="D2680" s="1" t="str">
        <f>IFERROR(__xludf.DUMMYFUNCTION("""COMPUTED_VALUE"""),"Oliveros")</f>
        <v>Oliveros</v>
      </c>
      <c r="E2680" s="1" t="str">
        <f>IFERROR(__xludf.DUMMYFUNCTION("""COMPUTED_VALUE"""),"Arnold Santiago")</f>
        <v>Arnold Santiago</v>
      </c>
      <c r="F2680" s="1"/>
      <c r="G2680" s="1" t="str">
        <f>IFERROR(__xludf.DUMMYFUNCTION("""COMPUTED_VALUE"""),"3 mos")</f>
        <v>3 mos</v>
      </c>
      <c r="H2680" s="1" t="str">
        <f>IFERROR(__xludf.DUMMYFUNCTION("""COMPUTED_VALUE"""),"comment")</f>
        <v>comment</v>
      </c>
      <c r="I2680" s="2" t="str">
        <f>IFERROR(__xludf.DUMMYFUNCTION("""COMPUTED_VALUE"""),"https://www.facebook.com/rapplerdotcom/photos/a.317154781638645/5594264657260938/")</f>
        <v>https://www.facebook.com/rapplerdotcom/photos/a.317154781638645/5594264657260938/</v>
      </c>
      <c r="J2680" s="1" t="str">
        <f>IFERROR(__xludf.DUMMYFUNCTION("""COMPUTED_VALUE"""),"2022-07-04T15:51:46.031Z")</f>
        <v>2022-07-04T15:51:46.031Z</v>
      </c>
      <c r="K2680" s="1"/>
    </row>
    <row r="2681">
      <c r="A2681" s="2" t="str">
        <f>IFERROR(__xludf.DUMMYFUNCTION("""COMPUTED_VALUE"""),"https://www.facebook.com/holaissa.jaboneta")</f>
        <v>https://www.facebook.com/holaissa.jaboneta</v>
      </c>
      <c r="B2681" s="1" t="str">
        <f>IFERROR(__xludf.DUMMYFUNCTION("""COMPUTED_VALUE"""),"Holaissa Jaboneta")</f>
        <v>Holaissa Jaboneta</v>
      </c>
      <c r="C2681" s="1" t="str">
        <f>IFERROR(__xludf.DUMMYFUNCTION("""COMPUTED_VALUE"""),"Holaissa")</f>
        <v>Holaissa</v>
      </c>
      <c r="D2681" s="1" t="str">
        <f>IFERROR(__xludf.DUMMYFUNCTION("""COMPUTED_VALUE"""),"Jaboneta")</f>
        <v>Jaboneta</v>
      </c>
      <c r="E2681" s="1" t="str">
        <f>IFERROR(__xludf.DUMMYFUNCTION("""COMPUTED_VALUE"""),"🤭🤯")</f>
        <v>🤭🤯</v>
      </c>
      <c r="F2681" s="1"/>
      <c r="G2681" s="1" t="str">
        <f>IFERROR(__xludf.DUMMYFUNCTION("""COMPUTED_VALUE"""),"3 mos")</f>
        <v>3 mos</v>
      </c>
      <c r="H2681" s="1" t="str">
        <f>IFERROR(__xludf.DUMMYFUNCTION("""COMPUTED_VALUE"""),"comment")</f>
        <v>comment</v>
      </c>
      <c r="I2681" s="2" t="str">
        <f>IFERROR(__xludf.DUMMYFUNCTION("""COMPUTED_VALUE"""),"https://www.facebook.com/rapplerdotcom/photos/a.317154781638645/5594264657260938/")</f>
        <v>https://www.facebook.com/rapplerdotcom/photos/a.317154781638645/5594264657260938/</v>
      </c>
      <c r="J2681" s="1" t="str">
        <f>IFERROR(__xludf.DUMMYFUNCTION("""COMPUTED_VALUE"""),"2022-07-04T15:51:46.031Z")</f>
        <v>2022-07-04T15:51:46.031Z</v>
      </c>
      <c r="K2681" s="1"/>
    </row>
    <row r="2682">
      <c r="A2682" s="2" t="str">
        <f>IFERROR(__xludf.DUMMYFUNCTION("""COMPUTED_VALUE"""),"https://www.facebook.com/holaissa.jaboneta")</f>
        <v>https://www.facebook.com/holaissa.jaboneta</v>
      </c>
      <c r="B2682" s="1" t="str">
        <f>IFERROR(__xludf.DUMMYFUNCTION("""COMPUTED_VALUE"""),"Holaissa Jaboneta")</f>
        <v>Holaissa Jaboneta</v>
      </c>
      <c r="C2682" s="1" t="str">
        <f>IFERROR(__xludf.DUMMYFUNCTION("""COMPUTED_VALUE"""),"Holaissa")</f>
        <v>Holaissa</v>
      </c>
      <c r="D2682" s="1" t="str">
        <f>IFERROR(__xludf.DUMMYFUNCTION("""COMPUTED_VALUE"""),"Jaboneta")</f>
        <v>Jaboneta</v>
      </c>
      <c r="E2682" s="1" t="str">
        <f>IFERROR(__xludf.DUMMYFUNCTION("""COMPUTED_VALUE"""),"🤭")</f>
        <v>🤭</v>
      </c>
      <c r="F2682" s="1"/>
      <c r="G2682" s="1" t="str">
        <f>IFERROR(__xludf.DUMMYFUNCTION("""COMPUTED_VALUE"""),"3 mos")</f>
        <v>3 mos</v>
      </c>
      <c r="H2682" s="1" t="str">
        <f>IFERROR(__xludf.DUMMYFUNCTION("""COMPUTED_VALUE"""),"comment")</f>
        <v>comment</v>
      </c>
      <c r="I2682" s="2" t="str">
        <f>IFERROR(__xludf.DUMMYFUNCTION("""COMPUTED_VALUE"""),"https://www.facebook.com/rapplerdotcom/photos/a.317154781638645/5594264657260938/")</f>
        <v>https://www.facebook.com/rapplerdotcom/photos/a.317154781638645/5594264657260938/</v>
      </c>
      <c r="J2682" s="1" t="str">
        <f>IFERROR(__xludf.DUMMYFUNCTION("""COMPUTED_VALUE"""),"2022-07-04T15:51:46.031Z")</f>
        <v>2022-07-04T15:51:46.031Z</v>
      </c>
      <c r="K2682" s="1"/>
    </row>
    <row r="2683">
      <c r="A2683" s="2" t="str">
        <f>IFERROR(__xludf.DUMMYFUNCTION("""COMPUTED_VALUE"""),"https://www.facebook.com/yspuj")</f>
        <v>https://www.facebook.com/yspuj</v>
      </c>
      <c r="B2683" s="1" t="str">
        <f>IFERROR(__xludf.DUMMYFUNCTION("""COMPUTED_VALUE"""),"Jupi Ugalde Gerance")</f>
        <v>Jupi Ugalde Gerance</v>
      </c>
      <c r="C2683" s="1" t="str">
        <f>IFERROR(__xludf.DUMMYFUNCTION("""COMPUTED_VALUE"""),"Jupi")</f>
        <v>Jupi</v>
      </c>
      <c r="D2683" s="1" t="str">
        <f>IFERROR(__xludf.DUMMYFUNCTION("""COMPUTED_VALUE"""),"Ugalde Gerance")</f>
        <v>Ugalde Gerance</v>
      </c>
      <c r="E2683" s="1" t="str">
        <f>IFERROR(__xludf.DUMMYFUNCTION("""COMPUTED_VALUE"""),"#SOLiDBBMSARA✌️👊")</f>
        <v>#SOLiDBBMSARA✌️👊</v>
      </c>
      <c r="F2683" s="1"/>
      <c r="G2683" s="1" t="str">
        <f>IFERROR(__xludf.DUMMYFUNCTION("""COMPUTED_VALUE"""),"3 mos")</f>
        <v>3 mos</v>
      </c>
      <c r="H2683" s="1" t="str">
        <f>IFERROR(__xludf.DUMMYFUNCTION("""COMPUTED_VALUE"""),"comment")</f>
        <v>comment</v>
      </c>
      <c r="I2683" s="2" t="str">
        <f>IFERROR(__xludf.DUMMYFUNCTION("""COMPUTED_VALUE"""),"https://www.facebook.com/rapplerdotcom/photos/a.317154781638645/5594264657260938/")</f>
        <v>https://www.facebook.com/rapplerdotcom/photos/a.317154781638645/5594264657260938/</v>
      </c>
      <c r="J2683" s="1" t="str">
        <f>IFERROR(__xludf.DUMMYFUNCTION("""COMPUTED_VALUE"""),"2022-07-04T15:51:46.031Z")</f>
        <v>2022-07-04T15:51:46.031Z</v>
      </c>
      <c r="K2683" s="1"/>
    </row>
    <row r="2684">
      <c r="A2684" s="2" t="str">
        <f>IFERROR(__xludf.DUMMYFUNCTION("""COMPUTED_VALUE"""),"https://www.facebook.com/lorelie.b.bondoc")</f>
        <v>https://www.facebook.com/lorelie.b.bondoc</v>
      </c>
      <c r="B2684" s="1" t="str">
        <f>IFERROR(__xludf.DUMMYFUNCTION("""COMPUTED_VALUE"""),"Eirol Bondoc")</f>
        <v>Eirol Bondoc</v>
      </c>
      <c r="C2684" s="1" t="str">
        <f>IFERROR(__xludf.DUMMYFUNCTION("""COMPUTED_VALUE"""),"Eirol")</f>
        <v>Eirol</v>
      </c>
      <c r="D2684" s="1" t="str">
        <f>IFERROR(__xludf.DUMMYFUNCTION("""COMPUTED_VALUE"""),"Bondoc")</f>
        <v>Bondoc</v>
      </c>
      <c r="E2684" s="1" t="str">
        <f>IFERROR(__xludf.DUMMYFUNCTION("""COMPUTED_VALUE"""),"😂😂😂😂😂")</f>
        <v>😂😂😂😂😂</v>
      </c>
      <c r="F2684" s="1"/>
      <c r="G2684" s="1" t="str">
        <f>IFERROR(__xludf.DUMMYFUNCTION("""COMPUTED_VALUE"""),"3 mos")</f>
        <v>3 mos</v>
      </c>
      <c r="H2684" s="1" t="str">
        <f>IFERROR(__xludf.DUMMYFUNCTION("""COMPUTED_VALUE"""),"comment")</f>
        <v>comment</v>
      </c>
      <c r="I2684" s="2" t="str">
        <f>IFERROR(__xludf.DUMMYFUNCTION("""COMPUTED_VALUE"""),"https://www.facebook.com/rapplerdotcom/photos/a.317154781638645/5594264657260938/")</f>
        <v>https://www.facebook.com/rapplerdotcom/photos/a.317154781638645/5594264657260938/</v>
      </c>
      <c r="J2684" s="1" t="str">
        <f>IFERROR(__xludf.DUMMYFUNCTION("""COMPUTED_VALUE"""),"2022-07-04T15:51:46.031Z")</f>
        <v>2022-07-04T15:51:46.031Z</v>
      </c>
      <c r="K2684" s="1"/>
    </row>
    <row r="2685">
      <c r="A2685" s="2" t="str">
        <f>IFERROR(__xludf.DUMMYFUNCTION("""COMPUTED_VALUE"""),"https://www.facebook.com/ecoroipac")</f>
        <v>https://www.facebook.com/ecoroipac</v>
      </c>
      <c r="B2685" s="1" t="str">
        <f>IFERROR(__xludf.DUMMYFUNCTION("""COMPUTED_VALUE"""),"Maria Corazon D. Capio")</f>
        <v>Maria Corazon D. Capio</v>
      </c>
      <c r="C2685" s="1" t="str">
        <f>IFERROR(__xludf.DUMMYFUNCTION("""COMPUTED_VALUE"""),"Maria")</f>
        <v>Maria</v>
      </c>
      <c r="D2685" s="1" t="str">
        <f>IFERROR(__xludf.DUMMYFUNCTION("""COMPUTED_VALUE"""),"Corazon D. Capio")</f>
        <v>Corazon D. Capio</v>
      </c>
      <c r="E2685" s="1" t="str">
        <f>IFERROR(__xludf.DUMMYFUNCTION("""COMPUTED_VALUE"""),"💚💚❤️❤️")</f>
        <v>💚💚❤️❤️</v>
      </c>
      <c r="F2685" s="1"/>
      <c r="G2685" s="1" t="str">
        <f>IFERROR(__xludf.DUMMYFUNCTION("""COMPUTED_VALUE"""),"3 mos")</f>
        <v>3 mos</v>
      </c>
      <c r="H2685" s="1" t="str">
        <f>IFERROR(__xludf.DUMMYFUNCTION("""COMPUTED_VALUE"""),"comment")</f>
        <v>comment</v>
      </c>
      <c r="I2685" s="2" t="str">
        <f>IFERROR(__xludf.DUMMYFUNCTION("""COMPUTED_VALUE"""),"https://www.facebook.com/rapplerdotcom/photos/a.317154781638645/5594264657260938/")</f>
        <v>https://www.facebook.com/rapplerdotcom/photos/a.317154781638645/5594264657260938/</v>
      </c>
      <c r="J2685" s="1" t="str">
        <f>IFERROR(__xludf.DUMMYFUNCTION("""COMPUTED_VALUE"""),"2022-07-04T15:51:46.031Z")</f>
        <v>2022-07-04T15:51:46.031Z</v>
      </c>
      <c r="K2685" s="1"/>
    </row>
    <row r="2686">
      <c r="A2686" s="2" t="str">
        <f>IFERROR(__xludf.DUMMYFUNCTION("""COMPUTED_VALUE"""),"https://www.facebook.com/gracepenetrante.udarbe")</f>
        <v>https://www.facebook.com/gracepenetrante.udarbe</v>
      </c>
      <c r="B2686" s="1" t="str">
        <f>IFERROR(__xludf.DUMMYFUNCTION("""COMPUTED_VALUE"""),"Grace Dan Gabriel")</f>
        <v>Grace Dan Gabriel</v>
      </c>
      <c r="C2686" s="1" t="str">
        <f>IFERROR(__xludf.DUMMYFUNCTION("""COMPUTED_VALUE"""),"Grace")</f>
        <v>Grace</v>
      </c>
      <c r="D2686" s="1" t="str">
        <f>IFERROR(__xludf.DUMMYFUNCTION("""COMPUTED_VALUE"""),"Dan Gabriel")</f>
        <v>Dan Gabriel</v>
      </c>
      <c r="E2686" s="1" t="str">
        <f>IFERROR(__xludf.DUMMYFUNCTION("""COMPUTED_VALUE"""),"❤️💚🕊")</f>
        <v>❤️💚🕊</v>
      </c>
      <c r="F2686" s="1"/>
      <c r="G2686" s="1" t="str">
        <f>IFERROR(__xludf.DUMMYFUNCTION("""COMPUTED_VALUE"""),"3 mos")</f>
        <v>3 mos</v>
      </c>
      <c r="H2686" s="1" t="str">
        <f>IFERROR(__xludf.DUMMYFUNCTION("""COMPUTED_VALUE"""),"comment")</f>
        <v>comment</v>
      </c>
      <c r="I2686" s="2" t="str">
        <f>IFERROR(__xludf.DUMMYFUNCTION("""COMPUTED_VALUE"""),"https://www.facebook.com/rapplerdotcom/photos/a.317154781638645/5594264657260938/")</f>
        <v>https://www.facebook.com/rapplerdotcom/photos/a.317154781638645/5594264657260938/</v>
      </c>
      <c r="J2686" s="1" t="str">
        <f>IFERROR(__xludf.DUMMYFUNCTION("""COMPUTED_VALUE"""),"2022-07-04T15:51:46.031Z")</f>
        <v>2022-07-04T15:51:46.031Z</v>
      </c>
      <c r="K2686" s="1"/>
    </row>
    <row r="2687">
      <c r="A2687" s="2" t="str">
        <f>IFERROR(__xludf.DUMMYFUNCTION("""COMPUTED_VALUE"""),"https://www.facebook.com/xX.djhoaNn.Xx")</f>
        <v>https://www.facebook.com/xX.djhoaNn.Xx</v>
      </c>
      <c r="B2687" s="1" t="str">
        <f>IFERROR(__xludf.DUMMYFUNCTION("""COMPUTED_VALUE"""),"Djho AN")</f>
        <v>Djho AN</v>
      </c>
      <c r="C2687" s="1" t="str">
        <f>IFERROR(__xludf.DUMMYFUNCTION("""COMPUTED_VALUE"""),"Djho")</f>
        <v>Djho</v>
      </c>
      <c r="D2687" s="1" t="str">
        <f>IFERROR(__xludf.DUMMYFUNCTION("""COMPUTED_VALUE"""),"AN")</f>
        <v>AN</v>
      </c>
      <c r="E2687" s="1" t="str">
        <f>IFERROR(__xludf.DUMMYFUNCTION("""COMPUTED_VALUE"""),"Hahahha #unithives 😂🤣")</f>
        <v>Hahahha #unithives 😂🤣</v>
      </c>
      <c r="F2687" s="1"/>
      <c r="G2687" s="1" t="str">
        <f>IFERROR(__xludf.DUMMYFUNCTION("""COMPUTED_VALUE"""),"3 mos")</f>
        <v>3 mos</v>
      </c>
      <c r="H2687" s="1" t="str">
        <f>IFERROR(__xludf.DUMMYFUNCTION("""COMPUTED_VALUE"""),"comment")</f>
        <v>comment</v>
      </c>
      <c r="I2687" s="2" t="str">
        <f>IFERROR(__xludf.DUMMYFUNCTION("""COMPUTED_VALUE"""),"https://www.facebook.com/rapplerdotcom/photos/a.317154781638645/5594264657260938/")</f>
        <v>https://www.facebook.com/rapplerdotcom/photos/a.317154781638645/5594264657260938/</v>
      </c>
      <c r="J2687" s="1" t="str">
        <f>IFERROR(__xludf.DUMMYFUNCTION("""COMPUTED_VALUE"""),"2022-07-04T15:51:46.031Z")</f>
        <v>2022-07-04T15:51:46.031Z</v>
      </c>
      <c r="K2687" s="1"/>
    </row>
    <row r="2688">
      <c r="A2688" s="2" t="str">
        <f>IFERROR(__xludf.DUMMYFUNCTION("""COMPUTED_VALUE"""),"https://www.facebook.com/stiiiiiben")</f>
        <v>https://www.facebook.com/stiiiiiben</v>
      </c>
      <c r="B2688" s="1" t="str">
        <f>IFERROR(__xludf.DUMMYFUNCTION("""COMPUTED_VALUE"""),"Steven Rosal")</f>
        <v>Steven Rosal</v>
      </c>
      <c r="C2688" s="1" t="str">
        <f>IFERROR(__xludf.DUMMYFUNCTION("""COMPUTED_VALUE"""),"Steven")</f>
        <v>Steven</v>
      </c>
      <c r="D2688" s="1" t="str">
        <f>IFERROR(__xludf.DUMMYFUNCTION("""COMPUTED_VALUE"""),"Rosal")</f>
        <v>Rosal</v>
      </c>
      <c r="E2688" s="1" t="str">
        <f>IFERROR(__xludf.DUMMYFUNCTION("""COMPUTED_VALUE"""),"Lee-an Rosal hahahaahah")</f>
        <v>Lee-an Rosal hahahaahah</v>
      </c>
      <c r="F2688" s="1"/>
      <c r="G2688" s="1" t="str">
        <f>IFERROR(__xludf.DUMMYFUNCTION("""COMPUTED_VALUE"""),"3 mos")</f>
        <v>3 mos</v>
      </c>
      <c r="H2688" s="1" t="str">
        <f>IFERROR(__xludf.DUMMYFUNCTION("""COMPUTED_VALUE"""),"comment")</f>
        <v>comment</v>
      </c>
      <c r="I2688" s="2" t="str">
        <f>IFERROR(__xludf.DUMMYFUNCTION("""COMPUTED_VALUE"""),"https://www.facebook.com/rapplerdotcom/photos/a.317154781638645/5594264657260938/")</f>
        <v>https://www.facebook.com/rapplerdotcom/photos/a.317154781638645/5594264657260938/</v>
      </c>
      <c r="J2688" s="1" t="str">
        <f>IFERROR(__xludf.DUMMYFUNCTION("""COMPUTED_VALUE"""),"2022-07-04T15:51:46.031Z")</f>
        <v>2022-07-04T15:51:46.031Z</v>
      </c>
      <c r="K2688" s="1"/>
    </row>
    <row r="2689">
      <c r="A2689" s="2" t="str">
        <f>IFERROR(__xludf.DUMMYFUNCTION("""COMPUTED_VALUE"""),"https://www.facebook.com/pehyni")</f>
        <v>https://www.facebook.com/pehyni</v>
      </c>
      <c r="B2689" s="1" t="str">
        <f>IFERROR(__xludf.DUMMYFUNCTION("""COMPUTED_VALUE"""),"Paolo Penalosa")</f>
        <v>Paolo Penalosa</v>
      </c>
      <c r="C2689" s="1" t="str">
        <f>IFERROR(__xludf.DUMMYFUNCTION("""COMPUTED_VALUE"""),"Paolo")</f>
        <v>Paolo</v>
      </c>
      <c r="D2689" s="1" t="str">
        <f>IFERROR(__xludf.DUMMYFUNCTION("""COMPUTED_VALUE"""),"Penalosa")</f>
        <v>Penalosa</v>
      </c>
      <c r="E2689" s="1" t="str">
        <f>IFERROR(__xludf.DUMMYFUNCTION("""COMPUTED_VALUE"""),"#Minarcos")</f>
        <v>#Minarcos</v>
      </c>
      <c r="F2689" s="1"/>
      <c r="G2689" s="1" t="str">
        <f>IFERROR(__xludf.DUMMYFUNCTION("""COMPUTED_VALUE"""),"3 mos")</f>
        <v>3 mos</v>
      </c>
      <c r="H2689" s="1" t="str">
        <f>IFERROR(__xludf.DUMMYFUNCTION("""COMPUTED_VALUE"""),"comment")</f>
        <v>comment</v>
      </c>
      <c r="I2689" s="2" t="str">
        <f>IFERROR(__xludf.DUMMYFUNCTION("""COMPUTED_VALUE"""),"https://www.facebook.com/rapplerdotcom/photos/a.317154781638645/5594264657260938/")</f>
        <v>https://www.facebook.com/rapplerdotcom/photos/a.317154781638645/5594264657260938/</v>
      </c>
      <c r="J2689" s="1" t="str">
        <f>IFERROR(__xludf.DUMMYFUNCTION("""COMPUTED_VALUE"""),"2022-07-04T15:51:46.031Z")</f>
        <v>2022-07-04T15:51:46.031Z</v>
      </c>
      <c r="K2689" s="1"/>
    </row>
    <row r="2690">
      <c r="A2690" s="2" t="str">
        <f>IFERROR(__xludf.DUMMYFUNCTION("""COMPUTED_VALUE"""),"https://www.facebook.com/marlone.esperanza.3")</f>
        <v>https://www.facebook.com/marlone.esperanza.3</v>
      </c>
      <c r="B2690" s="1" t="str">
        <f>IFERROR(__xludf.DUMMYFUNCTION("""COMPUTED_VALUE"""),"Marlone Esperanza")</f>
        <v>Marlone Esperanza</v>
      </c>
      <c r="C2690" s="1" t="str">
        <f>IFERROR(__xludf.DUMMYFUNCTION("""COMPUTED_VALUE"""),"Marlone")</f>
        <v>Marlone</v>
      </c>
      <c r="D2690" s="1" t="str">
        <f>IFERROR(__xludf.DUMMYFUNCTION("""COMPUTED_VALUE"""),"Esperanza")</f>
        <v>Esperanza</v>
      </c>
      <c r="E2690" s="1" t="str">
        <f>IFERROR(__xludf.DUMMYFUNCTION("""COMPUTED_VALUE"""),"Liars and thieves 😎")</f>
        <v>Liars and thieves 😎</v>
      </c>
      <c r="F2690" s="1"/>
      <c r="G2690" s="1" t="str">
        <f>IFERROR(__xludf.DUMMYFUNCTION("""COMPUTED_VALUE"""),"3 mos")</f>
        <v>3 mos</v>
      </c>
      <c r="H2690" s="1" t="str">
        <f>IFERROR(__xludf.DUMMYFUNCTION("""COMPUTED_VALUE"""),"comment")</f>
        <v>comment</v>
      </c>
      <c r="I2690" s="2" t="str">
        <f>IFERROR(__xludf.DUMMYFUNCTION("""COMPUTED_VALUE"""),"https://www.facebook.com/rapplerdotcom/photos/a.317154781638645/5594264657260938/")</f>
        <v>https://www.facebook.com/rapplerdotcom/photos/a.317154781638645/5594264657260938/</v>
      </c>
      <c r="J2690" s="1" t="str">
        <f>IFERROR(__xludf.DUMMYFUNCTION("""COMPUTED_VALUE"""),"2022-07-04T15:51:46.031Z")</f>
        <v>2022-07-04T15:51:46.031Z</v>
      </c>
      <c r="K2690" s="1"/>
    </row>
    <row r="2691">
      <c r="A2691" s="2" t="str">
        <f>IFERROR(__xludf.DUMMYFUNCTION("""COMPUTED_VALUE"""),"https://www.facebook.com/ramoncito.delapaz")</f>
        <v>https://www.facebook.com/ramoncito.delapaz</v>
      </c>
      <c r="B2691" s="1" t="str">
        <f>IFERROR(__xludf.DUMMYFUNCTION("""COMPUTED_VALUE"""),"Ramon Dela Paz Rtrp")</f>
        <v>Ramon Dela Paz Rtrp</v>
      </c>
      <c r="C2691" s="1" t="str">
        <f>IFERROR(__xludf.DUMMYFUNCTION("""COMPUTED_VALUE"""),"Ramon")</f>
        <v>Ramon</v>
      </c>
      <c r="D2691" s="1" t="str">
        <f>IFERROR(__xludf.DUMMYFUNCTION("""COMPUTED_VALUE"""),"Dela Paz Rtrp")</f>
        <v>Dela Paz Rtrp</v>
      </c>
      <c r="E2691" s="1" t="str">
        <f>IFERROR(__xludf.DUMMYFUNCTION("""COMPUTED_VALUE"""),"When a fact checker is sour loser")</f>
        <v>When a fact checker is sour loser</v>
      </c>
      <c r="F2691" s="1"/>
      <c r="G2691" s="1" t="str">
        <f>IFERROR(__xludf.DUMMYFUNCTION("""COMPUTED_VALUE"""),"3 mos")</f>
        <v>3 mos</v>
      </c>
      <c r="H2691" s="1" t="str">
        <f>IFERROR(__xludf.DUMMYFUNCTION("""COMPUTED_VALUE"""),"comment")</f>
        <v>comment</v>
      </c>
      <c r="I2691" s="2" t="str">
        <f>IFERROR(__xludf.DUMMYFUNCTION("""COMPUTED_VALUE"""),"https://www.facebook.com/rapplerdotcom/photos/a.317154781638645/5594264657260938/")</f>
        <v>https://www.facebook.com/rapplerdotcom/photos/a.317154781638645/5594264657260938/</v>
      </c>
      <c r="J2691" s="1" t="str">
        <f>IFERROR(__xludf.DUMMYFUNCTION("""COMPUTED_VALUE"""),"2022-07-04T15:51:46.031Z")</f>
        <v>2022-07-04T15:51:46.031Z</v>
      </c>
      <c r="K2691" s="1"/>
    </row>
    <row r="2692">
      <c r="A2692" s="2" t="str">
        <f>IFERROR(__xludf.DUMMYFUNCTION("""COMPUTED_VALUE"""),"https://www.facebook.com/Itz.me.leo.reyes")</f>
        <v>https://www.facebook.com/Itz.me.leo.reyes</v>
      </c>
      <c r="B2692" s="1" t="str">
        <f>IFERROR(__xludf.DUMMYFUNCTION("""COMPUTED_VALUE"""),"Leo Disio Reyes")</f>
        <v>Leo Disio Reyes</v>
      </c>
      <c r="C2692" s="1" t="str">
        <f>IFERROR(__xludf.DUMMYFUNCTION("""COMPUTED_VALUE"""),"Leo")</f>
        <v>Leo</v>
      </c>
      <c r="D2692" s="1" t="str">
        <f>IFERROR(__xludf.DUMMYFUNCTION("""COMPUTED_VALUE"""),"Disio Reyes")</f>
        <v>Disio Reyes</v>
      </c>
      <c r="E2692" s="1" t="str">
        <f>IFERROR(__xludf.DUMMYFUNCTION("""COMPUTED_VALUE"""),"Ulit ulit yarn???😂😂 bukas ulit😅")</f>
        <v>Ulit ulit yarn???😂😂 bukas ulit😅</v>
      </c>
      <c r="F2692" s="1"/>
      <c r="G2692" s="1" t="str">
        <f>IFERROR(__xludf.DUMMYFUNCTION("""COMPUTED_VALUE"""),"3 mos")</f>
        <v>3 mos</v>
      </c>
      <c r="H2692" s="1" t="str">
        <f>IFERROR(__xludf.DUMMYFUNCTION("""COMPUTED_VALUE"""),"comment")</f>
        <v>comment</v>
      </c>
      <c r="I2692" s="2" t="str">
        <f>IFERROR(__xludf.DUMMYFUNCTION("""COMPUTED_VALUE"""),"https://www.facebook.com/rapplerdotcom/photos/a.317154781638645/5594264657260938/")</f>
        <v>https://www.facebook.com/rapplerdotcom/photos/a.317154781638645/5594264657260938/</v>
      </c>
      <c r="J2692" s="1" t="str">
        <f>IFERROR(__xludf.DUMMYFUNCTION("""COMPUTED_VALUE"""),"2022-07-04T15:51:46.031Z")</f>
        <v>2022-07-04T15:51:46.031Z</v>
      </c>
      <c r="K2692" s="1"/>
    </row>
    <row r="2693">
      <c r="A2693" s="2" t="str">
        <f>IFERROR(__xludf.DUMMYFUNCTION("""COMPUTED_VALUE"""),"https://www.facebook.com/lawrence.macadangdang.10")</f>
        <v>https://www.facebook.com/lawrence.macadangdang.10</v>
      </c>
      <c r="B2693" s="1" t="str">
        <f>IFERROR(__xludf.DUMMYFUNCTION("""COMPUTED_VALUE"""),"レンス ラウ")</f>
        <v>レンス ラウ</v>
      </c>
      <c r="C2693" s="1" t="str">
        <f>IFERROR(__xludf.DUMMYFUNCTION("""COMPUTED_VALUE"""),"レンス")</f>
        <v>レンス</v>
      </c>
      <c r="D2693" s="1" t="str">
        <f>IFERROR(__xludf.DUMMYFUNCTION("""COMPUTED_VALUE"""),"ラウ")</f>
        <v>ラウ</v>
      </c>
      <c r="E2693" s="1" t="str">
        <f>IFERROR(__xludf.DUMMYFUNCTION("""COMPUTED_VALUE"""),"pati ba naman memes patulan mga lutang talaga HAHAHHAHA")</f>
        <v>pati ba naman memes patulan mga lutang talaga HAHAHHAHA</v>
      </c>
      <c r="F2693" s="1">
        <f>IFERROR(__xludf.DUMMYFUNCTION("""COMPUTED_VALUE"""),1.0)</f>
        <v>1</v>
      </c>
      <c r="G2693" s="1" t="str">
        <f>IFERROR(__xludf.DUMMYFUNCTION("""COMPUTED_VALUE"""),"3 mos")</f>
        <v>3 mos</v>
      </c>
      <c r="H2693" s="1" t="str">
        <f>IFERROR(__xludf.DUMMYFUNCTION("""COMPUTED_VALUE"""),"comment")</f>
        <v>comment</v>
      </c>
      <c r="I2693" s="2" t="str">
        <f>IFERROR(__xludf.DUMMYFUNCTION("""COMPUTED_VALUE"""),"https://www.facebook.com/rapplerdotcom/photos/a.317154781638645/5594264657260938/")</f>
        <v>https://www.facebook.com/rapplerdotcom/photos/a.317154781638645/5594264657260938/</v>
      </c>
      <c r="J2693" s="1" t="str">
        <f>IFERROR(__xludf.DUMMYFUNCTION("""COMPUTED_VALUE"""),"2022-07-04T15:51:46.031Z")</f>
        <v>2022-07-04T15:51:46.031Z</v>
      </c>
      <c r="K2693" s="1"/>
    </row>
    <row r="2694">
      <c r="A2694" s="2" t="str">
        <f>IFERROR(__xludf.DUMMYFUNCTION("""COMPUTED_VALUE"""),"https://www.facebook.com/joyce.jose.10")</f>
        <v>https://www.facebook.com/joyce.jose.10</v>
      </c>
      <c r="B2694" s="1" t="str">
        <f>IFERROR(__xludf.DUMMYFUNCTION("""COMPUTED_VALUE"""),"Joyce Jose")</f>
        <v>Joyce Jose</v>
      </c>
      <c r="C2694" s="1" t="str">
        <f>IFERROR(__xludf.DUMMYFUNCTION("""COMPUTED_VALUE"""),"Joyce")</f>
        <v>Joyce</v>
      </c>
      <c r="D2694" s="1" t="str">
        <f>IFERROR(__xludf.DUMMYFUNCTION("""COMPUTED_VALUE"""),"Jose")</f>
        <v>Jose</v>
      </c>
      <c r="E2694" s="1" t="str">
        <f>IFERROR(__xludf.DUMMYFUNCTION("""COMPUTED_VALUE"""),"Minarcos yet again🤣🤣🤣#SinungalingKapatidNgMagnanakaw")</f>
        <v>Minarcos yet again🤣🤣🤣#SinungalingKapatidNgMagnanakaw</v>
      </c>
      <c r="F2694" s="1">
        <f>IFERROR(__xludf.DUMMYFUNCTION("""COMPUTED_VALUE"""),6.0)</f>
        <v>6</v>
      </c>
      <c r="G2694" s="1" t="str">
        <f>IFERROR(__xludf.DUMMYFUNCTION("""COMPUTED_VALUE"""),"3 mos")</f>
        <v>3 mos</v>
      </c>
      <c r="H2694" s="1" t="str">
        <f>IFERROR(__xludf.DUMMYFUNCTION("""COMPUTED_VALUE"""),"comment")</f>
        <v>comment</v>
      </c>
      <c r="I2694" s="2" t="str">
        <f>IFERROR(__xludf.DUMMYFUNCTION("""COMPUTED_VALUE"""),"https://www.facebook.com/rapplerdotcom/photos/a.317154781638645/5594264657260938/")</f>
        <v>https://www.facebook.com/rapplerdotcom/photos/a.317154781638645/5594264657260938/</v>
      </c>
      <c r="J2694" s="1" t="str">
        <f>IFERROR(__xludf.DUMMYFUNCTION("""COMPUTED_VALUE"""),"2022-07-04T15:51:46.031Z")</f>
        <v>2022-07-04T15:51:46.031Z</v>
      </c>
      <c r="K2694" s="1"/>
    </row>
    <row r="2695">
      <c r="A2695" s="2" t="str">
        <f>IFERROR(__xludf.DUMMYFUNCTION("""COMPUTED_VALUE"""),"https://www.facebook.com/melinda.santelices")</f>
        <v>https://www.facebook.com/melinda.santelices</v>
      </c>
      <c r="B2695" s="1" t="str">
        <f>IFERROR(__xludf.DUMMYFUNCTION("""COMPUTED_VALUE"""),"Melinda Santelices")</f>
        <v>Melinda Santelices</v>
      </c>
      <c r="C2695" s="1" t="str">
        <f>IFERROR(__xludf.DUMMYFUNCTION("""COMPUTED_VALUE"""),"Melinda")</f>
        <v>Melinda</v>
      </c>
      <c r="D2695" s="1" t="str">
        <f>IFERROR(__xludf.DUMMYFUNCTION("""COMPUTED_VALUE"""),"Santelices")</f>
        <v>Santelices</v>
      </c>
      <c r="E2695" s="1" t="str">
        <f>IFERROR(__xludf.DUMMYFUNCTION("""COMPUTED_VALUE"""),"Nahiya tyak")</f>
        <v>Nahiya tyak</v>
      </c>
      <c r="F2695" s="1"/>
      <c r="G2695" s="1" t="str">
        <f>IFERROR(__xludf.DUMMYFUNCTION("""COMPUTED_VALUE"""),"3 mos")</f>
        <v>3 mos</v>
      </c>
      <c r="H2695" s="1" t="str">
        <f>IFERROR(__xludf.DUMMYFUNCTION("""COMPUTED_VALUE"""),"comment")</f>
        <v>comment</v>
      </c>
      <c r="I2695" s="2" t="str">
        <f>IFERROR(__xludf.DUMMYFUNCTION("""COMPUTED_VALUE"""),"https://www.facebook.com/rapplerdotcom/photos/a.317154781638645/5594264657260938/")</f>
        <v>https://www.facebook.com/rapplerdotcom/photos/a.317154781638645/5594264657260938/</v>
      </c>
      <c r="J2695" s="1" t="str">
        <f>IFERROR(__xludf.DUMMYFUNCTION("""COMPUTED_VALUE"""),"2022-07-04T15:51:46.031Z")</f>
        <v>2022-07-04T15:51:46.031Z</v>
      </c>
      <c r="K2695" s="1"/>
    </row>
    <row r="2696">
      <c r="A2696" s="2" t="str">
        <f>IFERROR(__xludf.DUMMYFUNCTION("""COMPUTED_VALUE"""),"https://www.facebook.com/tseeeeeeb.18")</f>
        <v>https://www.facebook.com/tseeeeeeb.18</v>
      </c>
      <c r="B2696" s="1" t="str">
        <f>IFERROR(__xludf.DUMMYFUNCTION("""COMPUTED_VALUE"""),"Snowpy Yar")</f>
        <v>Snowpy Yar</v>
      </c>
      <c r="C2696" s="1" t="str">
        <f>IFERROR(__xludf.DUMMYFUNCTION("""COMPUTED_VALUE"""),"Snowpy")</f>
        <v>Snowpy</v>
      </c>
      <c r="D2696" s="1" t="str">
        <f>IFERROR(__xludf.DUMMYFUNCTION("""COMPUTED_VALUE"""),"Yar")</f>
        <v>Yar</v>
      </c>
      <c r="E2696" s="1" t="str">
        <f>IFERROR(__xludf.DUMMYFUNCTION("""COMPUTED_VALUE"""),"Issue nayan😂😂🤣")</f>
        <v>Issue nayan😂😂🤣</v>
      </c>
      <c r="F2696" s="1"/>
      <c r="G2696" s="1" t="str">
        <f>IFERROR(__xludf.DUMMYFUNCTION("""COMPUTED_VALUE"""),"3 mos")</f>
        <v>3 mos</v>
      </c>
      <c r="H2696" s="1" t="str">
        <f>IFERROR(__xludf.DUMMYFUNCTION("""COMPUTED_VALUE"""),"comment")</f>
        <v>comment</v>
      </c>
      <c r="I2696" s="2" t="str">
        <f>IFERROR(__xludf.DUMMYFUNCTION("""COMPUTED_VALUE"""),"https://www.facebook.com/rapplerdotcom/photos/a.317154781638645/5594264657260938/")</f>
        <v>https://www.facebook.com/rapplerdotcom/photos/a.317154781638645/5594264657260938/</v>
      </c>
      <c r="J2696" s="1" t="str">
        <f>IFERROR(__xludf.DUMMYFUNCTION("""COMPUTED_VALUE"""),"2022-07-04T15:51:46.031Z")</f>
        <v>2022-07-04T15:51:46.031Z</v>
      </c>
      <c r="K2696" s="1"/>
    </row>
    <row r="2697">
      <c r="A2697" s="2" t="str">
        <f>IFERROR(__xludf.DUMMYFUNCTION("""COMPUTED_VALUE"""),"https://www.facebook.com/jerald.fradejas")</f>
        <v>https://www.facebook.com/jerald.fradejas</v>
      </c>
      <c r="B2697" s="1" t="str">
        <f>IFERROR(__xludf.DUMMYFUNCTION("""COMPUTED_VALUE"""),"Jerald Fradejas")</f>
        <v>Jerald Fradejas</v>
      </c>
      <c r="C2697" s="1" t="str">
        <f>IFERROR(__xludf.DUMMYFUNCTION("""COMPUTED_VALUE"""),"Jerald")</f>
        <v>Jerald</v>
      </c>
      <c r="D2697" s="1" t="str">
        <f>IFERROR(__xludf.DUMMYFUNCTION("""COMPUTED_VALUE"""),"Fradejas")</f>
        <v>Fradejas</v>
      </c>
      <c r="E2697" s="1" t="str">
        <f>IFERROR(__xludf.DUMMYFUNCTION("""COMPUTED_VALUE"""),"Desperado😭")</f>
        <v>Desperado😭</v>
      </c>
      <c r="F2697" s="1"/>
      <c r="G2697" s="1" t="str">
        <f>IFERROR(__xludf.DUMMYFUNCTION("""COMPUTED_VALUE"""),"3 mos")</f>
        <v>3 mos</v>
      </c>
      <c r="H2697" s="1" t="str">
        <f>IFERROR(__xludf.DUMMYFUNCTION("""COMPUTED_VALUE"""),"comment")</f>
        <v>comment</v>
      </c>
      <c r="I2697" s="2" t="str">
        <f>IFERROR(__xludf.DUMMYFUNCTION("""COMPUTED_VALUE"""),"https://www.facebook.com/rapplerdotcom/photos/a.317154781638645/5594264657260938/")</f>
        <v>https://www.facebook.com/rapplerdotcom/photos/a.317154781638645/5594264657260938/</v>
      </c>
      <c r="J2697" s="1" t="str">
        <f>IFERROR(__xludf.DUMMYFUNCTION("""COMPUTED_VALUE"""),"2022-07-04T15:51:46.031Z")</f>
        <v>2022-07-04T15:51:46.031Z</v>
      </c>
      <c r="K2697" s="1"/>
    </row>
    <row r="2698">
      <c r="A2698" s="2" t="str">
        <f>IFERROR(__xludf.DUMMYFUNCTION("""COMPUTED_VALUE"""),"https://www.facebook.com/danny.casalme")</f>
        <v>https://www.facebook.com/danny.casalme</v>
      </c>
      <c r="B2698" s="1" t="str">
        <f>IFERROR(__xludf.DUMMYFUNCTION("""COMPUTED_VALUE"""),"Danny Casalme")</f>
        <v>Danny Casalme</v>
      </c>
      <c r="C2698" s="1" t="str">
        <f>IFERROR(__xludf.DUMMYFUNCTION("""COMPUTED_VALUE"""),"Danny")</f>
        <v>Danny</v>
      </c>
      <c r="D2698" s="1" t="str">
        <f>IFERROR(__xludf.DUMMYFUNCTION("""COMPUTED_VALUE"""),"Casalme")</f>
        <v>Casalme</v>
      </c>
      <c r="E2698" s="1" t="str">
        <f>IFERROR(__xludf.DUMMYFUNCTION("""COMPUTED_VALUE"""),"Mga TROLILING kaylangan namin ng pantapal sa bulkan tulad nyo mapurol ang utak talangka yung mga bubo mag isip mag swits na lang kyo para sa mga Lola at lolo nyo at sa mga anak nyo at ng BUONG Bansa...")</f>
        <v>Mga TROLILING kaylangan namin ng pantapal sa bulkan tulad nyo mapurol ang utak talangka yung mga bubo mag isip mag swits na lang kyo para sa mga Lola at lolo nyo at sa mga anak nyo at ng BUONG Bansa...</v>
      </c>
      <c r="F2698" s="1"/>
      <c r="G2698" s="1" t="str">
        <f>IFERROR(__xludf.DUMMYFUNCTION("""COMPUTED_VALUE"""),"3 mos")</f>
        <v>3 mos</v>
      </c>
      <c r="H2698" s="1" t="str">
        <f>IFERROR(__xludf.DUMMYFUNCTION("""COMPUTED_VALUE"""),"comment")</f>
        <v>comment</v>
      </c>
      <c r="I2698" s="2" t="str">
        <f>IFERROR(__xludf.DUMMYFUNCTION("""COMPUTED_VALUE"""),"https://www.facebook.com/watch/live/?ref=watch_permalink&amp;v=312865720941798")</f>
        <v>https://www.facebook.com/watch/live/?ref=watch_permalink&amp;v=312865720941798</v>
      </c>
      <c r="J2698" s="1" t="str">
        <f>IFERROR(__xludf.DUMMYFUNCTION("""COMPUTED_VALUE"""),"2022-07-04T15:52:23.932Z")</f>
        <v>2022-07-04T15:52:23.932Z</v>
      </c>
      <c r="K2698" s="1"/>
    </row>
    <row r="2699">
      <c r="A2699" s="2" t="str">
        <f>IFERROR(__xludf.DUMMYFUNCTION("""COMPUTED_VALUE"""),"https://www.facebook.com/zuno.silang")</f>
        <v>https://www.facebook.com/zuno.silang</v>
      </c>
      <c r="B2699" s="1" t="str">
        <f>IFERROR(__xludf.DUMMYFUNCTION("""COMPUTED_VALUE"""),"Zuno Silang")</f>
        <v>Zuno Silang</v>
      </c>
      <c r="C2699" s="1" t="str">
        <f>IFERROR(__xludf.DUMMYFUNCTION("""COMPUTED_VALUE"""),"Zuno")</f>
        <v>Zuno</v>
      </c>
      <c r="D2699" s="1" t="str">
        <f>IFERROR(__xludf.DUMMYFUNCTION("""COMPUTED_VALUE"""),"Silang")</f>
        <v>Silang</v>
      </c>
      <c r="E2699" s="1" t="str">
        <f>IFERROR(__xludf.DUMMYFUNCTION("""COMPUTED_VALUE"""),"magpapayaman yan ...di yan maglilingkod ng katulad ng paglilingkod ng mga ROBREDO...")</f>
        <v>magpapayaman yan ...di yan maglilingkod ng katulad ng paglilingkod ng mga ROBREDO...</v>
      </c>
      <c r="F2699" s="1">
        <f>IFERROR(__xludf.DUMMYFUNCTION("""COMPUTED_VALUE"""),5.0)</f>
        <v>5</v>
      </c>
      <c r="G2699" s="1" t="str">
        <f>IFERROR(__xludf.DUMMYFUNCTION("""COMPUTED_VALUE"""),"3 mos")</f>
        <v>3 mos</v>
      </c>
      <c r="H2699" s="1" t="str">
        <f>IFERROR(__xludf.DUMMYFUNCTION("""COMPUTED_VALUE"""),"comment")</f>
        <v>comment</v>
      </c>
      <c r="I2699" s="2" t="str">
        <f>IFERROR(__xludf.DUMMYFUNCTION("""COMPUTED_VALUE"""),"https://www.facebook.com/watch/live/?ref=watch_permalink&amp;v=312865720941798")</f>
        <v>https://www.facebook.com/watch/live/?ref=watch_permalink&amp;v=312865720941798</v>
      </c>
      <c r="J2699" s="1" t="str">
        <f>IFERROR(__xludf.DUMMYFUNCTION("""COMPUTED_VALUE"""),"2022-07-04T15:52:23.932Z")</f>
        <v>2022-07-04T15:52:23.932Z</v>
      </c>
      <c r="K2699" s="1"/>
    </row>
    <row r="2700">
      <c r="A2700" s="2" t="str">
        <f>IFERROR(__xludf.DUMMYFUNCTION("""COMPUTED_VALUE"""),"https://www.facebook.com/luzfcastillo")</f>
        <v>https://www.facebook.com/luzfcastillo</v>
      </c>
      <c r="B2700" s="1" t="str">
        <f>IFERROR(__xludf.DUMMYFUNCTION("""COMPUTED_VALUE"""),"Luzviminda Agullana Flores Castillo")</f>
        <v>Luzviminda Agullana Flores Castillo</v>
      </c>
      <c r="C2700" s="1" t="str">
        <f>IFERROR(__xludf.DUMMYFUNCTION("""COMPUTED_VALUE"""),"Luzviminda")</f>
        <v>Luzviminda</v>
      </c>
      <c r="D2700" s="1" t="str">
        <f>IFERROR(__xludf.DUMMYFUNCTION("""COMPUTED_VALUE"""),"Agullana Flores Castillo")</f>
        <v>Agullana Flores Castillo</v>
      </c>
      <c r="E2700" s="1" t="str">
        <f>IFERROR(__xludf.DUMMYFUNCTION("""COMPUTED_VALUE"""),"Galing mo🙄")</f>
        <v>Galing mo🙄</v>
      </c>
      <c r="F2700" s="1"/>
      <c r="G2700" s="1" t="str">
        <f>IFERROR(__xludf.DUMMYFUNCTION("""COMPUTED_VALUE"""),"3 mos")</f>
        <v>3 mos</v>
      </c>
      <c r="H2700" s="1" t="str">
        <f>IFERROR(__xludf.DUMMYFUNCTION("""COMPUTED_VALUE"""),"reply")</f>
        <v>reply</v>
      </c>
      <c r="I2700" s="2" t="str">
        <f>IFERROR(__xludf.DUMMYFUNCTION("""COMPUTED_VALUE"""),"https://www.facebook.com/watch/live/?ref=watch_permalink&amp;v=312865720941798")</f>
        <v>https://www.facebook.com/watch/live/?ref=watch_permalink&amp;v=312865720941798</v>
      </c>
      <c r="J2700" s="1" t="str">
        <f>IFERROR(__xludf.DUMMYFUNCTION("""COMPUTED_VALUE"""),"2022-07-04T15:52:23.932Z")</f>
        <v>2022-07-04T15:52:23.932Z</v>
      </c>
      <c r="K2700" s="1"/>
    </row>
    <row r="2701">
      <c r="A2701" s="2" t="str">
        <f>IFERROR(__xludf.DUMMYFUNCTION("""COMPUTED_VALUE"""),"https://www.facebook.com/nancy.grageda")</f>
        <v>https://www.facebook.com/nancy.grageda</v>
      </c>
      <c r="B2701" s="1" t="str">
        <f>IFERROR(__xludf.DUMMYFUNCTION("""COMPUTED_VALUE"""),"Nancy Gatdula Grageda")</f>
        <v>Nancy Gatdula Grageda</v>
      </c>
      <c r="C2701" s="1" t="str">
        <f>IFERROR(__xludf.DUMMYFUNCTION("""COMPUTED_VALUE"""),"Nancy")</f>
        <v>Nancy</v>
      </c>
      <c r="D2701" s="1" t="str">
        <f>IFERROR(__xludf.DUMMYFUNCTION("""COMPUTED_VALUE"""),"Gatdula Grageda")</f>
        <v>Gatdula Grageda</v>
      </c>
      <c r="E2701" s="1" t="str">
        <f>IFERROR(__xludf.DUMMYFUNCTION("""COMPUTED_VALUE"""),"Zuno Silang  True!")</f>
        <v>Zuno Silang  True!</v>
      </c>
      <c r="F2701" s="1"/>
      <c r="G2701" s="1" t="str">
        <f>IFERROR(__xludf.DUMMYFUNCTION("""COMPUTED_VALUE"""),"3 mos")</f>
        <v>3 mos</v>
      </c>
      <c r="H2701" s="1" t="str">
        <f>IFERROR(__xludf.DUMMYFUNCTION("""COMPUTED_VALUE"""),"reply")</f>
        <v>reply</v>
      </c>
      <c r="I2701" s="2" t="str">
        <f>IFERROR(__xludf.DUMMYFUNCTION("""COMPUTED_VALUE"""),"https://www.facebook.com/watch/live/?ref=watch_permalink&amp;v=312865720941798")</f>
        <v>https://www.facebook.com/watch/live/?ref=watch_permalink&amp;v=312865720941798</v>
      </c>
      <c r="J2701" s="1" t="str">
        <f>IFERROR(__xludf.DUMMYFUNCTION("""COMPUTED_VALUE"""),"2022-07-04T15:52:23.932Z")</f>
        <v>2022-07-04T15:52:23.932Z</v>
      </c>
      <c r="K2701" s="1"/>
    </row>
    <row r="2702">
      <c r="A2702" s="2" t="str">
        <f>IFERROR(__xludf.DUMMYFUNCTION("""COMPUTED_VALUE"""),"https://www.facebook.com/lanimasangkay")</f>
        <v>https://www.facebook.com/lanimasangkay</v>
      </c>
      <c r="B2702" s="1" t="str">
        <f>IFERROR(__xludf.DUMMYFUNCTION("""COMPUTED_VALUE"""),"Lani A. Masangkay")</f>
        <v>Lani A. Masangkay</v>
      </c>
      <c r="C2702" s="1" t="str">
        <f>IFERROR(__xludf.DUMMYFUNCTION("""COMPUTED_VALUE"""),"Lani")</f>
        <v>Lani</v>
      </c>
      <c r="D2702" s="1" t="str">
        <f>IFERROR(__xludf.DUMMYFUNCTION("""COMPUTED_VALUE"""),"A. Masangkay")</f>
        <v>A. Masangkay</v>
      </c>
      <c r="E2702" s="1" t="str">
        <f>IFERROR(__xludf.DUMMYFUNCTION("""COMPUTED_VALUE"""),"May God bless your campaign Isko Moreno Domagoso and the whole Aksiyon Demokratiko team. He is a problem solver so I know  Yorme has small and medium enterprises in his priority lists because it's important in our economic recovery.")</f>
        <v>May God bless your campaign Isko Moreno Domagoso and the whole Aksiyon Demokratiko team. He is a problem solver so I know  Yorme has small and medium enterprises in his priority lists because it's important in our economic recovery.</v>
      </c>
      <c r="F2702" s="1"/>
      <c r="G2702" s="1" t="str">
        <f>IFERROR(__xludf.DUMMYFUNCTION("""COMPUTED_VALUE"""),"3 mos")</f>
        <v>3 mos</v>
      </c>
      <c r="H2702" s="1" t="str">
        <f>IFERROR(__xludf.DUMMYFUNCTION("""COMPUTED_VALUE"""),"comment")</f>
        <v>comment</v>
      </c>
      <c r="I2702" s="2" t="str">
        <f>IFERROR(__xludf.DUMMYFUNCTION("""COMPUTED_VALUE"""),"https://www.facebook.com/watch/live/?ref=watch_permalink&amp;v=312865720941798")</f>
        <v>https://www.facebook.com/watch/live/?ref=watch_permalink&amp;v=312865720941798</v>
      </c>
      <c r="J2702" s="1" t="str">
        <f>IFERROR(__xludf.DUMMYFUNCTION("""COMPUTED_VALUE"""),"2022-07-04T15:52:23.932Z")</f>
        <v>2022-07-04T15:52:23.932Z</v>
      </c>
      <c r="K2702" s="1"/>
    </row>
    <row r="2703">
      <c r="A2703" s="2" t="str">
        <f>IFERROR(__xludf.DUMMYFUNCTION("""COMPUTED_VALUE"""),"https://www.facebook.com/pepe.jacinto")</f>
        <v>https://www.facebook.com/pepe.jacinto</v>
      </c>
      <c r="B2703" s="1" t="str">
        <f>IFERROR(__xludf.DUMMYFUNCTION("""COMPUTED_VALUE"""),"Eufemio Jacinto")</f>
        <v>Eufemio Jacinto</v>
      </c>
      <c r="C2703" s="1" t="str">
        <f>IFERROR(__xludf.DUMMYFUNCTION("""COMPUTED_VALUE"""),"Eufemio")</f>
        <v>Eufemio</v>
      </c>
      <c r="D2703" s="1" t="str">
        <f>IFERROR(__xludf.DUMMYFUNCTION("""COMPUTED_VALUE"""),"Jacinto")</f>
        <v>Jacinto</v>
      </c>
      <c r="E2703" s="1" t="str">
        <f>IFERROR(__xludf.DUMMYFUNCTION("""COMPUTED_VALUE"""),"TRACK RECORD,  COMPETENCE, CHARACTER and INTEGRITY ng mga kumakandidato alamin ang totoo bago iboto")</f>
        <v>TRACK RECORD,  COMPETENCE, CHARACTER and INTEGRITY ng mga kumakandidato alamin ang totoo bago iboto</v>
      </c>
      <c r="F2703" s="1">
        <f>IFERROR(__xludf.DUMMYFUNCTION("""COMPUTED_VALUE"""),1.0)</f>
        <v>1</v>
      </c>
      <c r="G2703" s="1" t="str">
        <f>IFERROR(__xludf.DUMMYFUNCTION("""COMPUTED_VALUE"""),"3 mos")</f>
        <v>3 mos</v>
      </c>
      <c r="H2703" s="1" t="str">
        <f>IFERROR(__xludf.DUMMYFUNCTION("""COMPUTED_VALUE"""),"comment")</f>
        <v>comment</v>
      </c>
      <c r="I2703" s="2" t="str">
        <f>IFERROR(__xludf.DUMMYFUNCTION("""COMPUTED_VALUE"""),"https://www.facebook.com/watch/live/?ref=watch_permalink&amp;v=312865720941798")</f>
        <v>https://www.facebook.com/watch/live/?ref=watch_permalink&amp;v=312865720941798</v>
      </c>
      <c r="J2703" s="1" t="str">
        <f>IFERROR(__xludf.DUMMYFUNCTION("""COMPUTED_VALUE"""),"2022-07-04T15:52:23.932Z")</f>
        <v>2022-07-04T15:52:23.932Z</v>
      </c>
      <c r="K2703" s="1"/>
    </row>
    <row r="2704">
      <c r="A2704" s="2" t="str">
        <f>IFERROR(__xludf.DUMMYFUNCTION("""COMPUTED_VALUE"""),"https://www.facebook.com/salvie.maris.5")</f>
        <v>https://www.facebook.com/salvie.maris.5</v>
      </c>
      <c r="B2704" s="1" t="str">
        <f>IFERROR(__xludf.DUMMYFUNCTION("""COMPUTED_VALUE"""),"Salvie M. Del Monte")</f>
        <v>Salvie M. Del Monte</v>
      </c>
      <c r="C2704" s="1" t="str">
        <f>IFERROR(__xludf.DUMMYFUNCTION("""COMPUTED_VALUE"""),"Salvie")</f>
        <v>Salvie</v>
      </c>
      <c r="D2704" s="1" t="str">
        <f>IFERROR(__xludf.DUMMYFUNCTION("""COMPUTED_VALUE"""),"M. Del Monte")</f>
        <v>M. Del Monte</v>
      </c>
      <c r="E2704" s="1" t="str">
        <f>IFERROR(__xludf.DUMMYFUNCTION("""COMPUTED_VALUE"""),"Solid mayor isko moreno domagoso God always wth u and ur fmly Laban lng God first from dubai forever 🙏🙏🙏🙏😘😍😍☝️☝️☝️☝️☝️")</f>
        <v>Solid mayor isko moreno domagoso God always wth u and ur fmly Laban lng God first from dubai forever 🙏🙏🙏🙏😘😍😍☝️☝️☝️☝️☝️</v>
      </c>
      <c r="F2704" s="1"/>
      <c r="G2704" s="1" t="str">
        <f>IFERROR(__xludf.DUMMYFUNCTION("""COMPUTED_VALUE"""),"3 mos")</f>
        <v>3 mos</v>
      </c>
      <c r="H2704" s="1" t="str">
        <f>IFERROR(__xludf.DUMMYFUNCTION("""COMPUTED_VALUE"""),"comment")</f>
        <v>comment</v>
      </c>
      <c r="I2704" s="2" t="str">
        <f>IFERROR(__xludf.DUMMYFUNCTION("""COMPUTED_VALUE"""),"https://www.facebook.com/watch/live/?ref=watch_permalink&amp;v=312865720941798")</f>
        <v>https://www.facebook.com/watch/live/?ref=watch_permalink&amp;v=312865720941798</v>
      </c>
      <c r="J2704" s="1" t="str">
        <f>IFERROR(__xludf.DUMMYFUNCTION("""COMPUTED_VALUE"""),"2022-07-04T15:52:23.932Z")</f>
        <v>2022-07-04T15:52:23.932Z</v>
      </c>
      <c r="K2704" s="1"/>
    </row>
    <row r="2705">
      <c r="A2705" s="2" t="str">
        <f>IFERROR(__xludf.DUMMYFUNCTION("""COMPUTED_VALUE"""),"https://www.facebook.com/profile.php?id=100007850237098")</f>
        <v>https://www.facebook.com/profile.php?id=100007850237098</v>
      </c>
      <c r="B2705" s="1" t="str">
        <f>IFERROR(__xludf.DUMMYFUNCTION("""COMPUTED_VALUE"""),"Tonirose Buensuceso")</f>
        <v>Tonirose Buensuceso</v>
      </c>
      <c r="C2705" s="1" t="str">
        <f>IFERROR(__xludf.DUMMYFUNCTION("""COMPUTED_VALUE"""),"Tonirose")</f>
        <v>Tonirose</v>
      </c>
      <c r="D2705" s="1" t="str">
        <f>IFERROR(__xludf.DUMMYFUNCTION("""COMPUTED_VALUE"""),"Buensuceso")</f>
        <v>Buensuceso</v>
      </c>
      <c r="E2705" s="1" t="str">
        <f>IFERROR(__xludf.DUMMYFUNCTION("""COMPUTED_VALUE"""),"Sinasalubong lang naman cla ng Bulkan Taal., wag kayo ganyan., Isko Moreno is good., senyalis yan ng Tagumpay ni Isko 🙏🙏🙏😇😇😇💙💙💙👆👆👆")</f>
        <v>Sinasalubong lang naman cla ng Bulkan Taal., wag kayo ganyan., Isko Moreno is good., senyalis yan ng Tagumpay ni Isko 🙏🙏🙏😇😇😇💙💙💙👆👆👆</v>
      </c>
      <c r="F2705" s="1"/>
      <c r="G2705" s="1" t="str">
        <f>IFERROR(__xludf.DUMMYFUNCTION("""COMPUTED_VALUE"""),"3 mos")</f>
        <v>3 mos</v>
      </c>
      <c r="H2705" s="1" t="str">
        <f>IFERROR(__xludf.DUMMYFUNCTION("""COMPUTED_VALUE"""),"comment")</f>
        <v>comment</v>
      </c>
      <c r="I2705" s="2" t="str">
        <f>IFERROR(__xludf.DUMMYFUNCTION("""COMPUTED_VALUE"""),"https://www.facebook.com/watch/live/?ref=watch_permalink&amp;v=312865720941798")</f>
        <v>https://www.facebook.com/watch/live/?ref=watch_permalink&amp;v=312865720941798</v>
      </c>
      <c r="J2705" s="1" t="str">
        <f>IFERROR(__xludf.DUMMYFUNCTION("""COMPUTED_VALUE"""),"2022-07-04T15:52:23.933Z")</f>
        <v>2022-07-04T15:52:23.933Z</v>
      </c>
      <c r="K2705" s="1"/>
    </row>
    <row r="2706">
      <c r="A2706" s="2" t="str">
        <f>IFERROR(__xludf.DUMMYFUNCTION("""COMPUTED_VALUE"""),"https://www.facebook.com/emskie.parreno")</f>
        <v>https://www.facebook.com/emskie.parreno</v>
      </c>
      <c r="B2706" s="1" t="str">
        <f>IFERROR(__xludf.DUMMYFUNCTION("""COMPUTED_VALUE"""),"Emskie Cabayao Parreño")</f>
        <v>Emskie Cabayao Parreño</v>
      </c>
      <c r="C2706" s="1" t="str">
        <f>IFERROR(__xludf.DUMMYFUNCTION("""COMPUTED_VALUE"""),"Emskie")</f>
        <v>Emskie</v>
      </c>
      <c r="D2706" s="1" t="str">
        <f>IFERROR(__xludf.DUMMYFUNCTION("""COMPUTED_VALUE"""),"Cabayao Parreño")</f>
        <v>Cabayao Parreño</v>
      </c>
      <c r="E2706" s="1" t="str">
        <f>IFERROR(__xludf.DUMMYFUNCTION("""COMPUTED_VALUE"""),"Pilipinas switch to isko for president ☝️💪💪☝️")</f>
        <v>Pilipinas switch to isko for president ☝️💪💪☝️</v>
      </c>
      <c r="F2706" s="1">
        <f>IFERROR(__xludf.DUMMYFUNCTION("""COMPUTED_VALUE"""),3.0)</f>
        <v>3</v>
      </c>
      <c r="G2706" s="1" t="str">
        <f>IFERROR(__xludf.DUMMYFUNCTION("""COMPUTED_VALUE"""),"3 mos")</f>
        <v>3 mos</v>
      </c>
      <c r="H2706" s="1" t="str">
        <f>IFERROR(__xludf.DUMMYFUNCTION("""COMPUTED_VALUE"""),"comment")</f>
        <v>comment</v>
      </c>
      <c r="I2706" s="2" t="str">
        <f>IFERROR(__xludf.DUMMYFUNCTION("""COMPUTED_VALUE"""),"https://www.facebook.com/watch/live/?ref=watch_permalink&amp;v=312865720941798")</f>
        <v>https://www.facebook.com/watch/live/?ref=watch_permalink&amp;v=312865720941798</v>
      </c>
      <c r="J2706" s="1" t="str">
        <f>IFERROR(__xludf.DUMMYFUNCTION("""COMPUTED_VALUE"""),"2022-07-04T15:52:23.933Z")</f>
        <v>2022-07-04T15:52:23.933Z</v>
      </c>
      <c r="K2706" s="1"/>
    </row>
    <row r="2707">
      <c r="A2707" s="2" t="str">
        <f>IFERROR(__xludf.DUMMYFUNCTION("""COMPUTED_VALUE"""),"https://www.facebook.com/profile.php?id=100079668216766")</f>
        <v>https://www.facebook.com/profile.php?id=100079668216766</v>
      </c>
      <c r="B2707" s="1" t="str">
        <f>IFERROR(__xludf.DUMMYFUNCTION("""COMPUTED_VALUE"""),"Brent Krueger")</f>
        <v>Brent Krueger</v>
      </c>
      <c r="C2707" s="1" t="str">
        <f>IFERROR(__xludf.DUMMYFUNCTION("""COMPUTED_VALUE"""),"Brent")</f>
        <v>Brent</v>
      </c>
      <c r="D2707" s="1" t="str">
        <f>IFERROR(__xludf.DUMMYFUNCTION("""COMPUTED_VALUE"""),"Krueger")</f>
        <v>Krueger</v>
      </c>
      <c r="E2707" s="1" t="str">
        <f>IFERROR(__xludf.DUMMYFUNCTION("""COMPUTED_VALUE"""),"Emskie Cabayao Parreño yes kuya! perfect! #letlenilead")</f>
        <v>Emskie Cabayao Parreño yes kuya! perfect! #letlenilead</v>
      </c>
      <c r="F2707" s="1"/>
      <c r="G2707" s="1" t="str">
        <f>IFERROR(__xludf.DUMMYFUNCTION("""COMPUTED_VALUE"""),"3 mos")</f>
        <v>3 mos</v>
      </c>
      <c r="H2707" s="1" t="str">
        <f>IFERROR(__xludf.DUMMYFUNCTION("""COMPUTED_VALUE"""),"reply")</f>
        <v>reply</v>
      </c>
      <c r="I2707" s="2" t="str">
        <f>IFERROR(__xludf.DUMMYFUNCTION("""COMPUTED_VALUE"""),"https://www.facebook.com/watch/live/?ref=watch_permalink&amp;v=312865720941798")</f>
        <v>https://www.facebook.com/watch/live/?ref=watch_permalink&amp;v=312865720941798</v>
      </c>
      <c r="J2707" s="1" t="str">
        <f>IFERROR(__xludf.DUMMYFUNCTION("""COMPUTED_VALUE"""),"2022-07-04T15:52:23.933Z")</f>
        <v>2022-07-04T15:52:23.933Z</v>
      </c>
      <c r="K2707" s="1"/>
    </row>
    <row r="2708">
      <c r="A2708" s="2" t="str">
        <f>IFERROR(__xludf.DUMMYFUNCTION("""COMPUTED_VALUE"""),"https://www.facebook.com/rhexiesolita")</f>
        <v>https://www.facebook.com/rhexiesolita</v>
      </c>
      <c r="B2708" s="1" t="str">
        <f>IFERROR(__xludf.DUMMYFUNCTION("""COMPUTED_VALUE"""),"Rhexie Solita Oandasan")</f>
        <v>Rhexie Solita Oandasan</v>
      </c>
      <c r="C2708" s="1" t="str">
        <f>IFERROR(__xludf.DUMMYFUNCTION("""COMPUTED_VALUE"""),"Rhexie")</f>
        <v>Rhexie</v>
      </c>
      <c r="D2708" s="1" t="str">
        <f>IFERROR(__xludf.DUMMYFUNCTION("""COMPUTED_VALUE"""),"Solita Oandasan")</f>
        <v>Solita Oandasan</v>
      </c>
      <c r="E2708" s="1" t="str">
        <f>IFERROR(__xludf.DUMMYFUNCTION("""COMPUTED_VALUE"""),"God bless 🙏😇 Team Isko 💙 Doc Willie Ong 😍 Ingat ☝️☝️☝️")</f>
        <v>God bless 🙏😇 Team Isko 💙 Doc Willie Ong 😍 Ingat ☝️☝️☝️</v>
      </c>
      <c r="F2708" s="1"/>
      <c r="G2708" s="1" t="str">
        <f>IFERROR(__xludf.DUMMYFUNCTION("""COMPUTED_VALUE"""),"3 mos")</f>
        <v>3 mos</v>
      </c>
      <c r="H2708" s="1" t="str">
        <f>IFERROR(__xludf.DUMMYFUNCTION("""COMPUTED_VALUE"""),"comment")</f>
        <v>comment</v>
      </c>
      <c r="I2708" s="2" t="str">
        <f>IFERROR(__xludf.DUMMYFUNCTION("""COMPUTED_VALUE"""),"https://www.facebook.com/watch/live/?ref=watch_permalink&amp;v=312865720941798")</f>
        <v>https://www.facebook.com/watch/live/?ref=watch_permalink&amp;v=312865720941798</v>
      </c>
      <c r="J2708" s="1" t="str">
        <f>IFERROR(__xludf.DUMMYFUNCTION("""COMPUTED_VALUE"""),"2022-07-04T15:52:23.933Z")</f>
        <v>2022-07-04T15:52:23.933Z</v>
      </c>
      <c r="K2708" s="1"/>
    </row>
    <row r="2709">
      <c r="A2709" s="2" t="str">
        <f>IFERROR(__xludf.DUMMYFUNCTION("""COMPUTED_VALUE"""),"https://www.facebook.com/profile.php?id=100069901764842")</f>
        <v>https://www.facebook.com/profile.php?id=100069901764842</v>
      </c>
      <c r="B2709" s="1" t="str">
        <f>IFERROR(__xludf.DUMMYFUNCTION("""COMPUTED_VALUE"""),"Ronarose Fajardo")</f>
        <v>Ronarose Fajardo</v>
      </c>
      <c r="C2709" s="1" t="str">
        <f>IFERROR(__xludf.DUMMYFUNCTION("""COMPUTED_VALUE"""),"Ronarose")</f>
        <v>Ronarose</v>
      </c>
      <c r="D2709" s="1" t="str">
        <f>IFERROR(__xludf.DUMMYFUNCTION("""COMPUTED_VALUE"""),"Fajardo")</f>
        <v>Fajardo</v>
      </c>
      <c r="E2709" s="1" t="str">
        <f>IFERROR(__xludf.DUMMYFUNCTION("""COMPUTED_VALUE"""),"Si iskoy,magaling mang,uto sa mahihirap,pero sa mga negosyanteng mga bilyonaryo sya ang inuuto syempre malaki bigayan.")</f>
        <v>Si iskoy,magaling mang,uto sa mahihirap,pero sa mga negosyanteng mga bilyonaryo sya ang inuuto syempre malaki bigayan.</v>
      </c>
      <c r="F2709" s="1">
        <f>IFERROR(__xludf.DUMMYFUNCTION("""COMPUTED_VALUE"""),1.0)</f>
        <v>1</v>
      </c>
      <c r="G2709" s="1" t="str">
        <f>IFERROR(__xludf.DUMMYFUNCTION("""COMPUTED_VALUE"""),"3 mos")</f>
        <v>3 mos</v>
      </c>
      <c r="H2709" s="1" t="str">
        <f>IFERROR(__xludf.DUMMYFUNCTION("""COMPUTED_VALUE"""),"comment")</f>
        <v>comment</v>
      </c>
      <c r="I2709" s="2" t="str">
        <f>IFERROR(__xludf.DUMMYFUNCTION("""COMPUTED_VALUE"""),"https://www.facebook.com/watch/live/?ref=watch_permalink&amp;v=312865720941798")</f>
        <v>https://www.facebook.com/watch/live/?ref=watch_permalink&amp;v=312865720941798</v>
      </c>
      <c r="J2709" s="1" t="str">
        <f>IFERROR(__xludf.DUMMYFUNCTION("""COMPUTED_VALUE"""),"2022-07-04T15:52:23.933Z")</f>
        <v>2022-07-04T15:52:23.933Z</v>
      </c>
      <c r="K2709" s="1"/>
    </row>
    <row r="2710">
      <c r="A2710" s="2" t="str">
        <f>IFERROR(__xludf.DUMMYFUNCTION("""COMPUTED_VALUE"""),"https://www.facebook.com/marinaalejandre.enriquez")</f>
        <v>https://www.facebook.com/marinaalejandre.enriquez</v>
      </c>
      <c r="B2710" s="1" t="str">
        <f>IFERROR(__xludf.DUMMYFUNCTION("""COMPUTED_VALUE"""),"Maria Asuncion Enriquez Buenaflor")</f>
        <v>Maria Asuncion Enriquez Buenaflor</v>
      </c>
      <c r="C2710" s="1" t="str">
        <f>IFERROR(__xludf.DUMMYFUNCTION("""COMPUTED_VALUE"""),"Maria")</f>
        <v>Maria</v>
      </c>
      <c r="D2710" s="1" t="str">
        <f>IFERROR(__xludf.DUMMYFUNCTION("""COMPUTED_VALUE"""),"Asuncion Enriquez Buenaflor")</f>
        <v>Asuncion Enriquez Buenaflor</v>
      </c>
      <c r="E2710" s="1" t="str">
        <f>IFERROR(__xludf.DUMMYFUNCTION("""COMPUTED_VALUE"""),"Wala na ang usok ng bulkan ganyan lang lagi ang bulkan natin mabait si Lord sa ating Batanguino. ✌️🙏")</f>
        <v>Wala na ang usok ng bulkan ganyan lang lagi ang bulkan natin mabait si Lord sa ating Batanguino. ✌️🙏</v>
      </c>
      <c r="F2710" s="1"/>
      <c r="G2710" s="1" t="str">
        <f>IFERROR(__xludf.DUMMYFUNCTION("""COMPUTED_VALUE"""),"3 mos")</f>
        <v>3 mos</v>
      </c>
      <c r="H2710" s="1" t="str">
        <f>IFERROR(__xludf.DUMMYFUNCTION("""COMPUTED_VALUE"""),"comment")</f>
        <v>comment</v>
      </c>
      <c r="I2710" s="2" t="str">
        <f>IFERROR(__xludf.DUMMYFUNCTION("""COMPUTED_VALUE"""),"https://www.facebook.com/watch/live/?ref=watch_permalink&amp;v=312865720941798")</f>
        <v>https://www.facebook.com/watch/live/?ref=watch_permalink&amp;v=312865720941798</v>
      </c>
      <c r="J2710" s="1" t="str">
        <f>IFERROR(__xludf.DUMMYFUNCTION("""COMPUTED_VALUE"""),"2022-07-04T15:52:23.933Z")</f>
        <v>2022-07-04T15:52:23.933Z</v>
      </c>
      <c r="K2710" s="1"/>
    </row>
    <row r="2711">
      <c r="A2711" s="2" t="str">
        <f>IFERROR(__xludf.DUMMYFUNCTION("""COMPUTED_VALUE"""),"https://www.facebook.com/karen.enriquez.144181")</f>
        <v>https://www.facebook.com/karen.enriquez.144181</v>
      </c>
      <c r="B2711" s="1" t="str">
        <f>IFERROR(__xludf.DUMMYFUNCTION("""COMPUTED_VALUE"""),"Karen Enriquez")</f>
        <v>Karen Enriquez</v>
      </c>
      <c r="C2711" s="1" t="str">
        <f>IFERROR(__xludf.DUMMYFUNCTION("""COMPUTED_VALUE"""),"Karen")</f>
        <v>Karen</v>
      </c>
      <c r="D2711" s="1" t="str">
        <f>IFERROR(__xludf.DUMMYFUNCTION("""COMPUTED_VALUE"""),"Enriquez")</f>
        <v>Enriquez</v>
      </c>
      <c r="E2711" s="1" t="str">
        <f>IFERROR(__xludf.DUMMYFUNCTION("""COMPUTED_VALUE"""),"Walang pakialam sa pagsabog ng bulkan e .pulitika pdin inuuna")</f>
        <v>Walang pakialam sa pagsabog ng bulkan e .pulitika pdin inuuna</v>
      </c>
      <c r="F2711" s="1"/>
      <c r="G2711" s="1" t="str">
        <f>IFERROR(__xludf.DUMMYFUNCTION("""COMPUTED_VALUE"""),"3 mos")</f>
        <v>3 mos</v>
      </c>
      <c r="H2711" s="1" t="str">
        <f>IFERROR(__xludf.DUMMYFUNCTION("""COMPUTED_VALUE"""),"comment")</f>
        <v>comment</v>
      </c>
      <c r="I2711" s="2" t="str">
        <f>IFERROR(__xludf.DUMMYFUNCTION("""COMPUTED_VALUE"""),"https://www.facebook.com/watch/live/?ref=watch_permalink&amp;v=312865720941798")</f>
        <v>https://www.facebook.com/watch/live/?ref=watch_permalink&amp;v=312865720941798</v>
      </c>
      <c r="J2711" s="1" t="str">
        <f>IFERROR(__xludf.DUMMYFUNCTION("""COMPUTED_VALUE"""),"2022-07-04T15:52:23.933Z")</f>
        <v>2022-07-04T15:52:23.933Z</v>
      </c>
      <c r="K2711" s="1"/>
    </row>
    <row r="2712">
      <c r="A2712" s="2" t="str">
        <f>IFERROR(__xludf.DUMMYFUNCTION("""COMPUTED_VALUE"""),"https://www.facebook.com/jones.davis.1884")</f>
        <v>https://www.facebook.com/jones.davis.1884</v>
      </c>
      <c r="B2712" s="1" t="str">
        <f>IFERROR(__xludf.DUMMYFUNCTION("""COMPUTED_VALUE"""),"Jones Davis")</f>
        <v>Jones Davis</v>
      </c>
      <c r="C2712" s="1" t="str">
        <f>IFERROR(__xludf.DUMMYFUNCTION("""COMPUTED_VALUE"""),"Jones")</f>
        <v>Jones</v>
      </c>
      <c r="D2712" s="1" t="str">
        <f>IFERROR(__xludf.DUMMYFUNCTION("""COMPUTED_VALUE"""),"Davis")</f>
        <v>Davis</v>
      </c>
      <c r="E2712" s="1" t="str">
        <f>IFERROR(__xludf.DUMMYFUNCTION("""COMPUTED_VALUE"""),"Hello")</f>
        <v>Hello</v>
      </c>
      <c r="F2712" s="1"/>
      <c r="G2712" s="1" t="str">
        <f>IFERROR(__xludf.DUMMYFUNCTION("""COMPUTED_VALUE"""),"3 mos")</f>
        <v>3 mos</v>
      </c>
      <c r="H2712" s="1" t="str">
        <f>IFERROR(__xludf.DUMMYFUNCTION("""COMPUTED_VALUE"""),"reply")</f>
        <v>reply</v>
      </c>
      <c r="I2712" s="2" t="str">
        <f>IFERROR(__xludf.DUMMYFUNCTION("""COMPUTED_VALUE"""),"https://www.facebook.com/watch/live/?ref=watch_permalink&amp;v=312865720941798")</f>
        <v>https://www.facebook.com/watch/live/?ref=watch_permalink&amp;v=312865720941798</v>
      </c>
      <c r="J2712" s="1" t="str">
        <f>IFERROR(__xludf.DUMMYFUNCTION("""COMPUTED_VALUE"""),"2022-07-04T15:52:23.933Z")</f>
        <v>2022-07-04T15:52:23.933Z</v>
      </c>
      <c r="K2712" s="1"/>
    </row>
    <row r="2713">
      <c r="A2713" s="2" t="str">
        <f>IFERROR(__xludf.DUMMYFUNCTION("""COMPUTED_VALUE"""),"https://www.facebook.com/TachieBillano")</f>
        <v>https://www.facebook.com/TachieBillano</v>
      </c>
      <c r="B2713" s="1" t="str">
        <f>IFERROR(__xludf.DUMMYFUNCTION("""COMPUTED_VALUE"""),"Tachie Billano")</f>
        <v>Tachie Billano</v>
      </c>
      <c r="C2713" s="1" t="str">
        <f>IFERROR(__xludf.DUMMYFUNCTION("""COMPUTED_VALUE"""),"Tachie")</f>
        <v>Tachie</v>
      </c>
      <c r="D2713" s="1" t="str">
        <f>IFERROR(__xludf.DUMMYFUNCTION("""COMPUTED_VALUE"""),"Billano")</f>
        <v>Billano</v>
      </c>
      <c r="E2713" s="1" t="str">
        <f>IFERROR(__xludf.DUMMYFUNCTION("""COMPUTED_VALUE"""),"Heads up, guys: ingat lang kayo riyan at alert level 3 ang Bulkang Taal. Ibig sabihin ay maaring bumuga po iyan ng abo sa susunod na 24-48 hours. Baka kailangang maghanda.")</f>
        <v>Heads up, guys: ingat lang kayo riyan at alert level 3 ang Bulkang Taal. Ibig sabihin ay maaring bumuga po iyan ng abo sa susunod na 24-48 hours. Baka kailangang maghanda.</v>
      </c>
      <c r="F2713" s="1"/>
      <c r="G2713" s="1" t="str">
        <f>IFERROR(__xludf.DUMMYFUNCTION("""COMPUTED_VALUE"""),"3 mos")</f>
        <v>3 mos</v>
      </c>
      <c r="H2713" s="1" t="str">
        <f>IFERROR(__xludf.DUMMYFUNCTION("""COMPUTED_VALUE"""),"comment")</f>
        <v>comment</v>
      </c>
      <c r="I2713" s="2" t="str">
        <f>IFERROR(__xludf.DUMMYFUNCTION("""COMPUTED_VALUE"""),"https://www.facebook.com/watch/live/?ref=watch_permalink&amp;v=312865720941798")</f>
        <v>https://www.facebook.com/watch/live/?ref=watch_permalink&amp;v=312865720941798</v>
      </c>
      <c r="J2713" s="1" t="str">
        <f>IFERROR(__xludf.DUMMYFUNCTION("""COMPUTED_VALUE"""),"2022-07-04T15:52:23.933Z")</f>
        <v>2022-07-04T15:52:23.933Z</v>
      </c>
      <c r="K2713" s="1"/>
    </row>
    <row r="2714">
      <c r="A2714" s="2" t="str">
        <f>IFERROR(__xludf.DUMMYFUNCTION("""COMPUTED_VALUE"""),"https://www.facebook.com/darryl.francisco123166")</f>
        <v>https://www.facebook.com/darryl.francisco123166</v>
      </c>
      <c r="B2714" s="1" t="str">
        <f>IFERROR(__xludf.DUMMYFUNCTION("""COMPUTED_VALUE"""),"Darryl Francisco")</f>
        <v>Darryl Francisco</v>
      </c>
      <c r="C2714" s="1" t="str">
        <f>IFERROR(__xludf.DUMMYFUNCTION("""COMPUTED_VALUE"""),"Darryl")</f>
        <v>Darryl</v>
      </c>
      <c r="D2714" s="1" t="str">
        <f>IFERROR(__xludf.DUMMYFUNCTION("""COMPUTED_VALUE"""),"Francisco")</f>
        <v>Francisco</v>
      </c>
      <c r="E2714" s="1" t="str">
        <f>IFERROR(__xludf.DUMMYFUNCTION("""COMPUTED_VALUE"""),"Samira at this point, is a lost cause.")</f>
        <v>Samira at this point, is a lost cause.</v>
      </c>
      <c r="F2714" s="1">
        <f>IFERROR(__xludf.DUMMYFUNCTION("""COMPUTED_VALUE"""),1.0)</f>
        <v>1</v>
      </c>
      <c r="G2714" s="1" t="str">
        <f>IFERROR(__xludf.DUMMYFUNCTION("""COMPUTED_VALUE"""),"3 mos")</f>
        <v>3 mos</v>
      </c>
      <c r="H2714" s="1" t="str">
        <f>IFERROR(__xludf.DUMMYFUNCTION("""COMPUTED_VALUE"""),"comment")</f>
        <v>comment</v>
      </c>
      <c r="I2714" s="2" t="str">
        <f>IFERROR(__xludf.DUMMYFUNCTION("""COMPUTED_VALUE"""),"https://www.facebook.com/watch/live/?ref=watch_permalink&amp;v=312865720941798")</f>
        <v>https://www.facebook.com/watch/live/?ref=watch_permalink&amp;v=312865720941798</v>
      </c>
      <c r="J2714" s="1" t="str">
        <f>IFERROR(__xludf.DUMMYFUNCTION("""COMPUTED_VALUE"""),"2022-07-04T15:52:23.933Z")</f>
        <v>2022-07-04T15:52:23.933Z</v>
      </c>
      <c r="K2714" s="1"/>
    </row>
    <row r="2715">
      <c r="A2715" s="2" t="str">
        <f>IFERROR(__xludf.DUMMYFUNCTION("""COMPUTED_VALUE"""),"https://www.facebook.com/rosemarie.anzures")</f>
        <v>https://www.facebook.com/rosemarie.anzures</v>
      </c>
      <c r="B2715" s="1" t="str">
        <f>IFERROR(__xludf.DUMMYFUNCTION("""COMPUTED_VALUE"""),"Rosemarie Sibonga Anzures")</f>
        <v>Rosemarie Sibonga Anzures</v>
      </c>
      <c r="C2715" s="1" t="str">
        <f>IFERROR(__xludf.DUMMYFUNCTION("""COMPUTED_VALUE"""),"Rosemarie")</f>
        <v>Rosemarie</v>
      </c>
      <c r="D2715" s="1" t="str">
        <f>IFERROR(__xludf.DUMMYFUNCTION("""COMPUTED_VALUE"""),"Sibonga Anzures")</f>
        <v>Sibonga Anzures</v>
      </c>
      <c r="E2715" s="1" t="str">
        <f>IFERROR(__xludf.DUMMYFUNCTION("""COMPUTED_VALUE"""),"Pilipinas ipanalo natin si mayor isko para presidente God first 🙏🙏☝️☝️☝️💙🤍💙")</f>
        <v>Pilipinas ipanalo natin si mayor isko para presidente God first 🙏🙏☝️☝️☝️💙🤍💙</v>
      </c>
      <c r="F2715" s="1"/>
      <c r="G2715" s="1" t="str">
        <f>IFERROR(__xludf.DUMMYFUNCTION("""COMPUTED_VALUE"""),"3 mos")</f>
        <v>3 mos</v>
      </c>
      <c r="H2715" s="1" t="str">
        <f>IFERROR(__xludf.DUMMYFUNCTION("""COMPUTED_VALUE"""),"comment")</f>
        <v>comment</v>
      </c>
      <c r="I2715" s="2" t="str">
        <f>IFERROR(__xludf.DUMMYFUNCTION("""COMPUTED_VALUE"""),"https://www.facebook.com/watch/live/?ref=watch_permalink&amp;v=312865720941798")</f>
        <v>https://www.facebook.com/watch/live/?ref=watch_permalink&amp;v=312865720941798</v>
      </c>
      <c r="J2715" s="1" t="str">
        <f>IFERROR(__xludf.DUMMYFUNCTION("""COMPUTED_VALUE"""),"2022-07-04T15:52:23.933Z")</f>
        <v>2022-07-04T15:52:23.933Z</v>
      </c>
      <c r="K2715" s="1"/>
    </row>
    <row r="2716">
      <c r="A2716" s="2" t="str">
        <f>IFERROR(__xludf.DUMMYFUNCTION("""COMPUTED_VALUE"""),"https://www.facebook.com/profile.php?id=100069901764842")</f>
        <v>https://www.facebook.com/profile.php?id=100069901764842</v>
      </c>
      <c r="B2716" s="1" t="str">
        <f>IFERROR(__xludf.DUMMYFUNCTION("""COMPUTED_VALUE"""),"Ronarose Fajardo")</f>
        <v>Ronarose Fajardo</v>
      </c>
      <c r="C2716" s="1" t="str">
        <f>IFERROR(__xludf.DUMMYFUNCTION("""COMPUTED_VALUE"""),"Ronarose")</f>
        <v>Ronarose</v>
      </c>
      <c r="D2716" s="1" t="str">
        <f>IFERROR(__xludf.DUMMYFUNCTION("""COMPUTED_VALUE"""),"Fajardo")</f>
        <v>Fajardo</v>
      </c>
      <c r="E2716" s="1" t="str">
        <f>IFERROR(__xludf.DUMMYFUNCTION("""COMPUTED_VALUE"""),"Ingit daw ano sama kami kay boy tuso boy benta,kng pano nya tuklawin si erap.")</f>
        <v>Ingit daw ano sama kami kay boy tuso boy benta,kng pano nya tuklawin si erap.</v>
      </c>
      <c r="F2716" s="1"/>
      <c r="G2716" s="1" t="str">
        <f>IFERROR(__xludf.DUMMYFUNCTION("""COMPUTED_VALUE"""),"3 mos")</f>
        <v>3 mos</v>
      </c>
      <c r="H2716" s="1" t="str">
        <f>IFERROR(__xludf.DUMMYFUNCTION("""COMPUTED_VALUE"""),"comment")</f>
        <v>comment</v>
      </c>
      <c r="I2716" s="2" t="str">
        <f>IFERROR(__xludf.DUMMYFUNCTION("""COMPUTED_VALUE"""),"https://www.facebook.com/watch/live/?ref=watch_permalink&amp;v=312865720941798")</f>
        <v>https://www.facebook.com/watch/live/?ref=watch_permalink&amp;v=312865720941798</v>
      </c>
      <c r="J2716" s="1" t="str">
        <f>IFERROR(__xludf.DUMMYFUNCTION("""COMPUTED_VALUE"""),"2022-07-04T15:52:23.933Z")</f>
        <v>2022-07-04T15:52:23.933Z</v>
      </c>
      <c r="K2716" s="1"/>
    </row>
    <row r="2717">
      <c r="A2717" s="2" t="str">
        <f>IFERROR(__xludf.DUMMYFUNCTION("""COMPUTED_VALUE"""),"https://www.facebook.com/profile.php?id=100069901764842")</f>
        <v>https://www.facebook.com/profile.php?id=100069901764842</v>
      </c>
      <c r="B2717" s="1" t="str">
        <f>IFERROR(__xludf.DUMMYFUNCTION("""COMPUTED_VALUE"""),"Ronarose Fajardo")</f>
        <v>Ronarose Fajardo</v>
      </c>
      <c r="C2717" s="1" t="str">
        <f>IFERROR(__xludf.DUMMYFUNCTION("""COMPUTED_VALUE"""),"Ronarose")</f>
        <v>Ronarose</v>
      </c>
      <c r="D2717" s="1" t="str">
        <f>IFERROR(__xludf.DUMMYFUNCTION("""COMPUTED_VALUE"""),"Fajardo")</f>
        <v>Fajardo</v>
      </c>
      <c r="E2717" s="1" t="str">
        <f>IFERROR(__xludf.DUMMYFUNCTION("""COMPUTED_VALUE"""),"Solohin nyo isko,nyo si boy tuso,benta,kayo,nyan.")</f>
        <v>Solohin nyo isko,nyo si boy tuso,benta,kayo,nyan.</v>
      </c>
      <c r="F2717" s="1"/>
      <c r="G2717" s="1" t="str">
        <f>IFERROR(__xludf.DUMMYFUNCTION("""COMPUTED_VALUE"""),"3 mos")</f>
        <v>3 mos</v>
      </c>
      <c r="H2717" s="1" t="str">
        <f>IFERROR(__xludf.DUMMYFUNCTION("""COMPUTED_VALUE"""),"comment")</f>
        <v>comment</v>
      </c>
      <c r="I2717" s="2" t="str">
        <f>IFERROR(__xludf.DUMMYFUNCTION("""COMPUTED_VALUE"""),"https://www.facebook.com/watch/live/?ref=watch_permalink&amp;v=312865720941798")</f>
        <v>https://www.facebook.com/watch/live/?ref=watch_permalink&amp;v=312865720941798</v>
      </c>
      <c r="J2717" s="1" t="str">
        <f>IFERROR(__xludf.DUMMYFUNCTION("""COMPUTED_VALUE"""),"2022-07-04T15:52:23.933Z")</f>
        <v>2022-07-04T15:52:23.933Z</v>
      </c>
      <c r="K2717" s="1"/>
    </row>
    <row r="2718">
      <c r="A2718" s="2" t="str">
        <f>IFERROR(__xludf.DUMMYFUNCTION("""COMPUTED_VALUE"""),"https://www.facebook.com/angelcried")</f>
        <v>https://www.facebook.com/angelcried</v>
      </c>
      <c r="B2718" s="1" t="str">
        <f>IFERROR(__xludf.DUMMYFUNCTION("""COMPUTED_VALUE"""),"Jayson Anglo Abello")</f>
        <v>Jayson Anglo Abello</v>
      </c>
      <c r="C2718" s="1" t="str">
        <f>IFERROR(__xludf.DUMMYFUNCTION("""COMPUTED_VALUE"""),"Jayson")</f>
        <v>Jayson</v>
      </c>
      <c r="D2718" s="1" t="str">
        <f>IFERROR(__xludf.DUMMYFUNCTION("""COMPUTED_VALUE"""),"Anglo Abello")</f>
        <v>Anglo Abello</v>
      </c>
      <c r="E2718" s="1" t="str">
        <f>IFERROR(__xludf.DUMMYFUNCTION("""COMPUTED_VALUE"""),"for sale mayor isko moreno bwahahahah")</f>
        <v>for sale mayor isko moreno bwahahahah</v>
      </c>
      <c r="F2718" s="1"/>
      <c r="G2718" s="1" t="str">
        <f>IFERROR(__xludf.DUMMYFUNCTION("""COMPUTED_VALUE"""),"3 mos")</f>
        <v>3 mos</v>
      </c>
      <c r="H2718" s="1" t="str">
        <f>IFERROR(__xludf.DUMMYFUNCTION("""COMPUTED_VALUE"""),"comment")</f>
        <v>comment</v>
      </c>
      <c r="I2718" s="2" t="str">
        <f>IFERROR(__xludf.DUMMYFUNCTION("""COMPUTED_VALUE"""),"https://www.facebook.com/watch/live/?ref=watch_permalink&amp;v=312865720941798")</f>
        <v>https://www.facebook.com/watch/live/?ref=watch_permalink&amp;v=312865720941798</v>
      </c>
      <c r="J2718" s="1" t="str">
        <f>IFERROR(__xludf.DUMMYFUNCTION("""COMPUTED_VALUE"""),"2022-07-04T15:52:23.934Z")</f>
        <v>2022-07-04T15:52:23.934Z</v>
      </c>
      <c r="K2718" s="1"/>
    </row>
    <row r="2719">
      <c r="A2719" s="2" t="str">
        <f>IFERROR(__xludf.DUMMYFUNCTION("""COMPUTED_VALUE"""),"https://www.facebook.com/catalina.biticon.12")</f>
        <v>https://www.facebook.com/catalina.biticon.12</v>
      </c>
      <c r="B2719" s="1" t="str">
        <f>IFERROR(__xludf.DUMMYFUNCTION("""COMPUTED_VALUE"""),"Catalina Biticon")</f>
        <v>Catalina Biticon</v>
      </c>
      <c r="C2719" s="1" t="str">
        <f>IFERROR(__xludf.DUMMYFUNCTION("""COMPUTED_VALUE"""),"Catalina")</f>
        <v>Catalina</v>
      </c>
      <c r="D2719" s="1" t="str">
        <f>IFERROR(__xludf.DUMMYFUNCTION("""COMPUTED_VALUE"""),"Biticon")</f>
        <v>Biticon</v>
      </c>
      <c r="E2719" s="1" t="str">
        <f>IFERROR(__xludf.DUMMYFUNCTION("""COMPUTED_VALUE"""),"D mo ba alam na gagawing ilang storey Ang gagawin d Naman binenta Ang palengke  pagagawan nga pra maraming vendors Ang makapagtunda")</f>
        <v>D mo ba alam na gagawing ilang storey Ang gagawin d Naman binenta Ang palengke  pagagawan nga pra maraming vendors Ang makapagtunda</v>
      </c>
      <c r="F2719" s="1"/>
      <c r="G2719" s="1" t="str">
        <f>IFERROR(__xludf.DUMMYFUNCTION("""COMPUTED_VALUE"""),"3 mos")</f>
        <v>3 mos</v>
      </c>
      <c r="H2719" s="1" t="str">
        <f>IFERROR(__xludf.DUMMYFUNCTION("""COMPUTED_VALUE"""),"reply")</f>
        <v>reply</v>
      </c>
      <c r="I2719" s="2" t="str">
        <f>IFERROR(__xludf.DUMMYFUNCTION("""COMPUTED_VALUE"""),"https://www.facebook.com/watch/live/?ref=watch_permalink&amp;v=312865720941798")</f>
        <v>https://www.facebook.com/watch/live/?ref=watch_permalink&amp;v=312865720941798</v>
      </c>
      <c r="J2719" s="1" t="str">
        <f>IFERROR(__xludf.DUMMYFUNCTION("""COMPUTED_VALUE"""),"2022-07-04T15:52:23.934Z")</f>
        <v>2022-07-04T15:52:23.934Z</v>
      </c>
      <c r="K2719" s="1"/>
    </row>
    <row r="2720">
      <c r="A2720" s="2" t="str">
        <f>IFERROR(__xludf.DUMMYFUNCTION("""COMPUTED_VALUE"""),"https://www.facebook.com/jasper.aravi")</f>
        <v>https://www.facebook.com/jasper.aravi</v>
      </c>
      <c r="B2720" s="1" t="str">
        <f>IFERROR(__xludf.DUMMYFUNCTION("""COMPUTED_VALUE"""),"Jasper Aravi")</f>
        <v>Jasper Aravi</v>
      </c>
      <c r="C2720" s="1" t="str">
        <f>IFERROR(__xludf.DUMMYFUNCTION("""COMPUTED_VALUE"""),"Jasper")</f>
        <v>Jasper</v>
      </c>
      <c r="D2720" s="1" t="str">
        <f>IFERROR(__xludf.DUMMYFUNCTION("""COMPUTED_VALUE"""),"Aravi")</f>
        <v>Aravi</v>
      </c>
      <c r="E2720" s="1" t="str">
        <f>IFERROR(__xludf.DUMMYFUNCTION("""COMPUTED_VALUE"""),"Senator ralph pakitanung nga kay isko bakit galit  na galit sa kanya mga kababayan namin deto sa devisoria at sa mga taga santa crus")</f>
        <v>Senator ralph pakitanung nga kay isko bakit galit  na galit sa kanya mga kababayan namin deto sa devisoria at sa mga taga santa crus</v>
      </c>
      <c r="F2720" s="1"/>
      <c r="G2720" s="1" t="str">
        <f>IFERROR(__xludf.DUMMYFUNCTION("""COMPUTED_VALUE"""),"3 mos")</f>
        <v>3 mos</v>
      </c>
      <c r="H2720" s="1" t="str">
        <f>IFERROR(__xludf.DUMMYFUNCTION("""COMPUTED_VALUE"""),"comment")</f>
        <v>comment</v>
      </c>
      <c r="I2720" s="2" t="str">
        <f>IFERROR(__xludf.DUMMYFUNCTION("""COMPUTED_VALUE"""),"https://www.facebook.com/watch/live/?ref=watch_permalink&amp;v=312865720941798")</f>
        <v>https://www.facebook.com/watch/live/?ref=watch_permalink&amp;v=312865720941798</v>
      </c>
      <c r="J2720" s="1" t="str">
        <f>IFERROR(__xludf.DUMMYFUNCTION("""COMPUTED_VALUE"""),"2022-07-04T15:52:23.934Z")</f>
        <v>2022-07-04T15:52:23.934Z</v>
      </c>
      <c r="K2720" s="1"/>
    </row>
    <row r="2721">
      <c r="A2721" s="2" t="str">
        <f>IFERROR(__xludf.DUMMYFUNCTION("""COMPUTED_VALUE"""),"https://www.facebook.com/arnel.atienza.984")</f>
        <v>https://www.facebook.com/arnel.atienza.984</v>
      </c>
      <c r="B2721" s="1" t="str">
        <f>IFERROR(__xludf.DUMMYFUNCTION("""COMPUTED_VALUE"""),"Atienza Bong")</f>
        <v>Atienza Bong</v>
      </c>
      <c r="C2721" s="1" t="str">
        <f>IFERROR(__xludf.DUMMYFUNCTION("""COMPUTED_VALUE"""),"Atienza")</f>
        <v>Atienza</v>
      </c>
      <c r="D2721" s="1" t="str">
        <f>IFERROR(__xludf.DUMMYFUNCTION("""COMPUTED_VALUE"""),"Bong")</f>
        <v>Bong</v>
      </c>
      <c r="E2721" s="1" t="str">
        <f>IFERROR(__xludf.DUMMYFUNCTION("""COMPUTED_VALUE"""),"Ay husto ka na puro kayo satsat")</f>
        <v>Ay husto ka na puro kayo satsat</v>
      </c>
      <c r="F2721" s="1"/>
      <c r="G2721" s="1" t="str">
        <f>IFERROR(__xludf.DUMMYFUNCTION("""COMPUTED_VALUE"""),"3 mos")</f>
        <v>3 mos</v>
      </c>
      <c r="H2721" s="1" t="str">
        <f>IFERROR(__xludf.DUMMYFUNCTION("""COMPUTED_VALUE"""),"comment")</f>
        <v>comment</v>
      </c>
      <c r="I2721" s="2" t="str">
        <f>IFERROR(__xludf.DUMMYFUNCTION("""COMPUTED_VALUE"""),"https://www.facebook.com/watch/live/?ref=watch_permalink&amp;v=312865720941798")</f>
        <v>https://www.facebook.com/watch/live/?ref=watch_permalink&amp;v=312865720941798</v>
      </c>
      <c r="J2721" s="1" t="str">
        <f>IFERROR(__xludf.DUMMYFUNCTION("""COMPUTED_VALUE"""),"2022-07-04T15:52:23.934Z")</f>
        <v>2022-07-04T15:52:23.934Z</v>
      </c>
      <c r="K2721" s="1"/>
    </row>
    <row r="2722">
      <c r="A2722" s="2" t="str">
        <f>IFERROR(__xludf.DUMMYFUNCTION("""COMPUTED_VALUE"""),"https://www.facebook.com/profile.php?id=100002551512347")</f>
        <v>https://www.facebook.com/profile.php?id=100002551512347</v>
      </c>
      <c r="B2722" s="1" t="str">
        <f>IFERROR(__xludf.DUMMYFUNCTION("""COMPUTED_VALUE"""),"Virgilio Magno")</f>
        <v>Virgilio Magno</v>
      </c>
      <c r="C2722" s="1" t="str">
        <f>IFERROR(__xludf.DUMMYFUNCTION("""COMPUTED_VALUE"""),"Virgilio")</f>
        <v>Virgilio</v>
      </c>
      <c r="D2722" s="1" t="str">
        <f>IFERROR(__xludf.DUMMYFUNCTION("""COMPUTED_VALUE"""),"Magno")</f>
        <v>Magno</v>
      </c>
      <c r="E2722" s="1" t="str">
        <f>IFERROR(__xludf.DUMMYFUNCTION("""COMPUTED_VALUE"""),"Kahit pa botohan ka sa Batanggas di pa rin sapat para manalo, pero kung magkaisa lahat ng oposisyon, may laban pa...")</f>
        <v>Kahit pa botohan ka sa Batanggas di pa rin sapat para manalo, pero kung magkaisa lahat ng oposisyon, may laban pa...</v>
      </c>
      <c r="F2722" s="1"/>
      <c r="G2722" s="1" t="str">
        <f>IFERROR(__xludf.DUMMYFUNCTION("""COMPUTED_VALUE"""),"3 mos")</f>
        <v>3 mos</v>
      </c>
      <c r="H2722" s="1" t="str">
        <f>IFERROR(__xludf.DUMMYFUNCTION("""COMPUTED_VALUE"""),"comment")</f>
        <v>comment</v>
      </c>
      <c r="I2722" s="2" t="str">
        <f>IFERROR(__xludf.DUMMYFUNCTION("""COMPUTED_VALUE"""),"https://www.facebook.com/watch/live/?ref=watch_permalink&amp;v=312865720941798")</f>
        <v>https://www.facebook.com/watch/live/?ref=watch_permalink&amp;v=312865720941798</v>
      </c>
      <c r="J2722" s="1" t="str">
        <f>IFERROR(__xludf.DUMMYFUNCTION("""COMPUTED_VALUE"""),"2022-07-04T15:52:23.934Z")</f>
        <v>2022-07-04T15:52:23.934Z</v>
      </c>
      <c r="K2722" s="1"/>
    </row>
    <row r="2723">
      <c r="A2723" s="2" t="str">
        <f>IFERROR(__xludf.DUMMYFUNCTION("""COMPUTED_VALUE"""),"https://www.facebook.com/angelita.magnaye.39")</f>
        <v>https://www.facebook.com/angelita.magnaye.39</v>
      </c>
      <c r="B2723" s="1" t="str">
        <f>IFERROR(__xludf.DUMMYFUNCTION("""COMPUTED_VALUE"""),"Angelita Magnaye")</f>
        <v>Angelita Magnaye</v>
      </c>
      <c r="C2723" s="1" t="str">
        <f>IFERROR(__xludf.DUMMYFUNCTION("""COMPUTED_VALUE"""),"Angelita")</f>
        <v>Angelita</v>
      </c>
      <c r="D2723" s="1" t="str">
        <f>IFERROR(__xludf.DUMMYFUNCTION("""COMPUTED_VALUE"""),"Magnaye")</f>
        <v>Magnaye</v>
      </c>
      <c r="E2723" s="1" t="str">
        <f>IFERROR(__xludf.DUMMYFUNCTION("""COMPUTED_VALUE"""),"God first  Galit ung mga talonan SA yabang ni isko")</f>
        <v>God first  Galit ung mga talonan SA yabang ni isko</v>
      </c>
      <c r="F2723" s="1"/>
      <c r="G2723" s="1" t="str">
        <f>IFERROR(__xludf.DUMMYFUNCTION("""COMPUTED_VALUE"""),"3 mos")</f>
        <v>3 mos</v>
      </c>
      <c r="H2723" s="1" t="str">
        <f>IFERROR(__xludf.DUMMYFUNCTION("""COMPUTED_VALUE"""),"comment")</f>
        <v>comment</v>
      </c>
      <c r="I2723" s="2" t="str">
        <f>IFERROR(__xludf.DUMMYFUNCTION("""COMPUTED_VALUE"""),"https://www.facebook.com/watch/live/?ref=watch_permalink&amp;v=312865720941798")</f>
        <v>https://www.facebook.com/watch/live/?ref=watch_permalink&amp;v=312865720941798</v>
      </c>
      <c r="J2723" s="1" t="str">
        <f>IFERROR(__xludf.DUMMYFUNCTION("""COMPUTED_VALUE"""),"2022-07-04T15:52:23.934Z")</f>
        <v>2022-07-04T15:52:23.934Z</v>
      </c>
      <c r="K2723" s="1"/>
    </row>
    <row r="2724">
      <c r="A2724" s="2" t="str">
        <f>IFERROR(__xludf.DUMMYFUNCTION("""COMPUTED_VALUE"""),"https://www.facebook.com/profile.php?id=100070842512295")</f>
        <v>https://www.facebook.com/profile.php?id=100070842512295</v>
      </c>
      <c r="B2724" s="1" t="str">
        <f>IFERROR(__xludf.DUMMYFUNCTION("""COMPUTED_VALUE"""),"Hamida Sali")</f>
        <v>Hamida Sali</v>
      </c>
      <c r="C2724" s="1" t="str">
        <f>IFERROR(__xludf.DUMMYFUNCTION("""COMPUTED_VALUE"""),"Hamida")</f>
        <v>Hamida</v>
      </c>
      <c r="D2724" s="1" t="str">
        <f>IFERROR(__xludf.DUMMYFUNCTION("""COMPUTED_VALUE"""),"Sali")</f>
        <v>Sali</v>
      </c>
      <c r="E2724" s="1" t="str">
        <f>IFERROR(__xludf.DUMMYFUNCTION("""COMPUTED_VALUE"""),"Hhh    senyales ngglit ung  bulcan  taal s knya ky binenta niya ung divisoria  kya  yn ng pphiwatig    n  ng alboroto")</f>
        <v>Hhh    senyales ngglit ung  bulcan  taal s knya ky binenta niya ung divisoria  kya  yn ng pphiwatig    n  ng alboroto</v>
      </c>
      <c r="F2724" s="1"/>
      <c r="G2724" s="1" t="str">
        <f>IFERROR(__xludf.DUMMYFUNCTION("""COMPUTED_VALUE"""),"3 mos")</f>
        <v>3 mos</v>
      </c>
      <c r="H2724" s="1" t="str">
        <f>IFERROR(__xludf.DUMMYFUNCTION("""COMPUTED_VALUE"""),"comment")</f>
        <v>comment</v>
      </c>
      <c r="I2724" s="2" t="str">
        <f>IFERROR(__xludf.DUMMYFUNCTION("""COMPUTED_VALUE"""),"https://www.facebook.com/watch/live/?ref=watch_permalink&amp;v=312865720941798")</f>
        <v>https://www.facebook.com/watch/live/?ref=watch_permalink&amp;v=312865720941798</v>
      </c>
      <c r="J2724" s="1" t="str">
        <f>IFERROR(__xludf.DUMMYFUNCTION("""COMPUTED_VALUE"""),"2022-07-04T15:52:23.934Z")</f>
        <v>2022-07-04T15:52:23.934Z</v>
      </c>
      <c r="K2724" s="1"/>
    </row>
    <row r="2725">
      <c r="A2725" s="2" t="str">
        <f>IFERROR(__xludf.DUMMYFUNCTION("""COMPUTED_VALUE"""),"https://www.facebook.com/cynthia.estrada.393950")</f>
        <v>https://www.facebook.com/cynthia.estrada.393950</v>
      </c>
      <c r="B2725" s="1" t="str">
        <f>IFERROR(__xludf.DUMMYFUNCTION("""COMPUTED_VALUE"""),"Cynthia Estrada")</f>
        <v>Cynthia Estrada</v>
      </c>
      <c r="C2725" s="1" t="str">
        <f>IFERROR(__xludf.DUMMYFUNCTION("""COMPUTED_VALUE"""),"Cynthia")</f>
        <v>Cynthia</v>
      </c>
      <c r="D2725" s="1" t="str">
        <f>IFERROR(__xludf.DUMMYFUNCTION("""COMPUTED_VALUE"""),"Estrada")</f>
        <v>Estrada</v>
      </c>
      <c r="E2725" s="1" t="str">
        <f>IFERROR(__xludf.DUMMYFUNCTION("""COMPUTED_VALUE"""),"Sasabog na taal!!!")</f>
        <v>Sasabog na taal!!!</v>
      </c>
      <c r="F2725" s="1"/>
      <c r="G2725" s="1" t="str">
        <f>IFERROR(__xludf.DUMMYFUNCTION("""COMPUTED_VALUE"""),"3 mos")</f>
        <v>3 mos</v>
      </c>
      <c r="H2725" s="1" t="str">
        <f>IFERROR(__xludf.DUMMYFUNCTION("""COMPUTED_VALUE"""),"comment")</f>
        <v>comment</v>
      </c>
      <c r="I2725" s="2" t="str">
        <f>IFERROR(__xludf.DUMMYFUNCTION("""COMPUTED_VALUE"""),"https://www.facebook.com/watch/live/?ref=watch_permalink&amp;v=312865720941798")</f>
        <v>https://www.facebook.com/watch/live/?ref=watch_permalink&amp;v=312865720941798</v>
      </c>
      <c r="J2725" s="1" t="str">
        <f>IFERROR(__xludf.DUMMYFUNCTION("""COMPUTED_VALUE"""),"2022-07-04T15:52:23.934Z")</f>
        <v>2022-07-04T15:52:23.934Z</v>
      </c>
      <c r="K2725" s="1"/>
    </row>
    <row r="2726">
      <c r="A2726" s="2" t="str">
        <f>IFERROR(__xludf.DUMMYFUNCTION("""COMPUTED_VALUE"""),"https://www.facebook.com/Big.Jon.Royal")</f>
        <v>https://www.facebook.com/Big.Jon.Royal</v>
      </c>
      <c r="B2726" s="1" t="str">
        <f>IFERROR(__xludf.DUMMYFUNCTION("""COMPUTED_VALUE"""),"Don Gorio")</f>
        <v>Don Gorio</v>
      </c>
      <c r="C2726" s="1" t="str">
        <f>IFERROR(__xludf.DUMMYFUNCTION("""COMPUTED_VALUE"""),"Don")</f>
        <v>Don</v>
      </c>
      <c r="D2726" s="1" t="str">
        <f>IFERROR(__xludf.DUMMYFUNCTION("""COMPUTED_VALUE"""),"Gorio")</f>
        <v>Gorio</v>
      </c>
      <c r="E2726" s="1" t="str">
        <f>IFERROR(__xludf.DUMMYFUNCTION("""COMPUTED_VALUE"""),"Brod Ralph Recto cannot let go of his vape, hehe.. no more Marlboro Mediums tol? Hehe..")</f>
        <v>Brod Ralph Recto cannot let go of his vape, hehe.. no more Marlboro Mediums tol? Hehe..</v>
      </c>
      <c r="F2726" s="1"/>
      <c r="G2726" s="1" t="str">
        <f>IFERROR(__xludf.DUMMYFUNCTION("""COMPUTED_VALUE"""),"3 mos")</f>
        <v>3 mos</v>
      </c>
      <c r="H2726" s="1" t="str">
        <f>IFERROR(__xludf.DUMMYFUNCTION("""COMPUTED_VALUE"""),"comment")</f>
        <v>comment</v>
      </c>
      <c r="I2726" s="2" t="str">
        <f>IFERROR(__xludf.DUMMYFUNCTION("""COMPUTED_VALUE"""),"https://www.facebook.com/watch/live/?ref=watch_permalink&amp;v=312865720941798")</f>
        <v>https://www.facebook.com/watch/live/?ref=watch_permalink&amp;v=312865720941798</v>
      </c>
      <c r="J2726" s="1" t="str">
        <f>IFERROR(__xludf.DUMMYFUNCTION("""COMPUTED_VALUE"""),"2022-07-04T15:52:23.934Z")</f>
        <v>2022-07-04T15:52:23.934Z</v>
      </c>
      <c r="K2726" s="1"/>
    </row>
    <row r="2727">
      <c r="A2727" s="2" t="str">
        <f>IFERROR(__xludf.DUMMYFUNCTION("""COMPUTED_VALUE"""),"https://www.facebook.com/arvin.palomar")</f>
        <v>https://www.facebook.com/arvin.palomar</v>
      </c>
      <c r="B2727" s="1" t="str">
        <f>IFERROR(__xludf.DUMMYFUNCTION("""COMPUTED_VALUE"""),"Arvin Vincent Palomar")</f>
        <v>Arvin Vincent Palomar</v>
      </c>
      <c r="C2727" s="1" t="str">
        <f>IFERROR(__xludf.DUMMYFUNCTION("""COMPUTED_VALUE"""),"Arvin")</f>
        <v>Arvin</v>
      </c>
      <c r="D2727" s="1" t="str">
        <f>IFERROR(__xludf.DUMMYFUNCTION("""COMPUTED_VALUE"""),"Vincent Palomar")</f>
        <v>Vincent Palomar</v>
      </c>
      <c r="E2727" s="1" t="str">
        <f>IFERROR(__xludf.DUMMYFUNCTION("""COMPUTED_VALUE"""),"Habol lang ISKOmisyon sa proyekto.")</f>
        <v>Habol lang ISKOmisyon sa proyekto.</v>
      </c>
      <c r="F2727" s="1"/>
      <c r="G2727" s="1" t="str">
        <f>IFERROR(__xludf.DUMMYFUNCTION("""COMPUTED_VALUE"""),"3 mos")</f>
        <v>3 mos</v>
      </c>
      <c r="H2727" s="1" t="str">
        <f>IFERROR(__xludf.DUMMYFUNCTION("""COMPUTED_VALUE"""),"comment")</f>
        <v>comment</v>
      </c>
      <c r="I2727" s="2" t="str">
        <f>IFERROR(__xludf.DUMMYFUNCTION("""COMPUTED_VALUE"""),"https://www.facebook.com/watch/live/?ref=watch_permalink&amp;v=312865720941798")</f>
        <v>https://www.facebook.com/watch/live/?ref=watch_permalink&amp;v=312865720941798</v>
      </c>
      <c r="J2727" s="1" t="str">
        <f>IFERROR(__xludf.DUMMYFUNCTION("""COMPUTED_VALUE"""),"2022-07-04T15:52:23.934Z")</f>
        <v>2022-07-04T15:52:23.934Z</v>
      </c>
      <c r="K2727" s="1"/>
    </row>
    <row r="2728">
      <c r="A2728" s="2" t="str">
        <f>IFERROR(__xludf.DUMMYFUNCTION("""COMPUTED_VALUE"""),"https://www.facebook.com/gnilojake2")</f>
        <v>https://www.facebook.com/gnilojake2</v>
      </c>
      <c r="B2728" s="1" t="str">
        <f>IFERROR(__xludf.DUMMYFUNCTION("""COMPUTED_VALUE"""),"Carmelito Gnilo")</f>
        <v>Carmelito Gnilo</v>
      </c>
      <c r="C2728" s="1" t="str">
        <f>IFERROR(__xludf.DUMMYFUNCTION("""COMPUTED_VALUE"""),"Carmelito")</f>
        <v>Carmelito</v>
      </c>
      <c r="D2728" s="1" t="str">
        <f>IFERROR(__xludf.DUMMYFUNCTION("""COMPUTED_VALUE"""),"Gnilo")</f>
        <v>Gnilo</v>
      </c>
      <c r="E2728" s="1" t="str">
        <f>IFERROR(__xludf.DUMMYFUNCTION("""COMPUTED_VALUE"""),"Kanya sasabog  na ang taal, dahil nagsanib sina Recto at Isko. Hahaha.")</f>
        <v>Kanya sasabog  na ang taal, dahil nagsanib sina Recto at Isko. Hahaha.</v>
      </c>
      <c r="F2728" s="1"/>
      <c r="G2728" s="1" t="str">
        <f>IFERROR(__xludf.DUMMYFUNCTION("""COMPUTED_VALUE"""),"3 mos")</f>
        <v>3 mos</v>
      </c>
      <c r="H2728" s="1" t="str">
        <f>IFERROR(__xludf.DUMMYFUNCTION("""COMPUTED_VALUE"""),"comment")</f>
        <v>comment</v>
      </c>
      <c r="I2728" s="2" t="str">
        <f>IFERROR(__xludf.DUMMYFUNCTION("""COMPUTED_VALUE"""),"https://www.facebook.com/watch/live/?ref=watch_permalink&amp;v=312865720941798")</f>
        <v>https://www.facebook.com/watch/live/?ref=watch_permalink&amp;v=312865720941798</v>
      </c>
      <c r="J2728" s="1" t="str">
        <f>IFERROR(__xludf.DUMMYFUNCTION("""COMPUTED_VALUE"""),"2022-07-04T15:52:23.934Z")</f>
        <v>2022-07-04T15:52:23.934Z</v>
      </c>
      <c r="K2728" s="1"/>
    </row>
    <row r="2729">
      <c r="A2729" s="2" t="str">
        <f>IFERROR(__xludf.DUMMYFUNCTION("""COMPUTED_VALUE"""),"https://www.facebook.com/wilfredo.perez.581")</f>
        <v>https://www.facebook.com/wilfredo.perez.581</v>
      </c>
      <c r="B2729" s="1" t="str">
        <f>IFERROR(__xludf.DUMMYFUNCTION("""COMPUTED_VALUE"""),"Wilfredo Perez")</f>
        <v>Wilfredo Perez</v>
      </c>
      <c r="C2729" s="1" t="str">
        <f>IFERROR(__xludf.DUMMYFUNCTION("""COMPUTED_VALUE"""),"Wilfredo")</f>
        <v>Wilfredo</v>
      </c>
      <c r="D2729" s="1" t="str">
        <f>IFERROR(__xludf.DUMMYFUNCTION("""COMPUTED_VALUE"""),"Perez")</f>
        <v>Perez</v>
      </c>
      <c r="E2729" s="1" t="str">
        <f>IFERROR(__xludf.DUMMYFUNCTION("""COMPUTED_VALUE"""),"Kaya yata pumuskat ang taal nariyan si isko🤣🤣🤣")</f>
        <v>Kaya yata pumuskat ang taal nariyan si isko🤣🤣🤣</v>
      </c>
      <c r="F2729" s="1"/>
      <c r="G2729" s="1" t="str">
        <f>IFERROR(__xludf.DUMMYFUNCTION("""COMPUTED_VALUE"""),"3 mos")</f>
        <v>3 mos</v>
      </c>
      <c r="H2729" s="1" t="str">
        <f>IFERROR(__xludf.DUMMYFUNCTION("""COMPUTED_VALUE"""),"comment")</f>
        <v>comment</v>
      </c>
      <c r="I2729" s="2" t="str">
        <f>IFERROR(__xludf.DUMMYFUNCTION("""COMPUTED_VALUE"""),"https://www.facebook.com/watch/live/?ref=watch_permalink&amp;v=312865720941798")</f>
        <v>https://www.facebook.com/watch/live/?ref=watch_permalink&amp;v=312865720941798</v>
      </c>
      <c r="J2729" s="1" t="str">
        <f>IFERROR(__xludf.DUMMYFUNCTION("""COMPUTED_VALUE"""),"2022-07-04T15:52:23.934Z")</f>
        <v>2022-07-04T15:52:23.934Z</v>
      </c>
      <c r="K2729" s="1"/>
    </row>
    <row r="2730">
      <c r="A2730" s="2" t="str">
        <f>IFERROR(__xludf.DUMMYFUNCTION("""COMPUTED_VALUE"""),"https://www.facebook.com/zuno.silang")</f>
        <v>https://www.facebook.com/zuno.silang</v>
      </c>
      <c r="B2730" s="1" t="str">
        <f>IFERROR(__xludf.DUMMYFUNCTION("""COMPUTED_VALUE"""),"Zuno Silang")</f>
        <v>Zuno Silang</v>
      </c>
      <c r="C2730" s="1" t="str">
        <f>IFERROR(__xludf.DUMMYFUNCTION("""COMPUTED_VALUE"""),"Zuno")</f>
        <v>Zuno</v>
      </c>
      <c r="D2730" s="1" t="str">
        <f>IFERROR(__xludf.DUMMYFUNCTION("""COMPUTED_VALUE"""),"Silang")</f>
        <v>Silang</v>
      </c>
      <c r="E2730" s="1" t="str">
        <f>IFERROR(__xludf.DUMMYFUNCTION("""COMPUTED_VALUE"""),"Wilfredo Perez di sumasang ayon ang kalikasan 💗")</f>
        <v>Wilfredo Perez di sumasang ayon ang kalikasan 💗</v>
      </c>
      <c r="F2730" s="1"/>
      <c r="G2730" s="1" t="str">
        <f>IFERROR(__xludf.DUMMYFUNCTION("""COMPUTED_VALUE"""),"3 mos")</f>
        <v>3 mos</v>
      </c>
      <c r="H2730" s="1" t="str">
        <f>IFERROR(__xludf.DUMMYFUNCTION("""COMPUTED_VALUE"""),"reply")</f>
        <v>reply</v>
      </c>
      <c r="I2730" s="2" t="str">
        <f>IFERROR(__xludf.DUMMYFUNCTION("""COMPUTED_VALUE"""),"https://www.facebook.com/watch/live/?ref=watch_permalink&amp;v=312865720941798")</f>
        <v>https://www.facebook.com/watch/live/?ref=watch_permalink&amp;v=312865720941798</v>
      </c>
      <c r="J2730" s="1" t="str">
        <f>IFERROR(__xludf.DUMMYFUNCTION("""COMPUTED_VALUE"""),"2022-07-04T15:52:23.934Z")</f>
        <v>2022-07-04T15:52:23.934Z</v>
      </c>
      <c r="K2730" s="1"/>
    </row>
    <row r="2731">
      <c r="A2731" s="2" t="str">
        <f>IFERROR(__xludf.DUMMYFUNCTION("""COMPUTED_VALUE"""),"https://www.facebook.com/mar.salesinap")</f>
        <v>https://www.facebook.com/mar.salesinap</v>
      </c>
      <c r="B2731" s="1" t="str">
        <f>IFERROR(__xludf.DUMMYFUNCTION("""COMPUTED_VALUE"""),"Belmar Mateo Selasinap")</f>
        <v>Belmar Mateo Selasinap</v>
      </c>
      <c r="C2731" s="1" t="str">
        <f>IFERROR(__xludf.DUMMYFUNCTION("""COMPUTED_VALUE"""),"Belmar")</f>
        <v>Belmar</v>
      </c>
      <c r="D2731" s="1" t="str">
        <f>IFERROR(__xludf.DUMMYFUNCTION("""COMPUTED_VALUE"""),"Mateo Selasinap")</f>
        <v>Mateo Selasinap</v>
      </c>
      <c r="E2731" s="1" t="str">
        <f>IFERROR(__xludf.DUMMYFUNCTION("""COMPUTED_VALUE"""),"Inaantay ko yong magandang plataporma. Iwas sana siraan ng bawat isa dahil lumang style nayan")</f>
        <v>Inaantay ko yong magandang plataporma. Iwas sana siraan ng bawat isa dahil lumang style nayan</v>
      </c>
      <c r="F2731" s="1"/>
      <c r="G2731" s="1" t="str">
        <f>IFERROR(__xludf.DUMMYFUNCTION("""COMPUTED_VALUE"""),"3 mos")</f>
        <v>3 mos</v>
      </c>
      <c r="H2731" s="1" t="str">
        <f>IFERROR(__xludf.DUMMYFUNCTION("""COMPUTED_VALUE"""),"comment")</f>
        <v>comment</v>
      </c>
      <c r="I2731" s="2" t="str">
        <f>IFERROR(__xludf.DUMMYFUNCTION("""COMPUTED_VALUE"""),"https://www.facebook.com/watch/live/?ref=watch_permalink&amp;v=312865720941798")</f>
        <v>https://www.facebook.com/watch/live/?ref=watch_permalink&amp;v=312865720941798</v>
      </c>
      <c r="J2731" s="1" t="str">
        <f>IFERROR(__xludf.DUMMYFUNCTION("""COMPUTED_VALUE"""),"2022-07-04T15:52:23.934Z")</f>
        <v>2022-07-04T15:52:23.934Z</v>
      </c>
      <c r="K2731" s="1"/>
    </row>
    <row r="2732">
      <c r="A2732" s="2" t="str">
        <f>IFERROR(__xludf.DUMMYFUNCTION("""COMPUTED_VALUE"""),"https://www.facebook.com/profile.php?id=100074412862665")</f>
        <v>https://www.facebook.com/profile.php?id=100074412862665</v>
      </c>
      <c r="B2732" s="1" t="str">
        <f>IFERROR(__xludf.DUMMYFUNCTION("""COMPUTED_VALUE"""),"Alejandro Latayan")</f>
        <v>Alejandro Latayan</v>
      </c>
      <c r="C2732" s="1" t="str">
        <f>IFERROR(__xludf.DUMMYFUNCTION("""COMPUTED_VALUE"""),"Alejandro")</f>
        <v>Alejandro</v>
      </c>
      <c r="D2732" s="1" t="str">
        <f>IFERROR(__xludf.DUMMYFUNCTION("""COMPUTED_VALUE"""),"Latayan")</f>
        <v>Latayan</v>
      </c>
      <c r="E2732" s="1" t="str">
        <f>IFERROR(__xludf.DUMMYFUNCTION("""COMPUTED_VALUE"""),"kaya pala pumutok ang taal volcano andyan pala si isko pati volcan taal nagalit")</f>
        <v>kaya pala pumutok ang taal volcano andyan pala si isko pati volcan taal nagalit</v>
      </c>
      <c r="F2732" s="1"/>
      <c r="G2732" s="1" t="str">
        <f>IFERROR(__xludf.DUMMYFUNCTION("""COMPUTED_VALUE"""),"3 mos")</f>
        <v>3 mos</v>
      </c>
      <c r="H2732" s="1" t="str">
        <f>IFERROR(__xludf.DUMMYFUNCTION("""COMPUTED_VALUE"""),"comment")</f>
        <v>comment</v>
      </c>
      <c r="I2732" s="2" t="str">
        <f>IFERROR(__xludf.DUMMYFUNCTION("""COMPUTED_VALUE"""),"https://www.facebook.com/watch/live/?ref=watch_permalink&amp;v=312865720941798")</f>
        <v>https://www.facebook.com/watch/live/?ref=watch_permalink&amp;v=312865720941798</v>
      </c>
      <c r="J2732" s="1" t="str">
        <f>IFERROR(__xludf.DUMMYFUNCTION("""COMPUTED_VALUE"""),"2022-07-04T15:52:23.934Z")</f>
        <v>2022-07-04T15:52:23.934Z</v>
      </c>
      <c r="K2732" s="1"/>
    </row>
    <row r="2733">
      <c r="A2733" s="2" t="str">
        <f>IFERROR(__xludf.DUMMYFUNCTION("""COMPUTED_VALUE"""),"https://www.facebook.com/dante.vigo.56")</f>
        <v>https://www.facebook.com/dante.vigo.56</v>
      </c>
      <c r="B2733" s="1" t="str">
        <f>IFERROR(__xludf.DUMMYFUNCTION("""COMPUTED_VALUE"""),"Dante Vigo")</f>
        <v>Dante Vigo</v>
      </c>
      <c r="C2733" s="1" t="str">
        <f>IFERROR(__xludf.DUMMYFUNCTION("""COMPUTED_VALUE"""),"Dante")</f>
        <v>Dante</v>
      </c>
      <c r="D2733" s="1" t="str">
        <f>IFERROR(__xludf.DUMMYFUNCTION("""COMPUTED_VALUE"""),"Vigo")</f>
        <v>Vigo</v>
      </c>
      <c r="E2733" s="1" t="str">
        <f>IFERROR(__xludf.DUMMYFUNCTION("""COMPUTED_VALUE"""),"Bolero,naawa kayo sa amin")</f>
        <v>Bolero,naawa kayo sa amin</v>
      </c>
      <c r="F2733" s="1"/>
      <c r="G2733" s="1" t="str">
        <f>IFERROR(__xludf.DUMMYFUNCTION("""COMPUTED_VALUE"""),"3 mos")</f>
        <v>3 mos</v>
      </c>
      <c r="H2733" s="1" t="str">
        <f>IFERROR(__xludf.DUMMYFUNCTION("""COMPUTED_VALUE"""),"comment")</f>
        <v>comment</v>
      </c>
      <c r="I2733" s="2" t="str">
        <f>IFERROR(__xludf.DUMMYFUNCTION("""COMPUTED_VALUE"""),"https://www.facebook.com/watch/live/?ref=watch_permalink&amp;v=312865720941798")</f>
        <v>https://www.facebook.com/watch/live/?ref=watch_permalink&amp;v=312865720941798</v>
      </c>
      <c r="J2733" s="1" t="str">
        <f>IFERROR(__xludf.DUMMYFUNCTION("""COMPUTED_VALUE"""),"2022-07-04T15:52:23.934Z")</f>
        <v>2022-07-04T15:52:23.934Z</v>
      </c>
      <c r="K2733" s="1"/>
    </row>
    <row r="2734">
      <c r="A2734" s="2" t="str">
        <f>IFERROR(__xludf.DUMMYFUNCTION("""COMPUTED_VALUE"""),"https://www.facebook.com/patriusmark")</f>
        <v>https://www.facebook.com/patriusmark</v>
      </c>
      <c r="B2734" s="1" t="str">
        <f>IFERROR(__xludf.DUMMYFUNCTION("""COMPUTED_VALUE"""),"McCoy Carpio Casares")</f>
        <v>McCoy Carpio Casares</v>
      </c>
      <c r="C2734" s="1" t="str">
        <f>IFERROR(__xludf.DUMMYFUNCTION("""COMPUTED_VALUE"""),"McCoy")</f>
        <v>McCoy</v>
      </c>
      <c r="D2734" s="1" t="str">
        <f>IFERROR(__xludf.DUMMYFUNCTION("""COMPUTED_VALUE"""),"Carpio Casares")</f>
        <v>Carpio Casares</v>
      </c>
      <c r="E2734" s="1" t="str">
        <f>IFERROR(__xludf.DUMMYFUNCTION("""COMPUTED_VALUE"""),"#IskoDocWillie2022 #TunayNaSolusyonMabilisUmaksyon ☝️💙🇵🇭")</f>
        <v>#IskoDocWillie2022 #TunayNaSolusyonMabilisUmaksyon ☝️💙🇵🇭</v>
      </c>
      <c r="F2734" s="1">
        <f>IFERROR(__xludf.DUMMYFUNCTION("""COMPUTED_VALUE"""),1.0)</f>
        <v>1</v>
      </c>
      <c r="G2734" s="1" t="str">
        <f>IFERROR(__xludf.DUMMYFUNCTION("""COMPUTED_VALUE"""),"3 mos")</f>
        <v>3 mos</v>
      </c>
      <c r="H2734" s="1" t="str">
        <f>IFERROR(__xludf.DUMMYFUNCTION("""COMPUTED_VALUE"""),"comment")</f>
        <v>comment</v>
      </c>
      <c r="I2734" s="2" t="str">
        <f>IFERROR(__xludf.DUMMYFUNCTION("""COMPUTED_VALUE"""),"https://www.facebook.com/watch/live/?ref=watch_permalink&amp;v=312865720941798")</f>
        <v>https://www.facebook.com/watch/live/?ref=watch_permalink&amp;v=312865720941798</v>
      </c>
      <c r="J2734" s="1" t="str">
        <f>IFERROR(__xludf.DUMMYFUNCTION("""COMPUTED_VALUE"""),"2022-07-04T15:52:23.934Z")</f>
        <v>2022-07-04T15:52:23.934Z</v>
      </c>
      <c r="K2734" s="1"/>
    </row>
    <row r="2735">
      <c r="A2735" s="2" t="str">
        <f>IFERROR(__xludf.DUMMYFUNCTION("""COMPUTED_VALUE"""),"https://www.facebook.com/inmate041908")</f>
        <v>https://www.facebook.com/inmate041908</v>
      </c>
      <c r="B2735" s="1" t="str">
        <f>IFERROR(__xludf.DUMMYFUNCTION("""COMPUTED_VALUE"""),"Jaime Dela Cuesta")</f>
        <v>Jaime Dela Cuesta</v>
      </c>
      <c r="C2735" s="1" t="str">
        <f>IFERROR(__xludf.DUMMYFUNCTION("""COMPUTED_VALUE"""),"Jaime")</f>
        <v>Jaime</v>
      </c>
      <c r="D2735" s="1" t="str">
        <f>IFERROR(__xludf.DUMMYFUNCTION("""COMPUTED_VALUE"""),"Dela Cuesta")</f>
        <v>Dela Cuesta</v>
      </c>
      <c r="E2735" s="1" t="str">
        <f>IFERROR(__xludf.DUMMYFUNCTION("""COMPUTED_VALUE"""),"Mylene Raymundo")</f>
        <v>Mylene Raymundo</v>
      </c>
      <c r="F2735" s="1"/>
      <c r="G2735" s="1" t="str">
        <f>IFERROR(__xludf.DUMMYFUNCTION("""COMPUTED_VALUE"""),"3 mos")</f>
        <v>3 mos</v>
      </c>
      <c r="H2735" s="1" t="str">
        <f>IFERROR(__xludf.DUMMYFUNCTION("""COMPUTED_VALUE"""),"comment")</f>
        <v>comment</v>
      </c>
      <c r="I2735" s="2" t="str">
        <f>IFERROR(__xludf.DUMMYFUNCTION("""COMPUTED_VALUE"""),"https://www.facebook.com/watch/live/?ref=watch_permalink&amp;v=312865720941798")</f>
        <v>https://www.facebook.com/watch/live/?ref=watch_permalink&amp;v=312865720941798</v>
      </c>
      <c r="J2735" s="1" t="str">
        <f>IFERROR(__xludf.DUMMYFUNCTION("""COMPUTED_VALUE"""),"2022-07-04T15:52:23.935Z")</f>
        <v>2022-07-04T15:52:23.935Z</v>
      </c>
      <c r="K2735" s="1"/>
    </row>
    <row r="2736">
      <c r="A2736" s="2" t="str">
        <f>IFERROR(__xludf.DUMMYFUNCTION("""COMPUTED_VALUE"""),"https://www.facebook.com/inmate041908")</f>
        <v>https://www.facebook.com/inmate041908</v>
      </c>
      <c r="B2736" s="1" t="str">
        <f>IFERROR(__xludf.DUMMYFUNCTION("""COMPUTED_VALUE"""),"Jaime Dela Cuesta")</f>
        <v>Jaime Dela Cuesta</v>
      </c>
      <c r="C2736" s="1" t="str">
        <f>IFERROR(__xludf.DUMMYFUNCTION("""COMPUTED_VALUE"""),"Jaime")</f>
        <v>Jaime</v>
      </c>
      <c r="D2736" s="1" t="str">
        <f>IFERROR(__xludf.DUMMYFUNCTION("""COMPUTED_VALUE"""),"Dela Cuesta")</f>
        <v>Dela Cuesta</v>
      </c>
      <c r="E2736" s="1" t="str">
        <f>IFERROR(__xludf.DUMMYFUNCTION("""COMPUTED_VALUE"""),"Melvin Nicolas")</f>
        <v>Melvin Nicolas</v>
      </c>
      <c r="F2736" s="1"/>
      <c r="G2736" s="1" t="str">
        <f>IFERROR(__xludf.DUMMYFUNCTION("""COMPUTED_VALUE"""),"3 mos")</f>
        <v>3 mos</v>
      </c>
      <c r="H2736" s="1" t="str">
        <f>IFERROR(__xludf.DUMMYFUNCTION("""COMPUTED_VALUE"""),"comment")</f>
        <v>comment</v>
      </c>
      <c r="I2736" s="2" t="str">
        <f>IFERROR(__xludf.DUMMYFUNCTION("""COMPUTED_VALUE"""),"https://www.facebook.com/watch/live/?ref=watch_permalink&amp;v=312865720941798")</f>
        <v>https://www.facebook.com/watch/live/?ref=watch_permalink&amp;v=312865720941798</v>
      </c>
      <c r="J2736" s="1" t="str">
        <f>IFERROR(__xludf.DUMMYFUNCTION("""COMPUTED_VALUE"""),"2022-07-04T15:52:23.935Z")</f>
        <v>2022-07-04T15:52:23.935Z</v>
      </c>
      <c r="K2736" s="1"/>
    </row>
    <row r="2737">
      <c r="A2737" s="2" t="str">
        <f>IFERROR(__xludf.DUMMYFUNCTION("""COMPUTED_VALUE"""),"https://www.facebook.com/haniaalonto.orandang")</f>
        <v>https://www.facebook.com/haniaalonto.orandang</v>
      </c>
      <c r="B2737" s="1" t="str">
        <f>IFERROR(__xludf.DUMMYFUNCTION("""COMPUTED_VALUE"""),"Hania Ali Bansao")</f>
        <v>Hania Ali Bansao</v>
      </c>
      <c r="C2737" s="1" t="str">
        <f>IFERROR(__xludf.DUMMYFUNCTION("""COMPUTED_VALUE"""),"Hania")</f>
        <v>Hania</v>
      </c>
      <c r="D2737" s="1" t="str">
        <f>IFERROR(__xludf.DUMMYFUNCTION("""COMPUTED_VALUE"""),"Ali Bansao")</f>
        <v>Ali Bansao</v>
      </c>
      <c r="E2737" s="1" t="str">
        <f>IFERROR(__xludf.DUMMYFUNCTION("""COMPUTED_VALUE"""),"Hania Ali Bansao")</f>
        <v>Hania Ali Bansao</v>
      </c>
      <c r="F2737" s="1"/>
      <c r="G2737" s="1" t="str">
        <f>IFERROR(__xludf.DUMMYFUNCTION("""COMPUTED_VALUE"""),"3 mos")</f>
        <v>3 mos</v>
      </c>
      <c r="H2737" s="1" t="str">
        <f>IFERROR(__xludf.DUMMYFUNCTION("""COMPUTED_VALUE"""),"comment")</f>
        <v>comment</v>
      </c>
      <c r="I2737" s="2" t="str">
        <f>IFERROR(__xludf.DUMMYFUNCTION("""COMPUTED_VALUE"""),"https://www.facebook.com/watch/live/?ref=watch_permalink&amp;v=312865720941798")</f>
        <v>https://www.facebook.com/watch/live/?ref=watch_permalink&amp;v=312865720941798</v>
      </c>
      <c r="J2737" s="1" t="str">
        <f>IFERROR(__xludf.DUMMYFUNCTION("""COMPUTED_VALUE"""),"2022-07-04T15:52:23.935Z")</f>
        <v>2022-07-04T15:52:23.935Z</v>
      </c>
      <c r="K2737" s="1"/>
    </row>
    <row r="2738">
      <c r="A2738" s="2" t="str">
        <f>IFERROR(__xludf.DUMMYFUNCTION("""COMPUTED_VALUE"""),"https://www.facebook.com/haniaalonto.orandang")</f>
        <v>https://www.facebook.com/haniaalonto.orandang</v>
      </c>
      <c r="B2738" s="1" t="str">
        <f>IFERROR(__xludf.DUMMYFUNCTION("""COMPUTED_VALUE"""),"Hania Ali Bansao")</f>
        <v>Hania Ali Bansao</v>
      </c>
      <c r="C2738" s="1" t="str">
        <f>IFERROR(__xludf.DUMMYFUNCTION("""COMPUTED_VALUE"""),"Hania")</f>
        <v>Hania</v>
      </c>
      <c r="D2738" s="1" t="str">
        <f>IFERROR(__xludf.DUMMYFUNCTION("""COMPUTED_VALUE"""),"Ali Bansao")</f>
        <v>Ali Bansao</v>
      </c>
      <c r="E2738" s="1" t="str">
        <f>IFERROR(__xludf.DUMMYFUNCTION("""COMPUTED_VALUE"""),"☝️☝️☝️")</f>
        <v>☝️☝️☝️</v>
      </c>
      <c r="F2738" s="1"/>
      <c r="G2738" s="1" t="str">
        <f>IFERROR(__xludf.DUMMYFUNCTION("""COMPUTED_VALUE"""),"3 mos")</f>
        <v>3 mos</v>
      </c>
      <c r="H2738" s="1" t="str">
        <f>IFERROR(__xludf.DUMMYFUNCTION("""COMPUTED_VALUE"""),"comment")</f>
        <v>comment</v>
      </c>
      <c r="I2738" s="2" t="str">
        <f>IFERROR(__xludf.DUMMYFUNCTION("""COMPUTED_VALUE"""),"https://www.facebook.com/watch/live/?ref=watch_permalink&amp;v=312865720941798")</f>
        <v>https://www.facebook.com/watch/live/?ref=watch_permalink&amp;v=312865720941798</v>
      </c>
      <c r="J2738" s="1" t="str">
        <f>IFERROR(__xludf.DUMMYFUNCTION("""COMPUTED_VALUE"""),"2022-07-04T15:52:23.935Z")</f>
        <v>2022-07-04T15:52:23.935Z</v>
      </c>
      <c r="K2738" s="1"/>
    </row>
    <row r="2739">
      <c r="A2739" s="2" t="str">
        <f>IFERROR(__xludf.DUMMYFUNCTION("""COMPUTED_VALUE"""),"https://www.facebook.com/catalina.biticon.12")</f>
        <v>https://www.facebook.com/catalina.biticon.12</v>
      </c>
      <c r="B2739" s="1" t="str">
        <f>IFERROR(__xludf.DUMMYFUNCTION("""COMPUTED_VALUE"""),"Catalina Biticon")</f>
        <v>Catalina Biticon</v>
      </c>
      <c r="C2739" s="1" t="str">
        <f>IFERROR(__xludf.DUMMYFUNCTION("""COMPUTED_VALUE"""),"Catalina")</f>
        <v>Catalina</v>
      </c>
      <c r="D2739" s="1" t="str">
        <f>IFERROR(__xludf.DUMMYFUNCTION("""COMPUTED_VALUE"""),"Biticon")</f>
        <v>Biticon</v>
      </c>
      <c r="E2739" s="1" t="str">
        <f>IFERROR(__xludf.DUMMYFUNCTION("""COMPUTED_VALUE"""),"#godfirst")</f>
        <v>#godfirst</v>
      </c>
      <c r="F2739" s="1"/>
      <c r="G2739" s="1" t="str">
        <f>IFERROR(__xludf.DUMMYFUNCTION("""COMPUTED_VALUE"""),"3 mos")</f>
        <v>3 mos</v>
      </c>
      <c r="H2739" s="1" t="str">
        <f>IFERROR(__xludf.DUMMYFUNCTION("""COMPUTED_VALUE"""),"comment")</f>
        <v>comment</v>
      </c>
      <c r="I2739" s="2" t="str">
        <f>IFERROR(__xludf.DUMMYFUNCTION("""COMPUTED_VALUE"""),"https://www.facebook.com/watch/live/?ref=watch_permalink&amp;v=312865720941798")</f>
        <v>https://www.facebook.com/watch/live/?ref=watch_permalink&amp;v=312865720941798</v>
      </c>
      <c r="J2739" s="1" t="str">
        <f>IFERROR(__xludf.DUMMYFUNCTION("""COMPUTED_VALUE"""),"2022-07-04T15:52:23.935Z")</f>
        <v>2022-07-04T15:52:23.935Z</v>
      </c>
      <c r="K2739" s="1"/>
    </row>
    <row r="2740">
      <c r="A2740" s="2" t="str">
        <f>IFERROR(__xludf.DUMMYFUNCTION("""COMPUTED_VALUE"""),"https://www.facebook.com/wilhelmina.medrano.3")</f>
        <v>https://www.facebook.com/wilhelmina.medrano.3</v>
      </c>
      <c r="B2740" s="1" t="str">
        <f>IFERROR(__xludf.DUMMYFUNCTION("""COMPUTED_VALUE"""),"Wilhelmina Medrano")</f>
        <v>Wilhelmina Medrano</v>
      </c>
      <c r="C2740" s="1" t="str">
        <f>IFERROR(__xludf.DUMMYFUNCTION("""COMPUTED_VALUE"""),"Wilhelmina")</f>
        <v>Wilhelmina</v>
      </c>
      <c r="D2740" s="1" t="str">
        <f>IFERROR(__xludf.DUMMYFUNCTION("""COMPUTED_VALUE"""),"Medrano")</f>
        <v>Medrano</v>
      </c>
      <c r="E2740" s="1" t="str">
        <f>IFERROR(__xludf.DUMMYFUNCTION("""COMPUTED_VALUE"""),"Wilhelmina Medrano")</f>
        <v>Wilhelmina Medrano</v>
      </c>
      <c r="F2740" s="1"/>
      <c r="G2740" s="1" t="str">
        <f>IFERROR(__xludf.DUMMYFUNCTION("""COMPUTED_VALUE"""),"3 mos")</f>
        <v>3 mos</v>
      </c>
      <c r="H2740" s="1" t="str">
        <f>IFERROR(__xludf.DUMMYFUNCTION("""COMPUTED_VALUE"""),"comment")</f>
        <v>comment</v>
      </c>
      <c r="I2740" s="2" t="str">
        <f>IFERROR(__xludf.DUMMYFUNCTION("""COMPUTED_VALUE"""),"https://www.facebook.com/watch/live/?ref=watch_permalink&amp;v=312865720941798")</f>
        <v>https://www.facebook.com/watch/live/?ref=watch_permalink&amp;v=312865720941798</v>
      </c>
      <c r="J2740" s="1" t="str">
        <f>IFERROR(__xludf.DUMMYFUNCTION("""COMPUTED_VALUE"""),"2022-07-04T15:52:23.935Z")</f>
        <v>2022-07-04T15:52:23.935Z</v>
      </c>
      <c r="K2740" s="1"/>
    </row>
    <row r="2741">
      <c r="A2741" s="2" t="str">
        <f>IFERROR(__xludf.DUMMYFUNCTION("""COMPUTED_VALUE"""),"https://www.facebook.com/micoleizon")</f>
        <v>https://www.facebook.com/micoleizon</v>
      </c>
      <c r="B2741" s="1" t="str">
        <f>IFERROR(__xludf.DUMMYFUNCTION("""COMPUTED_VALUE"""),"Giane Delos Santos Ilagan")</f>
        <v>Giane Delos Santos Ilagan</v>
      </c>
      <c r="C2741" s="1" t="str">
        <f>IFERROR(__xludf.DUMMYFUNCTION("""COMPUTED_VALUE"""),"Giane")</f>
        <v>Giane</v>
      </c>
      <c r="D2741" s="1" t="str">
        <f>IFERROR(__xludf.DUMMYFUNCTION("""COMPUTED_VALUE"""),"Delos Santos Ilagan")</f>
        <v>Delos Santos Ilagan</v>
      </c>
      <c r="E2741" s="1" t="str">
        <f>IFERROR(__xludf.DUMMYFUNCTION("""COMPUTED_VALUE"""),"Giane Delos Santos Ilagan")</f>
        <v>Giane Delos Santos Ilagan</v>
      </c>
      <c r="F2741" s="1"/>
      <c r="G2741" s="1" t="str">
        <f>IFERROR(__xludf.DUMMYFUNCTION("""COMPUTED_VALUE"""),"3 mos")</f>
        <v>3 mos</v>
      </c>
      <c r="H2741" s="1" t="str">
        <f>IFERROR(__xludf.DUMMYFUNCTION("""COMPUTED_VALUE"""),"comment")</f>
        <v>comment</v>
      </c>
      <c r="I2741" s="2" t="str">
        <f>IFERROR(__xludf.DUMMYFUNCTION("""COMPUTED_VALUE"""),"https://www.facebook.com/watch/live/?ref=watch_permalink&amp;v=312865720941798")</f>
        <v>https://www.facebook.com/watch/live/?ref=watch_permalink&amp;v=312865720941798</v>
      </c>
      <c r="J2741" s="1" t="str">
        <f>IFERROR(__xludf.DUMMYFUNCTION("""COMPUTED_VALUE"""),"2022-07-04T15:52:23.935Z")</f>
        <v>2022-07-04T15:52:23.935Z</v>
      </c>
      <c r="K2741" s="1"/>
    </row>
    <row r="2742">
      <c r="A2742" s="2" t="str">
        <f>IFERROR(__xludf.DUMMYFUNCTION("""COMPUTED_VALUE"""),"https://www.facebook.com/micoleizon")</f>
        <v>https://www.facebook.com/micoleizon</v>
      </c>
      <c r="B2742" s="1" t="str">
        <f>IFERROR(__xludf.DUMMYFUNCTION("""COMPUTED_VALUE"""),"Giane Delos Santos Ilagan")</f>
        <v>Giane Delos Santos Ilagan</v>
      </c>
      <c r="C2742" s="1" t="str">
        <f>IFERROR(__xludf.DUMMYFUNCTION("""COMPUTED_VALUE"""),"Giane")</f>
        <v>Giane</v>
      </c>
      <c r="D2742" s="1" t="str">
        <f>IFERROR(__xludf.DUMMYFUNCTION("""COMPUTED_VALUE"""),"Delos Santos Ilagan")</f>
        <v>Delos Santos Ilagan</v>
      </c>
      <c r="E2742" s="1" t="str">
        <f>IFERROR(__xludf.DUMMYFUNCTION("""COMPUTED_VALUE"""),"Giane Delos Santos Ilagan")</f>
        <v>Giane Delos Santos Ilagan</v>
      </c>
      <c r="F2742" s="1"/>
      <c r="G2742" s="1" t="str">
        <f>IFERROR(__xludf.DUMMYFUNCTION("""COMPUTED_VALUE"""),"3 mos")</f>
        <v>3 mos</v>
      </c>
      <c r="H2742" s="1" t="str">
        <f>IFERROR(__xludf.DUMMYFUNCTION("""COMPUTED_VALUE"""),"comment")</f>
        <v>comment</v>
      </c>
      <c r="I2742" s="2" t="str">
        <f>IFERROR(__xludf.DUMMYFUNCTION("""COMPUTED_VALUE"""),"https://www.facebook.com/watch/live/?ref=watch_permalink&amp;v=312865720941798")</f>
        <v>https://www.facebook.com/watch/live/?ref=watch_permalink&amp;v=312865720941798</v>
      </c>
      <c r="J2742" s="1" t="str">
        <f>IFERROR(__xludf.DUMMYFUNCTION("""COMPUTED_VALUE"""),"2022-07-04T15:52:23.935Z")</f>
        <v>2022-07-04T15:52:23.935Z</v>
      </c>
      <c r="K2742" s="1"/>
    </row>
    <row r="2743">
      <c r="A2743" s="2" t="str">
        <f>IFERROR(__xludf.DUMMYFUNCTION("""COMPUTED_VALUE"""),"https://www.facebook.com/arthur.purugganan")</f>
        <v>https://www.facebook.com/arthur.purugganan</v>
      </c>
      <c r="B2743" s="1" t="str">
        <f>IFERROR(__xludf.DUMMYFUNCTION("""COMPUTED_VALUE"""),"Lantist  Serolf")</f>
        <v>Lantist  Serolf</v>
      </c>
      <c r="C2743" s="1" t="str">
        <f>IFERROR(__xludf.DUMMYFUNCTION("""COMPUTED_VALUE"""),"Lantist")</f>
        <v>Lantist</v>
      </c>
      <c r="D2743" s="1" t="str">
        <f>IFERROR(__xludf.DUMMYFUNCTION("""COMPUTED_VALUE"""),"Serolf")</f>
        <v>Serolf</v>
      </c>
      <c r="E2743" s="1" t="str">
        <f>IFERROR(__xludf.DUMMYFUNCTION("""COMPUTED_VALUE"""),"Lantist  Serolf")</f>
        <v>Lantist  Serolf</v>
      </c>
      <c r="F2743" s="1"/>
      <c r="G2743" s="1" t="str">
        <f>IFERROR(__xludf.DUMMYFUNCTION("""COMPUTED_VALUE"""),"3 mos")</f>
        <v>3 mos</v>
      </c>
      <c r="H2743" s="1" t="str">
        <f>IFERROR(__xludf.DUMMYFUNCTION("""COMPUTED_VALUE"""),"comment")</f>
        <v>comment</v>
      </c>
      <c r="I2743" s="2" t="str">
        <f>IFERROR(__xludf.DUMMYFUNCTION("""COMPUTED_VALUE"""),"https://www.facebook.com/watch/live/?ref=watch_permalink&amp;v=312865720941798")</f>
        <v>https://www.facebook.com/watch/live/?ref=watch_permalink&amp;v=312865720941798</v>
      </c>
      <c r="J2743" s="1" t="str">
        <f>IFERROR(__xludf.DUMMYFUNCTION("""COMPUTED_VALUE"""),"2022-07-04T15:52:23.935Z")</f>
        <v>2022-07-04T15:52:23.935Z</v>
      </c>
      <c r="K2743" s="1"/>
    </row>
    <row r="2744">
      <c r="A2744" s="2" t="str">
        <f>IFERROR(__xludf.DUMMYFUNCTION("""COMPUTED_VALUE"""),"https://www.facebook.com/arthur.purugganan")</f>
        <v>https://www.facebook.com/arthur.purugganan</v>
      </c>
      <c r="B2744" s="1" t="str">
        <f>IFERROR(__xludf.DUMMYFUNCTION("""COMPUTED_VALUE"""),"Lantist  Serolf")</f>
        <v>Lantist  Serolf</v>
      </c>
      <c r="C2744" s="1" t="str">
        <f>IFERROR(__xludf.DUMMYFUNCTION("""COMPUTED_VALUE"""),"Lantist")</f>
        <v>Lantist</v>
      </c>
      <c r="D2744" s="1" t="str">
        <f>IFERROR(__xludf.DUMMYFUNCTION("""COMPUTED_VALUE"""),"Serolf")</f>
        <v>Serolf</v>
      </c>
      <c r="E2744" s="1" t="str">
        <f>IFERROR(__xludf.DUMMYFUNCTION("""COMPUTED_VALUE"""),"Lantist  Serolf")</f>
        <v>Lantist  Serolf</v>
      </c>
      <c r="F2744" s="1"/>
      <c r="G2744" s="1" t="str">
        <f>IFERROR(__xludf.DUMMYFUNCTION("""COMPUTED_VALUE"""),"3 mos")</f>
        <v>3 mos</v>
      </c>
      <c r="H2744" s="1" t="str">
        <f>IFERROR(__xludf.DUMMYFUNCTION("""COMPUTED_VALUE"""),"comment")</f>
        <v>comment</v>
      </c>
      <c r="I2744" s="2" t="str">
        <f>IFERROR(__xludf.DUMMYFUNCTION("""COMPUTED_VALUE"""),"https://www.facebook.com/watch/live/?ref=watch_permalink&amp;v=312865720941798")</f>
        <v>https://www.facebook.com/watch/live/?ref=watch_permalink&amp;v=312865720941798</v>
      </c>
      <c r="J2744" s="1" t="str">
        <f>IFERROR(__xludf.DUMMYFUNCTION("""COMPUTED_VALUE"""),"2022-07-04T15:52:23.935Z")</f>
        <v>2022-07-04T15:52:23.935Z</v>
      </c>
      <c r="K2744" s="1"/>
    </row>
    <row r="2745">
      <c r="A2745" s="2" t="str">
        <f>IFERROR(__xludf.DUMMYFUNCTION("""COMPUTED_VALUE"""),"https://www.facebook.com/arthur.purugganan")</f>
        <v>https://www.facebook.com/arthur.purugganan</v>
      </c>
      <c r="B2745" s="1" t="str">
        <f>IFERROR(__xludf.DUMMYFUNCTION("""COMPUTED_VALUE"""),"Lantist  Serolf")</f>
        <v>Lantist  Serolf</v>
      </c>
      <c r="C2745" s="1" t="str">
        <f>IFERROR(__xludf.DUMMYFUNCTION("""COMPUTED_VALUE"""),"Lantist")</f>
        <v>Lantist</v>
      </c>
      <c r="D2745" s="1" t="str">
        <f>IFERROR(__xludf.DUMMYFUNCTION("""COMPUTED_VALUE"""),"Serolf")</f>
        <v>Serolf</v>
      </c>
      <c r="E2745" s="1" t="str">
        <f>IFERROR(__xludf.DUMMYFUNCTION("""COMPUTED_VALUE"""),"Lantist  Serolf")</f>
        <v>Lantist  Serolf</v>
      </c>
      <c r="F2745" s="1"/>
      <c r="G2745" s="1" t="str">
        <f>IFERROR(__xludf.DUMMYFUNCTION("""COMPUTED_VALUE"""),"3 mos")</f>
        <v>3 mos</v>
      </c>
      <c r="H2745" s="1" t="str">
        <f>IFERROR(__xludf.DUMMYFUNCTION("""COMPUTED_VALUE"""),"comment")</f>
        <v>comment</v>
      </c>
      <c r="I2745" s="2" t="str">
        <f>IFERROR(__xludf.DUMMYFUNCTION("""COMPUTED_VALUE"""),"https://www.facebook.com/watch/live/?ref=watch_permalink&amp;v=312865720941798")</f>
        <v>https://www.facebook.com/watch/live/?ref=watch_permalink&amp;v=312865720941798</v>
      </c>
      <c r="J2745" s="1" t="str">
        <f>IFERROR(__xludf.DUMMYFUNCTION("""COMPUTED_VALUE"""),"2022-07-04T15:52:23.935Z")</f>
        <v>2022-07-04T15:52:23.935Z</v>
      </c>
      <c r="K2745" s="1"/>
    </row>
    <row r="2746">
      <c r="A2746" s="2" t="str">
        <f>IFERROR(__xludf.DUMMYFUNCTION("""COMPUTED_VALUE"""),"https://www.facebook.com/arthur.purugganan")</f>
        <v>https://www.facebook.com/arthur.purugganan</v>
      </c>
      <c r="B2746" s="1" t="str">
        <f>IFERROR(__xludf.DUMMYFUNCTION("""COMPUTED_VALUE"""),"Lantist  Serolf")</f>
        <v>Lantist  Serolf</v>
      </c>
      <c r="C2746" s="1" t="str">
        <f>IFERROR(__xludf.DUMMYFUNCTION("""COMPUTED_VALUE"""),"Lantist")</f>
        <v>Lantist</v>
      </c>
      <c r="D2746" s="1" t="str">
        <f>IFERROR(__xludf.DUMMYFUNCTION("""COMPUTED_VALUE"""),"Serolf")</f>
        <v>Serolf</v>
      </c>
      <c r="E2746" s="1" t="str">
        <f>IFERROR(__xludf.DUMMYFUNCTION("""COMPUTED_VALUE"""),"Lantist  Serolf")</f>
        <v>Lantist  Serolf</v>
      </c>
      <c r="F2746" s="1"/>
      <c r="G2746" s="1" t="str">
        <f>IFERROR(__xludf.DUMMYFUNCTION("""COMPUTED_VALUE"""),"3 mos")</f>
        <v>3 mos</v>
      </c>
      <c r="H2746" s="1" t="str">
        <f>IFERROR(__xludf.DUMMYFUNCTION("""COMPUTED_VALUE"""),"comment")</f>
        <v>comment</v>
      </c>
      <c r="I2746" s="2" t="str">
        <f>IFERROR(__xludf.DUMMYFUNCTION("""COMPUTED_VALUE"""),"https://www.facebook.com/watch/live/?ref=watch_permalink&amp;v=312865720941798")</f>
        <v>https://www.facebook.com/watch/live/?ref=watch_permalink&amp;v=312865720941798</v>
      </c>
      <c r="J2746" s="1" t="str">
        <f>IFERROR(__xludf.DUMMYFUNCTION("""COMPUTED_VALUE"""),"2022-07-04T15:52:23.935Z")</f>
        <v>2022-07-04T15:52:23.935Z</v>
      </c>
      <c r="K2746" s="1"/>
    </row>
    <row r="2747">
      <c r="A2747" s="2" t="str">
        <f>IFERROR(__xludf.DUMMYFUNCTION("""COMPUTED_VALUE"""),"https://www.facebook.com/beverly.beverly.7161953")</f>
        <v>https://www.facebook.com/beverly.beverly.7161953</v>
      </c>
      <c r="B2747" s="1" t="str">
        <f>IFERROR(__xludf.DUMMYFUNCTION("""COMPUTED_VALUE"""),"Beverly Beverly")</f>
        <v>Beverly Beverly</v>
      </c>
      <c r="C2747" s="1" t="str">
        <f>IFERROR(__xludf.DUMMYFUNCTION("""COMPUTED_VALUE"""),"Beverly")</f>
        <v>Beverly</v>
      </c>
      <c r="D2747" s="1" t="str">
        <f>IFERROR(__xludf.DUMMYFUNCTION("""COMPUTED_VALUE"""),"Beverly")</f>
        <v>Beverly</v>
      </c>
      <c r="E2747" s="1" t="str">
        <f>IFERROR(__xludf.DUMMYFUNCTION("""COMPUTED_VALUE"""),"🙏🙏🙏💙💙💙☝️☝️☝️☝️")</f>
        <v>🙏🙏🙏💙💙💙☝️☝️☝️☝️</v>
      </c>
      <c r="F2747" s="1"/>
      <c r="G2747" s="1" t="str">
        <f>IFERROR(__xludf.DUMMYFUNCTION("""COMPUTED_VALUE"""),"3 mos")</f>
        <v>3 mos</v>
      </c>
      <c r="H2747" s="1" t="str">
        <f>IFERROR(__xludf.DUMMYFUNCTION("""COMPUTED_VALUE"""),"comment")</f>
        <v>comment</v>
      </c>
      <c r="I2747" s="2" t="str">
        <f>IFERROR(__xludf.DUMMYFUNCTION("""COMPUTED_VALUE"""),"https://www.facebook.com/watch/live/?ref=watch_permalink&amp;v=312865720941798")</f>
        <v>https://www.facebook.com/watch/live/?ref=watch_permalink&amp;v=312865720941798</v>
      </c>
      <c r="J2747" s="1" t="str">
        <f>IFERROR(__xludf.DUMMYFUNCTION("""COMPUTED_VALUE"""),"2022-07-04T15:52:23.935Z")</f>
        <v>2022-07-04T15:52:23.935Z</v>
      </c>
      <c r="K2747" s="1"/>
    </row>
    <row r="2748">
      <c r="A2748" s="2" t="str">
        <f>IFERROR(__xludf.DUMMYFUNCTION("""COMPUTED_VALUE"""),"https://www.facebook.com/phils.alapag")</f>
        <v>https://www.facebook.com/phils.alapag</v>
      </c>
      <c r="B2748" s="1" t="str">
        <f>IFERROR(__xludf.DUMMYFUNCTION("""COMPUTED_VALUE"""),"Phils Alapag")</f>
        <v>Phils Alapag</v>
      </c>
      <c r="C2748" s="1" t="str">
        <f>IFERROR(__xludf.DUMMYFUNCTION("""COMPUTED_VALUE"""),"Phils")</f>
        <v>Phils</v>
      </c>
      <c r="D2748" s="1" t="str">
        <f>IFERROR(__xludf.DUMMYFUNCTION("""COMPUTED_VALUE"""),"Alapag")</f>
        <v>Alapag</v>
      </c>
      <c r="E2748" s="1" t="str">
        <f>IFERROR(__xludf.DUMMYFUNCTION("""COMPUTED_VALUE"""),"Di yan manalo Ang mga korakot sa bansa coz god watching for all corrupt never again")</f>
        <v>Di yan manalo Ang mga korakot sa bansa coz god watching for all corrupt never again</v>
      </c>
      <c r="F2748" s="1"/>
      <c r="G2748" s="1" t="str">
        <f>IFERROR(__xludf.DUMMYFUNCTION("""COMPUTED_VALUE"""),"3 mos")</f>
        <v>3 mos</v>
      </c>
      <c r="H2748" s="1" t="str">
        <f>IFERROR(__xludf.DUMMYFUNCTION("""COMPUTED_VALUE"""),"comment")</f>
        <v>comment</v>
      </c>
      <c r="I2748" s="2" t="str">
        <f>IFERROR(__xludf.DUMMYFUNCTION("""COMPUTED_VALUE"""),"https://www.facebook.com/watch/live/?ref=watch_permalink&amp;v=312865720941798")</f>
        <v>https://www.facebook.com/watch/live/?ref=watch_permalink&amp;v=312865720941798</v>
      </c>
      <c r="J2748" s="1" t="str">
        <f>IFERROR(__xludf.DUMMYFUNCTION("""COMPUTED_VALUE"""),"2022-07-04T15:52:23.935Z")</f>
        <v>2022-07-04T15:52:23.935Z</v>
      </c>
      <c r="K2748" s="1"/>
    </row>
    <row r="2749">
      <c r="A2749" s="2" t="str">
        <f>IFERROR(__xludf.DUMMYFUNCTION("""COMPUTED_VALUE"""),"https://www.facebook.com/soliviocheryl")</f>
        <v>https://www.facebook.com/soliviocheryl</v>
      </c>
      <c r="B2749" s="1" t="str">
        <f>IFERROR(__xludf.DUMMYFUNCTION("""COMPUTED_VALUE"""),"Chelay Solivio")</f>
        <v>Chelay Solivio</v>
      </c>
      <c r="C2749" s="1" t="str">
        <f>IFERROR(__xludf.DUMMYFUNCTION("""COMPUTED_VALUE"""),"Chelay")</f>
        <v>Chelay</v>
      </c>
      <c r="D2749" s="1" t="str">
        <f>IFERROR(__xludf.DUMMYFUNCTION("""COMPUTED_VALUE"""),"Solivio")</f>
        <v>Solivio</v>
      </c>
      <c r="E2749" s="1" t="str">
        <f>IFERROR(__xludf.DUMMYFUNCTION("""COMPUTED_VALUE"""),"BAKIT IKAW MA NANALO???")</f>
        <v>BAKIT IKAW MA NANALO???</v>
      </c>
      <c r="F2749" s="1"/>
      <c r="G2749" s="1" t="str">
        <f>IFERROR(__xludf.DUMMYFUNCTION("""COMPUTED_VALUE"""),"3 mos")</f>
        <v>3 mos</v>
      </c>
      <c r="H2749" s="1" t="str">
        <f>IFERROR(__xludf.DUMMYFUNCTION("""COMPUTED_VALUE"""),"reply")</f>
        <v>reply</v>
      </c>
      <c r="I2749" s="2" t="str">
        <f>IFERROR(__xludf.DUMMYFUNCTION("""COMPUTED_VALUE"""),"https://www.facebook.com/watch/live/?ref=watch_permalink&amp;v=312865720941798")</f>
        <v>https://www.facebook.com/watch/live/?ref=watch_permalink&amp;v=312865720941798</v>
      </c>
      <c r="J2749" s="1" t="str">
        <f>IFERROR(__xludf.DUMMYFUNCTION("""COMPUTED_VALUE"""),"2022-07-04T15:52:23.935Z")</f>
        <v>2022-07-04T15:52:23.935Z</v>
      </c>
      <c r="K2749" s="1"/>
    </row>
    <row r="2750">
      <c r="A2750" s="2" t="str">
        <f>IFERROR(__xludf.DUMMYFUNCTION("""COMPUTED_VALUE"""),"https://www.facebook.com/carlos.marquez.5243")</f>
        <v>https://www.facebook.com/carlos.marquez.5243</v>
      </c>
      <c r="B2750" s="1" t="str">
        <f>IFERROR(__xludf.DUMMYFUNCTION("""COMPUTED_VALUE"""),"Carlos Marquez")</f>
        <v>Carlos Marquez</v>
      </c>
      <c r="C2750" s="1" t="str">
        <f>IFERROR(__xludf.DUMMYFUNCTION("""COMPUTED_VALUE"""),"Carlos")</f>
        <v>Carlos</v>
      </c>
      <c r="D2750" s="1" t="str">
        <f>IFERROR(__xludf.DUMMYFUNCTION("""COMPUTED_VALUE"""),"Marquez")</f>
        <v>Marquez</v>
      </c>
      <c r="E2750" s="1" t="str">
        <f>IFERROR(__xludf.DUMMYFUNCTION("""COMPUTED_VALUE"""),"SAMIRA .. NASIRA na !!")</f>
        <v>SAMIRA .. NASIRA na !!</v>
      </c>
      <c r="F2750" s="1"/>
      <c r="G2750" s="1" t="str">
        <f>IFERROR(__xludf.DUMMYFUNCTION("""COMPUTED_VALUE"""),"3 mos")</f>
        <v>3 mos</v>
      </c>
      <c r="H2750" s="1" t="str">
        <f>IFERROR(__xludf.DUMMYFUNCTION("""COMPUTED_VALUE"""),"comment")</f>
        <v>comment</v>
      </c>
      <c r="I2750" s="2" t="str">
        <f>IFERROR(__xludf.DUMMYFUNCTION("""COMPUTED_VALUE"""),"https://www.facebook.com/watch/live/?ref=watch_permalink&amp;v=312865720941798")</f>
        <v>https://www.facebook.com/watch/live/?ref=watch_permalink&amp;v=312865720941798</v>
      </c>
      <c r="J2750" s="1" t="str">
        <f>IFERROR(__xludf.DUMMYFUNCTION("""COMPUTED_VALUE"""),"2022-07-04T15:52:23.935Z")</f>
        <v>2022-07-04T15:52:23.935Z</v>
      </c>
      <c r="K2750" s="1"/>
    </row>
    <row r="2751">
      <c r="A2751" s="2" t="str">
        <f>IFERROR(__xludf.DUMMYFUNCTION("""COMPUTED_VALUE"""),"https://www.facebook.com/ed.balot")</f>
        <v>https://www.facebook.com/ed.balot</v>
      </c>
      <c r="B2751" s="1" t="str">
        <f>IFERROR(__xludf.DUMMYFUNCTION("""COMPUTED_VALUE"""),"Ed Balot")</f>
        <v>Ed Balot</v>
      </c>
      <c r="C2751" s="1" t="str">
        <f>IFERROR(__xludf.DUMMYFUNCTION("""COMPUTED_VALUE"""),"Ed")</f>
        <v>Ed</v>
      </c>
      <c r="D2751" s="1" t="str">
        <f>IFERROR(__xludf.DUMMYFUNCTION("""COMPUTED_VALUE"""),"Balot")</f>
        <v>Balot</v>
      </c>
      <c r="E2751" s="1" t="str">
        <f>IFERROR(__xludf.DUMMYFUNCTION("""COMPUTED_VALUE"""),"Voting a dumb presidential candidate is the worst act!")</f>
        <v>Voting a dumb presidential candidate is the worst act!</v>
      </c>
      <c r="F2751" s="1">
        <f>IFERROR(__xludf.DUMMYFUNCTION("""COMPUTED_VALUE"""),3.0)</f>
        <v>3</v>
      </c>
      <c r="G2751" s="1" t="str">
        <f>IFERROR(__xludf.DUMMYFUNCTION("""COMPUTED_VALUE"""),"3 mos")</f>
        <v>3 mos</v>
      </c>
      <c r="H2751" s="1" t="str">
        <f>IFERROR(__xludf.DUMMYFUNCTION("""COMPUTED_VALUE"""),"comment")</f>
        <v>comment</v>
      </c>
      <c r="I2751" s="2" t="str">
        <f>IFERROR(__xludf.DUMMYFUNCTION("""COMPUTED_VALUE"""),"https://www.facebook.com/rapplerdotcom/photos/a.317154781638645/5594453700575367/")</f>
        <v>https://www.facebook.com/rapplerdotcom/photos/a.317154781638645/5594453700575367/</v>
      </c>
      <c r="J2751" s="1" t="str">
        <f>IFERROR(__xludf.DUMMYFUNCTION("""COMPUTED_VALUE"""),"2022-07-04T15:53:36.543Z")</f>
        <v>2022-07-04T15:53:36.543Z</v>
      </c>
      <c r="K2751" s="1"/>
    </row>
    <row r="2752">
      <c r="A2752" s="2" t="str">
        <f>IFERROR(__xludf.DUMMYFUNCTION("""COMPUTED_VALUE"""),"https://www.facebook.com/bren.bernales")</f>
        <v>https://www.facebook.com/bren.bernales</v>
      </c>
      <c r="B2752" s="1" t="str">
        <f>IFERROR(__xludf.DUMMYFUNCTION("""COMPUTED_VALUE"""),"Bren Bernales")</f>
        <v>Bren Bernales</v>
      </c>
      <c r="C2752" s="1" t="str">
        <f>IFERROR(__xludf.DUMMYFUNCTION("""COMPUTED_VALUE"""),"Bren")</f>
        <v>Bren</v>
      </c>
      <c r="D2752" s="1" t="str">
        <f>IFERROR(__xludf.DUMMYFUNCTION("""COMPUTED_VALUE"""),"Bernales")</f>
        <v>Bernales</v>
      </c>
      <c r="E2752" s="1" t="str">
        <f>IFERROR(__xludf.DUMMYFUNCTION("""COMPUTED_VALUE"""),"Ed Balot tama po. Wag na natin iboto yung hindi maka graduate tapos pepekein na lang ang diploma kasi di kaya. Ni hindi kaya umattend ng debate kasi mahahalata. Lol")</f>
        <v>Ed Balot tama po. Wag na natin iboto yung hindi maka graduate tapos pepekein na lang ang diploma kasi di kaya. Ni hindi kaya umattend ng debate kasi mahahalata. Lol</v>
      </c>
      <c r="F2752" s="1">
        <f>IFERROR(__xludf.DUMMYFUNCTION("""COMPUTED_VALUE"""),13.0)</f>
        <v>13</v>
      </c>
      <c r="G2752" s="1" t="str">
        <f>IFERROR(__xludf.DUMMYFUNCTION("""COMPUTED_VALUE"""),"3 mos")</f>
        <v>3 mos</v>
      </c>
      <c r="H2752" s="1" t="str">
        <f>IFERROR(__xludf.DUMMYFUNCTION("""COMPUTED_VALUE"""),"reply")</f>
        <v>reply</v>
      </c>
      <c r="I2752" s="2" t="str">
        <f>IFERROR(__xludf.DUMMYFUNCTION("""COMPUTED_VALUE"""),"https://www.facebook.com/rapplerdotcom/photos/a.317154781638645/5594453700575367/")</f>
        <v>https://www.facebook.com/rapplerdotcom/photos/a.317154781638645/5594453700575367/</v>
      </c>
      <c r="J2752" s="1" t="str">
        <f>IFERROR(__xludf.DUMMYFUNCTION("""COMPUTED_VALUE"""),"2022-07-04T15:53:36.543Z")</f>
        <v>2022-07-04T15:53:36.543Z</v>
      </c>
      <c r="K2752" s="1"/>
    </row>
    <row r="2753">
      <c r="A2753" s="2" t="str">
        <f>IFERROR(__xludf.DUMMYFUNCTION("""COMPUTED_VALUE"""),"https://www.facebook.com/boyiya.david")</f>
        <v>https://www.facebook.com/boyiya.david</v>
      </c>
      <c r="B2753" s="1" t="str">
        <f>IFERROR(__xludf.DUMMYFUNCTION("""COMPUTED_VALUE"""),"Norbertito Boy David")</f>
        <v>Norbertito Boy David</v>
      </c>
      <c r="C2753" s="1" t="str">
        <f>IFERROR(__xludf.DUMMYFUNCTION("""COMPUTED_VALUE"""),"Norbertito")</f>
        <v>Norbertito</v>
      </c>
      <c r="D2753" s="1" t="str">
        <f>IFERROR(__xludf.DUMMYFUNCTION("""COMPUTED_VALUE"""),"Boy David")</f>
        <v>Boy David</v>
      </c>
      <c r="E2753" s="1" t="str">
        <f>IFERROR(__xludf.DUMMYFUNCTION("""COMPUTED_VALUE"""),"Ask Pacquiao if he collected his salary in Congress as congressman and senator when training abroad in preparation for boxing bout. He was absent for almost 4 months every time he has a fight.")</f>
        <v>Ask Pacquiao if he collected his salary in Congress as congressman and senator when training abroad in preparation for boxing bout. He was absent for almost 4 months every time he has a fight.</v>
      </c>
      <c r="F2753" s="1">
        <f>IFERROR(__xludf.DUMMYFUNCTION("""COMPUTED_VALUE"""),1.0)</f>
        <v>1</v>
      </c>
      <c r="G2753" s="1" t="str">
        <f>IFERROR(__xludf.DUMMYFUNCTION("""COMPUTED_VALUE"""),"3 mos")</f>
        <v>3 mos</v>
      </c>
      <c r="H2753" s="1" t="str">
        <f>IFERROR(__xludf.DUMMYFUNCTION("""COMPUTED_VALUE"""),"comment")</f>
        <v>comment</v>
      </c>
      <c r="I2753" s="2" t="str">
        <f>IFERROR(__xludf.DUMMYFUNCTION("""COMPUTED_VALUE"""),"https://www.facebook.com/rapplerdotcom/photos/a.317154781638645/5594453700575367/")</f>
        <v>https://www.facebook.com/rapplerdotcom/photos/a.317154781638645/5594453700575367/</v>
      </c>
      <c r="J2753" s="1" t="str">
        <f>IFERROR(__xludf.DUMMYFUNCTION("""COMPUTED_VALUE"""),"2022-07-04T15:53:36.543Z")</f>
        <v>2022-07-04T15:53:36.543Z</v>
      </c>
      <c r="K2753" s="1"/>
    </row>
    <row r="2754">
      <c r="A2754" s="2" t="str">
        <f>IFERROR(__xludf.DUMMYFUNCTION("""COMPUTED_VALUE"""),"https://www.facebook.com/profile.php?id=100075733818877")</f>
        <v>https://www.facebook.com/profile.php?id=100075733818877</v>
      </c>
      <c r="B2754" s="1" t="str">
        <f>IFERROR(__xludf.DUMMYFUNCTION("""COMPUTED_VALUE"""),"Fu Bu")</f>
        <v>Fu Bu</v>
      </c>
      <c r="C2754" s="1" t="str">
        <f>IFERROR(__xludf.DUMMYFUNCTION("""COMPUTED_VALUE"""),"Fu")</f>
        <v>Fu</v>
      </c>
      <c r="D2754" s="1" t="str">
        <f>IFERROR(__xludf.DUMMYFUNCTION("""COMPUTED_VALUE"""),"Bu")</f>
        <v>Bu</v>
      </c>
      <c r="E2754" s="1" t="str">
        <f>IFERROR(__xludf.DUMMYFUNCTION("""COMPUTED_VALUE"""),"Norbertito Boy David What's the point???")</f>
        <v>Norbertito Boy David What's the point???</v>
      </c>
      <c r="F2754" s="1">
        <f>IFERROR(__xludf.DUMMYFUNCTION("""COMPUTED_VALUE"""),1.0)</f>
        <v>1</v>
      </c>
      <c r="G2754" s="1" t="str">
        <f>IFERROR(__xludf.DUMMYFUNCTION("""COMPUTED_VALUE"""),"3 mos")</f>
        <v>3 mos</v>
      </c>
      <c r="H2754" s="1" t="str">
        <f>IFERROR(__xludf.DUMMYFUNCTION("""COMPUTED_VALUE"""),"reply")</f>
        <v>reply</v>
      </c>
      <c r="I2754" s="2" t="str">
        <f>IFERROR(__xludf.DUMMYFUNCTION("""COMPUTED_VALUE"""),"https://www.facebook.com/rapplerdotcom/photos/a.317154781638645/5594453700575367/")</f>
        <v>https://www.facebook.com/rapplerdotcom/photos/a.317154781638645/5594453700575367/</v>
      </c>
      <c r="J2754" s="1" t="str">
        <f>IFERROR(__xludf.DUMMYFUNCTION("""COMPUTED_VALUE"""),"2022-07-04T15:53:36.543Z")</f>
        <v>2022-07-04T15:53:36.543Z</v>
      </c>
      <c r="K2754" s="1"/>
    </row>
    <row r="2755">
      <c r="A2755" s="2" t="str">
        <f>IFERROR(__xludf.DUMMYFUNCTION("""COMPUTED_VALUE"""),"https://www.facebook.com/narciso.corvera.549")</f>
        <v>https://www.facebook.com/narciso.corvera.549</v>
      </c>
      <c r="B2755" s="1" t="str">
        <f>IFERROR(__xludf.DUMMYFUNCTION("""COMPUTED_VALUE"""),"Narciso Corvera")</f>
        <v>Narciso Corvera</v>
      </c>
      <c r="C2755" s="1" t="str">
        <f>IFERROR(__xludf.DUMMYFUNCTION("""COMPUTED_VALUE"""),"Narciso")</f>
        <v>Narciso</v>
      </c>
      <c r="D2755" s="1" t="str">
        <f>IFERROR(__xludf.DUMMYFUNCTION("""COMPUTED_VALUE"""),"Corvera")</f>
        <v>Corvera</v>
      </c>
      <c r="E2755" s="1" t="str">
        <f>IFERROR(__xludf.DUMMYFUNCTION("""COMPUTED_VALUE"""),"Norbertito Boy David tagahanqa at idol ko c,Many  so what  point")</f>
        <v>Norbertito Boy David tagahanqa at idol ko c,Many  so what  point</v>
      </c>
      <c r="F2755" s="1"/>
      <c r="G2755" s="1" t="str">
        <f>IFERROR(__xludf.DUMMYFUNCTION("""COMPUTED_VALUE"""),"3 mos")</f>
        <v>3 mos</v>
      </c>
      <c r="H2755" s="1" t="str">
        <f>IFERROR(__xludf.DUMMYFUNCTION("""COMPUTED_VALUE"""),"reply")</f>
        <v>reply</v>
      </c>
      <c r="I2755" s="2" t="str">
        <f>IFERROR(__xludf.DUMMYFUNCTION("""COMPUTED_VALUE"""),"https://www.facebook.com/rapplerdotcom/photos/a.317154781638645/5594453700575367/")</f>
        <v>https://www.facebook.com/rapplerdotcom/photos/a.317154781638645/5594453700575367/</v>
      </c>
      <c r="J2755" s="1" t="str">
        <f>IFERROR(__xludf.DUMMYFUNCTION("""COMPUTED_VALUE"""),"2022-07-04T15:53:36.543Z")</f>
        <v>2022-07-04T15:53:36.543Z</v>
      </c>
      <c r="K2755" s="1"/>
    </row>
    <row r="2756">
      <c r="A2756" s="2" t="str">
        <f>IFERROR(__xludf.DUMMYFUNCTION("""COMPUTED_VALUE"""),"https://www.facebook.com/joshuadolor")</f>
        <v>https://www.facebook.com/joshuadolor</v>
      </c>
      <c r="B2756" s="1" t="str">
        <f>IFERROR(__xludf.DUMMYFUNCTION("""COMPUTED_VALUE"""),"Joshua Olbes Dolor")</f>
        <v>Joshua Olbes Dolor</v>
      </c>
      <c r="C2756" s="1" t="str">
        <f>IFERROR(__xludf.DUMMYFUNCTION("""COMPUTED_VALUE"""),"Joshua")</f>
        <v>Joshua</v>
      </c>
      <c r="D2756" s="1" t="str">
        <f>IFERROR(__xludf.DUMMYFUNCTION("""COMPUTED_VALUE"""),"Olbes Dolor")</f>
        <v>Olbes Dolor</v>
      </c>
      <c r="E2756" s="1" t="str">
        <f>IFERROR(__xludf.DUMMYFUNCTION("""COMPUTED_VALUE"""),"Norbertito Boy David may mali ba sa sinabi nya tatang?")</f>
        <v>Norbertito Boy David may mali ba sa sinabi nya tatang?</v>
      </c>
      <c r="F2756" s="1"/>
      <c r="G2756" s="1" t="str">
        <f>IFERROR(__xludf.DUMMYFUNCTION("""COMPUTED_VALUE"""),"3 mos")</f>
        <v>3 mos</v>
      </c>
      <c r="H2756" s="1" t="str">
        <f>IFERROR(__xludf.DUMMYFUNCTION("""COMPUTED_VALUE"""),"reply")</f>
        <v>reply</v>
      </c>
      <c r="I2756" s="2" t="str">
        <f>IFERROR(__xludf.DUMMYFUNCTION("""COMPUTED_VALUE"""),"https://www.facebook.com/rapplerdotcom/photos/a.317154781638645/5594453700575367/")</f>
        <v>https://www.facebook.com/rapplerdotcom/photos/a.317154781638645/5594453700575367/</v>
      </c>
      <c r="J2756" s="1" t="str">
        <f>IFERROR(__xludf.DUMMYFUNCTION("""COMPUTED_VALUE"""),"2022-07-04T15:53:36.543Z")</f>
        <v>2022-07-04T15:53:36.543Z</v>
      </c>
      <c r="K2756" s="1"/>
    </row>
    <row r="2757">
      <c r="A2757" s="2" t="str">
        <f>IFERROR(__xludf.DUMMYFUNCTION("""COMPUTED_VALUE"""),"https://www.facebook.com/celeste.dietert")</f>
        <v>https://www.facebook.com/celeste.dietert</v>
      </c>
      <c r="B2757" s="1" t="str">
        <f>IFERROR(__xludf.DUMMYFUNCTION("""COMPUTED_VALUE"""),"Celeste Dietert")</f>
        <v>Celeste Dietert</v>
      </c>
      <c r="C2757" s="1" t="str">
        <f>IFERROR(__xludf.DUMMYFUNCTION("""COMPUTED_VALUE"""),"Celeste")</f>
        <v>Celeste</v>
      </c>
      <c r="D2757" s="1" t="str">
        <f>IFERROR(__xludf.DUMMYFUNCTION("""COMPUTED_VALUE"""),"Dietert")</f>
        <v>Dietert</v>
      </c>
      <c r="E2757" s="1" t="str">
        <f>IFERROR(__xludf.DUMMYFUNCTION("""COMPUTED_VALUE"""),"Look whose talking,absentee law maker!! Pls go back to school, more ""food"" for the brain, hindi tsamba tsamba ang governance...")</f>
        <v>Look whose talking,absentee law maker!! Pls go back to school, more "food" for the brain, hindi tsamba tsamba ang governance...</v>
      </c>
      <c r="F2757" s="1">
        <f>IFERROR(__xludf.DUMMYFUNCTION("""COMPUTED_VALUE"""),53.0)</f>
        <v>53</v>
      </c>
      <c r="G2757" s="1" t="str">
        <f>IFERROR(__xludf.DUMMYFUNCTION("""COMPUTED_VALUE"""),"3 mos")</f>
        <v>3 mos</v>
      </c>
      <c r="H2757" s="1" t="str">
        <f>IFERROR(__xludf.DUMMYFUNCTION("""COMPUTED_VALUE"""),"comment")</f>
        <v>comment</v>
      </c>
      <c r="I2757" s="2" t="str">
        <f>IFERROR(__xludf.DUMMYFUNCTION("""COMPUTED_VALUE"""),"https://www.facebook.com/rapplerdotcom/photos/a.317154781638645/5594453700575367/")</f>
        <v>https://www.facebook.com/rapplerdotcom/photos/a.317154781638645/5594453700575367/</v>
      </c>
      <c r="J2757" s="1" t="str">
        <f>IFERROR(__xludf.DUMMYFUNCTION("""COMPUTED_VALUE"""),"2022-07-04T15:53:36.543Z")</f>
        <v>2022-07-04T15:53:36.543Z</v>
      </c>
      <c r="K2757" s="1"/>
    </row>
    <row r="2758">
      <c r="A2758" s="2" t="str">
        <f>IFERROR(__xludf.DUMMYFUNCTION("""COMPUTED_VALUE"""),"https://www.facebook.com/ampleidle")</f>
        <v>https://www.facebook.com/ampleidle</v>
      </c>
      <c r="B2758" s="1" t="str">
        <f>IFERROR(__xludf.DUMMYFUNCTION("""COMPUTED_VALUE"""),"Gerard Joseph Rojano Turiano")</f>
        <v>Gerard Joseph Rojano Turiano</v>
      </c>
      <c r="C2758" s="1" t="str">
        <f>IFERROR(__xludf.DUMMYFUNCTION("""COMPUTED_VALUE"""),"Gerard")</f>
        <v>Gerard</v>
      </c>
      <c r="D2758" s="1" t="str">
        <f>IFERROR(__xludf.DUMMYFUNCTION("""COMPUTED_VALUE"""),"Joseph Rojano Turiano")</f>
        <v>Joseph Rojano Turiano</v>
      </c>
      <c r="E2758" s="1" t="str">
        <f>IFERROR(__xludf.DUMMYFUNCTION("""COMPUTED_VALUE"""),"Celeste Dietert lam ko may degree ho c pacman.. ang ang punto niya.. yung pagpili natin ng mga leaders.. sinasabi niya lang.. na pwde tayong pumili ng leader na me magandang rwcord.. yung walang bahid ng pagnanakaw.. kse sabihin man natin hindi siya exper"&amp;"to sa marming bagay.. pwde siya pumili ng mga taong experto doon.. pro kung ang leader ay corrupt na.. sa simula pa lang.. yung mga pondo para sa taumbayan hindi mapupunta ng lubusan.. laging una yung nakaw..")</f>
        <v>Celeste Dietert lam ko may degree ho c pacman.. ang ang punto niya.. yung pagpili natin ng mga leaders.. sinasabi niya lang.. na pwde tayong pumili ng leader na me magandang rwcord.. yung walang bahid ng pagnanakaw.. kse sabihin man natin hindi siya experto sa marming bagay.. pwde siya pumili ng mga taong experto doon.. pro kung ang leader ay corrupt na.. sa simula pa lang.. yung mga pondo para sa taumbayan hindi mapupunta ng lubusan.. laging una yung nakaw..</v>
      </c>
      <c r="F2758" s="1">
        <f>IFERROR(__xludf.DUMMYFUNCTION("""COMPUTED_VALUE"""),31.0)</f>
        <v>31</v>
      </c>
      <c r="G2758" s="1" t="str">
        <f>IFERROR(__xludf.DUMMYFUNCTION("""COMPUTED_VALUE"""),"3 mos")</f>
        <v>3 mos</v>
      </c>
      <c r="H2758" s="1" t="str">
        <f>IFERROR(__xludf.DUMMYFUNCTION("""COMPUTED_VALUE"""),"reply")</f>
        <v>reply</v>
      </c>
      <c r="I2758" s="2" t="str">
        <f>IFERROR(__xludf.DUMMYFUNCTION("""COMPUTED_VALUE"""),"https://www.facebook.com/rapplerdotcom/photos/a.317154781638645/5594453700575367/")</f>
        <v>https://www.facebook.com/rapplerdotcom/photos/a.317154781638645/5594453700575367/</v>
      </c>
      <c r="J2758" s="1" t="str">
        <f>IFERROR(__xludf.DUMMYFUNCTION("""COMPUTED_VALUE"""),"2022-07-04T15:53:36.543Z")</f>
        <v>2022-07-04T15:53:36.543Z</v>
      </c>
      <c r="K2758" s="1"/>
    </row>
    <row r="2759">
      <c r="A2759" s="2" t="str">
        <f>IFERROR(__xludf.DUMMYFUNCTION("""COMPUTED_VALUE"""),"https://www.facebook.com/melinda.santelices")</f>
        <v>https://www.facebook.com/melinda.santelices</v>
      </c>
      <c r="B2759" s="1" t="str">
        <f>IFERROR(__xludf.DUMMYFUNCTION("""COMPUTED_VALUE"""),"Melinda Santelices")</f>
        <v>Melinda Santelices</v>
      </c>
      <c r="C2759" s="1" t="str">
        <f>IFERROR(__xludf.DUMMYFUNCTION("""COMPUTED_VALUE"""),"Melinda")</f>
        <v>Melinda</v>
      </c>
      <c r="D2759" s="1" t="str">
        <f>IFERROR(__xludf.DUMMYFUNCTION("""COMPUTED_VALUE"""),"Santelices")</f>
        <v>Santelices</v>
      </c>
      <c r="E2759" s="1" t="str">
        <f>IFERROR(__xludf.DUMMYFUNCTION("""COMPUTED_VALUE"""),"Kesha Anne Pernia Yes, nonsense comment Ng nagmamagaling Tama c Manny, good job")</f>
        <v>Kesha Anne Pernia Yes, nonsense comment Ng nagmamagaling Tama c Manny, good job</v>
      </c>
      <c r="F2759" s="1">
        <f>IFERROR(__xludf.DUMMYFUNCTION("""COMPUTED_VALUE"""),1.0)</f>
        <v>1</v>
      </c>
      <c r="G2759" s="1" t="str">
        <f>IFERROR(__xludf.DUMMYFUNCTION("""COMPUTED_VALUE"""),"3 mos")</f>
        <v>3 mos</v>
      </c>
      <c r="H2759" s="1" t="str">
        <f>IFERROR(__xludf.DUMMYFUNCTION("""COMPUTED_VALUE"""),"reply")</f>
        <v>reply</v>
      </c>
      <c r="I2759" s="2" t="str">
        <f>IFERROR(__xludf.DUMMYFUNCTION("""COMPUTED_VALUE"""),"https://www.facebook.com/rapplerdotcom/photos/a.317154781638645/5594453700575367/")</f>
        <v>https://www.facebook.com/rapplerdotcom/photos/a.317154781638645/5594453700575367/</v>
      </c>
      <c r="J2759" s="1" t="str">
        <f>IFERROR(__xludf.DUMMYFUNCTION("""COMPUTED_VALUE"""),"2022-07-04T15:53:36.543Z")</f>
        <v>2022-07-04T15:53:36.543Z</v>
      </c>
      <c r="K2759" s="1"/>
    </row>
    <row r="2760">
      <c r="A2760" s="2" t="str">
        <f>IFERROR(__xludf.DUMMYFUNCTION("""COMPUTED_VALUE"""),"https://www.facebook.com/sunsengnimkarina")</f>
        <v>https://www.facebook.com/sunsengnimkarina</v>
      </c>
      <c r="B2760" s="1" t="str">
        <f>IFERROR(__xludf.DUMMYFUNCTION("""COMPUTED_VALUE"""),"Sunsengnim Karina")</f>
        <v>Sunsengnim Karina</v>
      </c>
      <c r="C2760" s="1" t="str">
        <f>IFERROR(__xludf.DUMMYFUNCTION("""COMPUTED_VALUE"""),"Sunsengnim")</f>
        <v>Sunsengnim</v>
      </c>
      <c r="D2760" s="1" t="str">
        <f>IFERROR(__xludf.DUMMYFUNCTION("""COMPUTED_VALUE"""),"Karina")</f>
        <v>Karina</v>
      </c>
      <c r="E2760" s="1" t="str">
        <f>IFERROR(__xludf.DUMMYFUNCTION("""COMPUTED_VALUE"""),"Celeste Dietert sa tingin ko ikaw ang dapat bumalik sa pag aaral, wrong grammar ka kasi ✌.")</f>
        <v>Celeste Dietert sa tingin ko ikaw ang dapat bumalik sa pag aaral, wrong grammar ka kasi ✌.</v>
      </c>
      <c r="F2760" s="1">
        <f>IFERROR(__xludf.DUMMYFUNCTION("""COMPUTED_VALUE"""),1.0)</f>
        <v>1</v>
      </c>
      <c r="G2760" s="1" t="str">
        <f>IFERROR(__xludf.DUMMYFUNCTION("""COMPUTED_VALUE"""),"3 mos")</f>
        <v>3 mos</v>
      </c>
      <c r="H2760" s="1" t="str">
        <f>IFERROR(__xludf.DUMMYFUNCTION("""COMPUTED_VALUE"""),"reply")</f>
        <v>reply</v>
      </c>
      <c r="I2760" s="2" t="str">
        <f>IFERROR(__xludf.DUMMYFUNCTION("""COMPUTED_VALUE"""),"https://www.facebook.com/rapplerdotcom/photos/a.317154781638645/5594453700575367/")</f>
        <v>https://www.facebook.com/rapplerdotcom/photos/a.317154781638645/5594453700575367/</v>
      </c>
      <c r="J2760" s="1" t="str">
        <f>IFERROR(__xludf.DUMMYFUNCTION("""COMPUTED_VALUE"""),"2022-07-04T15:53:36.543Z")</f>
        <v>2022-07-04T15:53:36.543Z</v>
      </c>
      <c r="K2760" s="1"/>
    </row>
    <row r="2761">
      <c r="A2761" s="2" t="str">
        <f>IFERROR(__xludf.DUMMYFUNCTION("""COMPUTED_VALUE"""),"https://www.facebook.com/agnes.sanbuenaventura.9")</f>
        <v>https://www.facebook.com/agnes.sanbuenaventura.9</v>
      </c>
      <c r="B2761" s="1" t="str">
        <f>IFERROR(__xludf.DUMMYFUNCTION("""COMPUTED_VALUE"""),"Agnes San Buenaventura")</f>
        <v>Agnes San Buenaventura</v>
      </c>
      <c r="C2761" s="1" t="str">
        <f>IFERROR(__xludf.DUMMYFUNCTION("""COMPUTED_VALUE"""),"Agnes")</f>
        <v>Agnes</v>
      </c>
      <c r="D2761" s="1" t="str">
        <f>IFERROR(__xludf.DUMMYFUNCTION("""COMPUTED_VALUE"""),"San Buenaventura")</f>
        <v>San Buenaventura</v>
      </c>
      <c r="E2761" s="1" t="str">
        <f>IFERROR(__xludf.DUMMYFUNCTION("""COMPUTED_VALUE"""),"Celeste Dietert nonsense comment")</f>
        <v>Celeste Dietert nonsense comment</v>
      </c>
      <c r="F2761" s="1"/>
      <c r="G2761" s="1" t="str">
        <f>IFERROR(__xludf.DUMMYFUNCTION("""COMPUTED_VALUE"""),"3 mos")</f>
        <v>3 mos</v>
      </c>
      <c r="H2761" s="1" t="str">
        <f>IFERROR(__xludf.DUMMYFUNCTION("""COMPUTED_VALUE"""),"reply")</f>
        <v>reply</v>
      </c>
      <c r="I2761" s="2" t="str">
        <f>IFERROR(__xludf.DUMMYFUNCTION("""COMPUTED_VALUE"""),"https://www.facebook.com/rapplerdotcom/photos/a.317154781638645/5594453700575367/")</f>
        <v>https://www.facebook.com/rapplerdotcom/photos/a.317154781638645/5594453700575367/</v>
      </c>
      <c r="J2761" s="1" t="str">
        <f>IFERROR(__xludf.DUMMYFUNCTION("""COMPUTED_VALUE"""),"2022-07-04T15:53:36.543Z")</f>
        <v>2022-07-04T15:53:36.543Z</v>
      </c>
      <c r="K2761" s="1"/>
    </row>
    <row r="2762">
      <c r="A2762" s="2" t="str">
        <f>IFERROR(__xludf.DUMMYFUNCTION("""COMPUTED_VALUE"""),"https://www.facebook.com/agnes.sanbuenaventura.9")</f>
        <v>https://www.facebook.com/agnes.sanbuenaventura.9</v>
      </c>
      <c r="B2762" s="1" t="str">
        <f>IFERROR(__xludf.DUMMYFUNCTION("""COMPUTED_VALUE"""),"Agnes San Buenaventura")</f>
        <v>Agnes San Buenaventura</v>
      </c>
      <c r="C2762" s="1" t="str">
        <f>IFERROR(__xludf.DUMMYFUNCTION("""COMPUTED_VALUE"""),"Agnes")</f>
        <v>Agnes</v>
      </c>
      <c r="D2762" s="1" t="str">
        <f>IFERROR(__xludf.DUMMYFUNCTION("""COMPUTED_VALUE"""),"San Buenaventura")</f>
        <v>San Buenaventura</v>
      </c>
      <c r="E2762" s="1" t="str">
        <f>IFERROR(__xludf.DUMMYFUNCTION("""COMPUTED_VALUE"""),"Gerard Joseph Rojano Turiano nakuha mo mo po..mema lng kc iba dyan")</f>
        <v>Gerard Joseph Rojano Turiano nakuha mo mo po..mema lng kc iba dyan</v>
      </c>
      <c r="F2762" s="1"/>
      <c r="G2762" s="1" t="str">
        <f>IFERROR(__xludf.DUMMYFUNCTION("""COMPUTED_VALUE"""),"3 mos")</f>
        <v>3 mos</v>
      </c>
      <c r="H2762" s="1" t="str">
        <f>IFERROR(__xludf.DUMMYFUNCTION("""COMPUTED_VALUE"""),"reply")</f>
        <v>reply</v>
      </c>
      <c r="I2762" s="2" t="str">
        <f>IFERROR(__xludf.DUMMYFUNCTION("""COMPUTED_VALUE"""),"https://www.facebook.com/rapplerdotcom/photos/a.317154781638645/5594453700575367/")</f>
        <v>https://www.facebook.com/rapplerdotcom/photos/a.317154781638645/5594453700575367/</v>
      </c>
      <c r="J2762" s="1" t="str">
        <f>IFERROR(__xludf.DUMMYFUNCTION("""COMPUTED_VALUE"""),"2022-07-04T15:53:36.543Z")</f>
        <v>2022-07-04T15:53:36.543Z</v>
      </c>
      <c r="K2762" s="1"/>
    </row>
    <row r="2763">
      <c r="A2763" s="2" t="str">
        <f>IFERROR(__xludf.DUMMYFUNCTION("""COMPUTED_VALUE"""),"https://www.facebook.com/tessie.domingo.7")</f>
        <v>https://www.facebook.com/tessie.domingo.7</v>
      </c>
      <c r="B2763" s="1" t="str">
        <f>IFERROR(__xludf.DUMMYFUNCTION("""COMPUTED_VALUE"""),"Tessie Domingo")</f>
        <v>Tessie Domingo</v>
      </c>
      <c r="C2763" s="1" t="str">
        <f>IFERROR(__xludf.DUMMYFUNCTION("""COMPUTED_VALUE"""),"Tessie")</f>
        <v>Tessie</v>
      </c>
      <c r="D2763" s="1" t="str">
        <f>IFERROR(__xludf.DUMMYFUNCTION("""COMPUTED_VALUE"""),"Domingo")</f>
        <v>Domingo</v>
      </c>
      <c r="E2763" s="1" t="str">
        <f>IFERROR(__xludf.DUMMYFUNCTION("""COMPUTED_VALUE"""),"Gerard Joseph Rojano Turiano anong degree nya 45 degree?")</f>
        <v>Gerard Joseph Rojano Turiano anong degree nya 45 degree?</v>
      </c>
      <c r="F2763" s="1"/>
      <c r="G2763" s="1" t="str">
        <f>IFERROR(__xludf.DUMMYFUNCTION("""COMPUTED_VALUE"""),"3 mos")</f>
        <v>3 mos</v>
      </c>
      <c r="H2763" s="1" t="str">
        <f>IFERROR(__xludf.DUMMYFUNCTION("""COMPUTED_VALUE"""),"reply")</f>
        <v>reply</v>
      </c>
      <c r="I2763" s="2" t="str">
        <f>IFERROR(__xludf.DUMMYFUNCTION("""COMPUTED_VALUE"""),"https://www.facebook.com/rapplerdotcom/photos/a.317154781638645/5594453700575367/")</f>
        <v>https://www.facebook.com/rapplerdotcom/photos/a.317154781638645/5594453700575367/</v>
      </c>
      <c r="J2763" s="1" t="str">
        <f>IFERROR(__xludf.DUMMYFUNCTION("""COMPUTED_VALUE"""),"2022-07-04T15:53:36.543Z")</f>
        <v>2022-07-04T15:53:36.543Z</v>
      </c>
      <c r="K2763" s="1"/>
    </row>
    <row r="2764">
      <c r="A2764" s="2" t="str">
        <f>IFERROR(__xludf.DUMMYFUNCTION("""COMPUTED_VALUE"""),"https://www.facebook.com/jude.romero.14")</f>
        <v>https://www.facebook.com/jude.romero.14</v>
      </c>
      <c r="B2764" s="1" t="str">
        <f>IFERROR(__xludf.DUMMYFUNCTION("""COMPUTED_VALUE"""),"Jude Romero")</f>
        <v>Jude Romero</v>
      </c>
      <c r="C2764" s="1" t="str">
        <f>IFERROR(__xludf.DUMMYFUNCTION("""COMPUTED_VALUE"""),"Jude")</f>
        <v>Jude</v>
      </c>
      <c r="D2764" s="1" t="str">
        <f>IFERROR(__xludf.DUMMYFUNCTION("""COMPUTED_VALUE"""),"Romero")</f>
        <v>Romero</v>
      </c>
      <c r="E2764" s="1" t="str">
        <f>IFERROR(__xludf.DUMMYFUNCTION("""COMPUTED_VALUE"""),"Kesha Anne Pernia just because???")</f>
        <v>Kesha Anne Pernia just because???</v>
      </c>
      <c r="F2764" s="1"/>
      <c r="G2764" s="1" t="str">
        <f>IFERROR(__xludf.DUMMYFUNCTION("""COMPUTED_VALUE"""),"3 mos")</f>
        <v>3 mos</v>
      </c>
      <c r="H2764" s="1" t="str">
        <f>IFERROR(__xludf.DUMMYFUNCTION("""COMPUTED_VALUE"""),"reply")</f>
        <v>reply</v>
      </c>
      <c r="I2764" s="2" t="str">
        <f>IFERROR(__xludf.DUMMYFUNCTION("""COMPUTED_VALUE"""),"https://www.facebook.com/rapplerdotcom/photos/a.317154781638645/5594453700575367/")</f>
        <v>https://www.facebook.com/rapplerdotcom/photos/a.317154781638645/5594453700575367/</v>
      </c>
      <c r="J2764" s="1" t="str">
        <f>IFERROR(__xludf.DUMMYFUNCTION("""COMPUTED_VALUE"""),"2022-07-04T15:53:36.543Z")</f>
        <v>2022-07-04T15:53:36.543Z</v>
      </c>
      <c r="K2764" s="1"/>
    </row>
    <row r="2765">
      <c r="A2765" s="2" t="str">
        <f>IFERROR(__xludf.DUMMYFUNCTION("""COMPUTED_VALUE"""),"https://www.facebook.com/ampleidle")</f>
        <v>https://www.facebook.com/ampleidle</v>
      </c>
      <c r="B2765" s="1" t="str">
        <f>IFERROR(__xludf.DUMMYFUNCTION("""COMPUTED_VALUE"""),"Gerard Joseph Rojano Turiano")</f>
        <v>Gerard Joseph Rojano Turiano</v>
      </c>
      <c r="C2765" s="1" t="str">
        <f>IFERROR(__xludf.DUMMYFUNCTION("""COMPUTED_VALUE"""),"Gerard")</f>
        <v>Gerard</v>
      </c>
      <c r="D2765" s="1" t="str">
        <f>IFERROR(__xludf.DUMMYFUNCTION("""COMPUTED_VALUE"""),"Joseph Rojano Turiano")</f>
        <v>Joseph Rojano Turiano</v>
      </c>
      <c r="E2765" s="1" t="str">
        <f>IFERROR(__xludf.DUMMYFUNCTION("""COMPUTED_VALUE"""),"Tessie Domingo im not trying to defend pacaman being degree holder or not.. the university though affirmed that he did comply with requirements.. pro ang punto niya kse is yung pagpili natin ng leader.. kung anong dapat natin iconsider..  besides, as far "&amp;"as having a degree is concerned.. e hindi ho siya nagsisinungaling.. pinatunayan paho ng unibersidad na garduate siya..   https://legacy.senate.gov.ph/photo_release/2019/1212_02.asp")</f>
        <v>Tessie Domingo im not trying to defend pacaman being degree holder or not.. the university though affirmed that he did comply with requirements.. pro ang punto niya kse is yung pagpili natin ng leader.. kung anong dapat natin iconsider..  besides, as far as having a degree is concerned.. e hindi ho siya nagsisinungaling.. pinatunayan paho ng unibersidad na garduate siya..   https://legacy.senate.gov.ph/photo_release/2019/1212_02.asp</v>
      </c>
      <c r="F2765" s="1">
        <f>IFERROR(__xludf.DUMMYFUNCTION("""COMPUTED_VALUE"""),1.0)</f>
        <v>1</v>
      </c>
      <c r="G2765" s="1" t="str">
        <f>IFERROR(__xludf.DUMMYFUNCTION("""COMPUTED_VALUE"""),"3 mos")</f>
        <v>3 mos</v>
      </c>
      <c r="H2765" s="1" t="str">
        <f>IFERROR(__xludf.DUMMYFUNCTION("""COMPUTED_VALUE"""),"reply")</f>
        <v>reply</v>
      </c>
      <c r="I2765" s="2" t="str">
        <f>IFERROR(__xludf.DUMMYFUNCTION("""COMPUTED_VALUE"""),"https://www.facebook.com/rapplerdotcom/photos/a.317154781638645/5594453700575367/")</f>
        <v>https://www.facebook.com/rapplerdotcom/photos/a.317154781638645/5594453700575367/</v>
      </c>
      <c r="J2765" s="1" t="str">
        <f>IFERROR(__xludf.DUMMYFUNCTION("""COMPUTED_VALUE"""),"2022-07-04T15:53:36.543Z")</f>
        <v>2022-07-04T15:53:36.543Z</v>
      </c>
      <c r="K2765" s="1"/>
    </row>
    <row r="2766">
      <c r="A2766" s="2" t="str">
        <f>IFERROR(__xludf.DUMMYFUNCTION("""COMPUTED_VALUE"""),"https://www.facebook.com/augustinatagaste")</f>
        <v>https://www.facebook.com/augustinatagaste</v>
      </c>
      <c r="B2766" s="1" t="str">
        <f>IFERROR(__xludf.DUMMYFUNCTION("""COMPUTED_VALUE"""),"Srdhorz Suyko")</f>
        <v>Srdhorz Suyko</v>
      </c>
      <c r="C2766" s="1" t="str">
        <f>IFERROR(__xludf.DUMMYFUNCTION("""COMPUTED_VALUE"""),"Srdhorz")</f>
        <v>Srdhorz</v>
      </c>
      <c r="D2766" s="1" t="str">
        <f>IFERROR(__xludf.DUMMYFUNCTION("""COMPUTED_VALUE"""),"Suyko")</f>
        <v>Suyko</v>
      </c>
      <c r="E2766" s="1" t="str">
        <f>IFERROR(__xludf.DUMMYFUNCTION("""COMPUTED_VALUE"""),"Celeste Dietert at least nagbayad ng buwis")</f>
        <v>Celeste Dietert at least nagbayad ng buwis</v>
      </c>
      <c r="F2766" s="1"/>
      <c r="G2766" s="1" t="str">
        <f>IFERROR(__xludf.DUMMYFUNCTION("""COMPUTED_VALUE"""),"3 mos")</f>
        <v>3 mos</v>
      </c>
      <c r="H2766" s="1" t="str">
        <f>IFERROR(__xludf.DUMMYFUNCTION("""COMPUTED_VALUE"""),"reply")</f>
        <v>reply</v>
      </c>
      <c r="I2766" s="2" t="str">
        <f>IFERROR(__xludf.DUMMYFUNCTION("""COMPUTED_VALUE"""),"https://www.facebook.com/rapplerdotcom/photos/a.317154781638645/5594453700575367/")</f>
        <v>https://www.facebook.com/rapplerdotcom/photos/a.317154781638645/5594453700575367/</v>
      </c>
      <c r="J2766" s="1" t="str">
        <f>IFERROR(__xludf.DUMMYFUNCTION("""COMPUTED_VALUE"""),"2022-07-04T15:53:36.543Z")</f>
        <v>2022-07-04T15:53:36.543Z</v>
      </c>
      <c r="K2766" s="1"/>
    </row>
    <row r="2767">
      <c r="A2767" s="2" t="str">
        <f>IFERROR(__xludf.DUMMYFUNCTION("""COMPUTED_VALUE"""),"https://www.facebook.com/melbie.carpentero.7")</f>
        <v>https://www.facebook.com/melbie.carpentero.7</v>
      </c>
      <c r="B2767" s="1" t="str">
        <f>IFERROR(__xludf.DUMMYFUNCTION("""COMPUTED_VALUE"""),"Melbie Carpentero")</f>
        <v>Melbie Carpentero</v>
      </c>
      <c r="C2767" s="1" t="str">
        <f>IFERROR(__xludf.DUMMYFUNCTION("""COMPUTED_VALUE"""),"Melbie")</f>
        <v>Melbie</v>
      </c>
      <c r="D2767" s="1" t="str">
        <f>IFERROR(__xludf.DUMMYFUNCTION("""COMPUTED_VALUE"""),"Carpentero")</f>
        <v>Carpentero</v>
      </c>
      <c r="E2767" s="1" t="str">
        <f>IFERROR(__xludf.DUMMYFUNCTION("""COMPUTED_VALUE"""),"Celeste Dietert tama nman sinabi ni pakyaw bkit masakit pakinggan.or skit sa mata basahin.huwag ng magcomento...")</f>
        <v>Celeste Dietert tama nman sinabi ni pakyaw bkit masakit pakinggan.or skit sa mata basahin.huwag ng magcomento...</v>
      </c>
      <c r="F2767" s="1">
        <f>IFERROR(__xludf.DUMMYFUNCTION("""COMPUTED_VALUE"""),2.0)</f>
        <v>2</v>
      </c>
      <c r="G2767" s="1" t="str">
        <f>IFERROR(__xludf.DUMMYFUNCTION("""COMPUTED_VALUE"""),"3 mos")</f>
        <v>3 mos</v>
      </c>
      <c r="H2767" s="1" t="str">
        <f>IFERROR(__xludf.DUMMYFUNCTION("""COMPUTED_VALUE"""),"reply")</f>
        <v>reply</v>
      </c>
      <c r="I2767" s="2" t="str">
        <f>IFERROR(__xludf.DUMMYFUNCTION("""COMPUTED_VALUE"""),"https://www.facebook.com/rapplerdotcom/photos/a.317154781638645/5594453700575367/")</f>
        <v>https://www.facebook.com/rapplerdotcom/photos/a.317154781638645/5594453700575367/</v>
      </c>
      <c r="J2767" s="1" t="str">
        <f>IFERROR(__xludf.DUMMYFUNCTION("""COMPUTED_VALUE"""),"2022-07-04T15:53:36.543Z")</f>
        <v>2022-07-04T15:53:36.543Z</v>
      </c>
      <c r="K2767" s="1"/>
    </row>
    <row r="2768">
      <c r="A2768" s="2" t="str">
        <f>IFERROR(__xludf.DUMMYFUNCTION("""COMPUTED_VALUE"""),"https://www.facebook.com/januario.pascua.3")</f>
        <v>https://www.facebook.com/januario.pascua.3</v>
      </c>
      <c r="B2768" s="1" t="str">
        <f>IFERROR(__xludf.DUMMYFUNCTION("""COMPUTED_VALUE"""),"Januario Pascua")</f>
        <v>Januario Pascua</v>
      </c>
      <c r="C2768" s="1" t="str">
        <f>IFERROR(__xludf.DUMMYFUNCTION("""COMPUTED_VALUE"""),"Januario")</f>
        <v>Januario</v>
      </c>
      <c r="D2768" s="1" t="str">
        <f>IFERROR(__xludf.DUMMYFUNCTION("""COMPUTED_VALUE"""),"Pascua")</f>
        <v>Pascua</v>
      </c>
      <c r="E2768" s="1" t="str">
        <f>IFERROR(__xludf.DUMMYFUNCTION("""COMPUTED_VALUE"""),"Celeste Dietert i agree")</f>
        <v>Celeste Dietert i agree</v>
      </c>
      <c r="F2768" s="1"/>
      <c r="G2768" s="1" t="str">
        <f>IFERROR(__xludf.DUMMYFUNCTION("""COMPUTED_VALUE"""),"3 mos")</f>
        <v>3 mos</v>
      </c>
      <c r="H2768" s="1" t="str">
        <f>IFERROR(__xludf.DUMMYFUNCTION("""COMPUTED_VALUE"""),"reply")</f>
        <v>reply</v>
      </c>
      <c r="I2768" s="2" t="str">
        <f>IFERROR(__xludf.DUMMYFUNCTION("""COMPUTED_VALUE"""),"https://www.facebook.com/rapplerdotcom/photos/a.317154781638645/5594453700575367/")</f>
        <v>https://www.facebook.com/rapplerdotcom/photos/a.317154781638645/5594453700575367/</v>
      </c>
      <c r="J2768" s="1" t="str">
        <f>IFERROR(__xludf.DUMMYFUNCTION("""COMPUTED_VALUE"""),"2022-07-04T15:53:36.543Z")</f>
        <v>2022-07-04T15:53:36.543Z</v>
      </c>
      <c r="K2768" s="1"/>
    </row>
    <row r="2769">
      <c r="A2769" s="2" t="str">
        <f>IFERROR(__xludf.DUMMYFUNCTION("""COMPUTED_VALUE"""),"https://www.facebook.com/kimkimmy.bautista")</f>
        <v>https://www.facebook.com/kimkimmy.bautista</v>
      </c>
      <c r="B2769" s="1" t="str">
        <f>IFERROR(__xludf.DUMMYFUNCTION("""COMPUTED_VALUE"""),"Carlo Sache")</f>
        <v>Carlo Sache</v>
      </c>
      <c r="C2769" s="1" t="str">
        <f>IFERROR(__xludf.DUMMYFUNCTION("""COMPUTED_VALUE"""),"Carlo")</f>
        <v>Carlo</v>
      </c>
      <c r="D2769" s="1" t="str">
        <f>IFERROR(__xludf.DUMMYFUNCTION("""COMPUTED_VALUE"""),"Sache")</f>
        <v>Sache</v>
      </c>
      <c r="E2769" s="1" t="str">
        <f>IFERROR(__xludf.DUMMYFUNCTION("""COMPUTED_VALUE"""),"Celeste Dietert look whose talking too, comment kagad di man lang inintindi.")</f>
        <v>Celeste Dietert look whose talking too, comment kagad di man lang inintindi.</v>
      </c>
      <c r="F2769" s="1"/>
      <c r="G2769" s="1" t="str">
        <f>IFERROR(__xludf.DUMMYFUNCTION("""COMPUTED_VALUE"""),"3 mos")</f>
        <v>3 mos</v>
      </c>
      <c r="H2769" s="1" t="str">
        <f>IFERROR(__xludf.DUMMYFUNCTION("""COMPUTED_VALUE"""),"reply")</f>
        <v>reply</v>
      </c>
      <c r="I2769" s="2" t="str">
        <f>IFERROR(__xludf.DUMMYFUNCTION("""COMPUTED_VALUE"""),"https://www.facebook.com/rapplerdotcom/photos/a.317154781638645/5594453700575367/")</f>
        <v>https://www.facebook.com/rapplerdotcom/photos/a.317154781638645/5594453700575367/</v>
      </c>
      <c r="J2769" s="1" t="str">
        <f>IFERROR(__xludf.DUMMYFUNCTION("""COMPUTED_VALUE"""),"2022-07-04T15:53:36.543Z")</f>
        <v>2022-07-04T15:53:36.543Z</v>
      </c>
      <c r="K2769" s="1"/>
    </row>
    <row r="2770">
      <c r="A2770" s="2" t="str">
        <f>IFERROR(__xludf.DUMMYFUNCTION("""COMPUTED_VALUE"""),"https://www.facebook.com/hellbladesxiii")</f>
        <v>https://www.facebook.com/hellbladesxiii</v>
      </c>
      <c r="B2770" s="1" t="str">
        <f>IFERROR(__xludf.DUMMYFUNCTION("""COMPUTED_VALUE"""),"Diel Monzon")</f>
        <v>Diel Monzon</v>
      </c>
      <c r="C2770" s="1" t="str">
        <f>IFERROR(__xludf.DUMMYFUNCTION("""COMPUTED_VALUE"""),"Diel")</f>
        <v>Diel</v>
      </c>
      <c r="D2770" s="1" t="str">
        <f>IFERROR(__xludf.DUMMYFUNCTION("""COMPUTED_VALUE"""),"Monzon")</f>
        <v>Monzon</v>
      </c>
      <c r="E2770" s="1" t="str">
        <f>IFERROR(__xludf.DUMMYFUNCTION("""COMPUTED_VALUE"""),"yung isa din mahilig sa absent, absentee as governor, absentee as senator, absentee sa debate, absent minded nga din pag tinanong.")</f>
        <v>yung isa din mahilig sa absent, absentee as governor, absentee as senator, absentee sa debate, absent minded nga din pag tinanong.</v>
      </c>
      <c r="F2770" s="1">
        <f>IFERROR(__xludf.DUMMYFUNCTION("""COMPUTED_VALUE"""),4.0)</f>
        <v>4</v>
      </c>
      <c r="G2770" s="1" t="str">
        <f>IFERROR(__xludf.DUMMYFUNCTION("""COMPUTED_VALUE"""),"3 mos")</f>
        <v>3 mos</v>
      </c>
      <c r="H2770" s="1" t="str">
        <f>IFERROR(__xludf.DUMMYFUNCTION("""COMPUTED_VALUE"""),"reply")</f>
        <v>reply</v>
      </c>
      <c r="I2770" s="2" t="str">
        <f>IFERROR(__xludf.DUMMYFUNCTION("""COMPUTED_VALUE"""),"https://www.facebook.com/rapplerdotcom/photos/a.317154781638645/5594453700575367/")</f>
        <v>https://www.facebook.com/rapplerdotcom/photos/a.317154781638645/5594453700575367/</v>
      </c>
      <c r="J2770" s="1" t="str">
        <f>IFERROR(__xludf.DUMMYFUNCTION("""COMPUTED_VALUE"""),"2022-07-04T15:53:36.543Z")</f>
        <v>2022-07-04T15:53:36.543Z</v>
      </c>
      <c r="K2770" s="1"/>
    </row>
    <row r="2771">
      <c r="A2771" s="2" t="str">
        <f>IFERROR(__xludf.DUMMYFUNCTION("""COMPUTED_VALUE"""),"https://www.facebook.com/escalante.diwata")</f>
        <v>https://www.facebook.com/escalante.diwata</v>
      </c>
      <c r="B2771" s="1" t="str">
        <f>IFERROR(__xludf.DUMMYFUNCTION("""COMPUTED_VALUE"""),"Diwata Escalante")</f>
        <v>Diwata Escalante</v>
      </c>
      <c r="C2771" s="1" t="str">
        <f>IFERROR(__xludf.DUMMYFUNCTION("""COMPUTED_VALUE"""),"Diwata")</f>
        <v>Diwata</v>
      </c>
      <c r="D2771" s="1" t="str">
        <f>IFERROR(__xludf.DUMMYFUNCTION("""COMPUTED_VALUE"""),"Escalante")</f>
        <v>Escalante</v>
      </c>
      <c r="E2771" s="1" t="str">
        <f>IFERROR(__xludf.DUMMYFUNCTION("""COMPUTED_VALUE"""),"Celeste Dietert can you")</f>
        <v>Celeste Dietert can you</v>
      </c>
      <c r="F2771" s="1"/>
      <c r="G2771" s="1" t="str">
        <f>IFERROR(__xludf.DUMMYFUNCTION("""COMPUTED_VALUE"""),"3 mos")</f>
        <v>3 mos</v>
      </c>
      <c r="H2771" s="1" t="str">
        <f>IFERROR(__xludf.DUMMYFUNCTION("""COMPUTED_VALUE"""),"reply")</f>
        <v>reply</v>
      </c>
      <c r="I2771" s="2" t="str">
        <f>IFERROR(__xludf.DUMMYFUNCTION("""COMPUTED_VALUE"""),"https://www.facebook.com/rapplerdotcom/photos/a.317154781638645/5594453700575367/")</f>
        <v>https://www.facebook.com/rapplerdotcom/photos/a.317154781638645/5594453700575367/</v>
      </c>
      <c r="J2771" s="1" t="str">
        <f>IFERROR(__xludf.DUMMYFUNCTION("""COMPUTED_VALUE"""),"2022-07-04T15:53:36.543Z")</f>
        <v>2022-07-04T15:53:36.543Z</v>
      </c>
      <c r="K2771" s="1"/>
    </row>
    <row r="2772">
      <c r="A2772" s="2" t="str">
        <f>IFERROR(__xludf.DUMMYFUNCTION("""COMPUTED_VALUE"""),"https://www.facebook.com/TheWillsanity")</f>
        <v>https://www.facebook.com/TheWillsanity</v>
      </c>
      <c r="B2772" s="1" t="str">
        <f>IFERROR(__xludf.DUMMYFUNCTION("""COMPUTED_VALUE"""),"Will Santos")</f>
        <v>Will Santos</v>
      </c>
      <c r="C2772" s="1" t="str">
        <f>IFERROR(__xludf.DUMMYFUNCTION("""COMPUTED_VALUE"""),"Will")</f>
        <v>Will</v>
      </c>
      <c r="D2772" s="1" t="str">
        <f>IFERROR(__xludf.DUMMYFUNCTION("""COMPUTED_VALUE"""),"Santos")</f>
        <v>Santos</v>
      </c>
      <c r="E2772" s="1" t="str">
        <f>IFERROR(__xludf.DUMMYFUNCTION("""COMPUTED_VALUE"""),"Celeste Dietert idol mo nga college dropout eh. 🤷‍♂️ stupido")</f>
        <v>Celeste Dietert idol mo nga college dropout eh. 🤷‍♂️ stupido</v>
      </c>
      <c r="F2772" s="1"/>
      <c r="G2772" s="1" t="str">
        <f>IFERROR(__xludf.DUMMYFUNCTION("""COMPUTED_VALUE"""),"3 mos")</f>
        <v>3 mos</v>
      </c>
      <c r="H2772" s="1" t="str">
        <f>IFERROR(__xludf.DUMMYFUNCTION("""COMPUTED_VALUE"""),"reply")</f>
        <v>reply</v>
      </c>
      <c r="I2772" s="2" t="str">
        <f>IFERROR(__xludf.DUMMYFUNCTION("""COMPUTED_VALUE"""),"https://www.facebook.com/rapplerdotcom/photos/a.317154781638645/5594453700575367/")</f>
        <v>https://www.facebook.com/rapplerdotcom/photos/a.317154781638645/5594453700575367/</v>
      </c>
      <c r="J2772" s="1" t="str">
        <f>IFERROR(__xludf.DUMMYFUNCTION("""COMPUTED_VALUE"""),"2022-07-04T15:53:36.543Z")</f>
        <v>2022-07-04T15:53:36.543Z</v>
      </c>
      <c r="K2772" s="1"/>
    </row>
    <row r="2773">
      <c r="A2773" s="2" t="str">
        <f>IFERROR(__xludf.DUMMYFUNCTION("""COMPUTED_VALUE"""),"https://www.facebook.com/profile.php?id=100013129274631")</f>
        <v>https://www.facebook.com/profile.php?id=100013129274631</v>
      </c>
      <c r="B2773" s="1" t="str">
        <f>IFERROR(__xludf.DUMMYFUNCTION("""COMPUTED_VALUE"""),"Pang de Lira")</f>
        <v>Pang de Lira</v>
      </c>
      <c r="C2773" s="1" t="str">
        <f>IFERROR(__xludf.DUMMYFUNCTION("""COMPUTED_VALUE"""),"Pang")</f>
        <v>Pang</v>
      </c>
      <c r="D2773" s="1" t="str">
        <f>IFERROR(__xludf.DUMMYFUNCTION("""COMPUTED_VALUE"""),"de Lira")</f>
        <v>de Lira</v>
      </c>
      <c r="E2773" s="1" t="str">
        <f>IFERROR(__xludf.DUMMYFUNCTION("""COMPUTED_VALUE"""),"Celeste Dietert you need the food for the brain more.")</f>
        <v>Celeste Dietert you need the food for the brain more.</v>
      </c>
      <c r="F2773" s="1"/>
      <c r="G2773" s="1" t="str">
        <f>IFERROR(__xludf.DUMMYFUNCTION("""COMPUTED_VALUE"""),"3 mos")</f>
        <v>3 mos</v>
      </c>
      <c r="H2773" s="1" t="str">
        <f>IFERROR(__xludf.DUMMYFUNCTION("""COMPUTED_VALUE"""),"reply")</f>
        <v>reply</v>
      </c>
      <c r="I2773" s="2" t="str">
        <f>IFERROR(__xludf.DUMMYFUNCTION("""COMPUTED_VALUE"""),"https://www.facebook.com/rapplerdotcom/photos/a.317154781638645/5594453700575367/")</f>
        <v>https://www.facebook.com/rapplerdotcom/photos/a.317154781638645/5594453700575367/</v>
      </c>
      <c r="J2773" s="1" t="str">
        <f>IFERROR(__xludf.DUMMYFUNCTION("""COMPUTED_VALUE"""),"2022-07-04T15:53:36.543Z")</f>
        <v>2022-07-04T15:53:36.543Z</v>
      </c>
      <c r="K2773" s="1"/>
    </row>
    <row r="2774">
      <c r="A2774" s="2" t="str">
        <f>IFERROR(__xludf.DUMMYFUNCTION("""COMPUTED_VALUE"""),"https://www.facebook.com/austinmarkmccree")</f>
        <v>https://www.facebook.com/austinmarkmccree</v>
      </c>
      <c r="B2774" s="1" t="str">
        <f>IFERROR(__xludf.DUMMYFUNCTION("""COMPUTED_VALUE"""),"Austin McCree")</f>
        <v>Austin McCree</v>
      </c>
      <c r="C2774" s="1" t="str">
        <f>IFERROR(__xludf.DUMMYFUNCTION("""COMPUTED_VALUE"""),"Austin")</f>
        <v>Austin</v>
      </c>
      <c r="D2774" s="1" t="str">
        <f>IFERROR(__xludf.DUMMYFUNCTION("""COMPUTED_VALUE"""),"McCree")</f>
        <v>McCree</v>
      </c>
      <c r="E2774" s="1" t="str">
        <f>IFERROR(__xludf.DUMMYFUNCTION("""COMPUTED_VALUE"""),"Celeste Dietert Well it's not like he actually wrote any laws when he WAS there lol. ""Principal author"" signature on some, but he had little to nothing to do with actually writing them.  Still, he's correct here regardless. This is not the time for what"&amp;"aboutisms, this is the time for examining statements to see if they have merit.")</f>
        <v>Celeste Dietert Well it's not like he actually wrote any laws when he WAS there lol. "Principal author" signature on some, but he had little to nothing to do with actually writing them.  Still, he's correct here regardless. This is not the time for whataboutisms, this is the time for examining statements to see if they have merit.</v>
      </c>
      <c r="F2774" s="1"/>
      <c r="G2774" s="1" t="str">
        <f>IFERROR(__xludf.DUMMYFUNCTION("""COMPUTED_VALUE"""),"3 mos")</f>
        <v>3 mos</v>
      </c>
      <c r="H2774" s="1" t="str">
        <f>IFERROR(__xludf.DUMMYFUNCTION("""COMPUTED_VALUE"""),"reply")</f>
        <v>reply</v>
      </c>
      <c r="I2774" s="2" t="str">
        <f>IFERROR(__xludf.DUMMYFUNCTION("""COMPUTED_VALUE"""),"https://www.facebook.com/rapplerdotcom/photos/a.317154781638645/5594453700575367/")</f>
        <v>https://www.facebook.com/rapplerdotcom/photos/a.317154781638645/5594453700575367/</v>
      </c>
      <c r="J2774" s="1" t="str">
        <f>IFERROR(__xludf.DUMMYFUNCTION("""COMPUTED_VALUE"""),"2022-07-04T15:53:36.543Z")</f>
        <v>2022-07-04T15:53:36.543Z</v>
      </c>
      <c r="K2774" s="1"/>
    </row>
    <row r="2775">
      <c r="A2775" s="2" t="str">
        <f>IFERROR(__xludf.DUMMYFUNCTION("""COMPUTED_VALUE"""),"https://www.facebook.com/profile.php?id=100075733818877")</f>
        <v>https://www.facebook.com/profile.php?id=100075733818877</v>
      </c>
      <c r="B2775" s="1" t="str">
        <f>IFERROR(__xludf.DUMMYFUNCTION("""COMPUTED_VALUE"""),"Fu Bu")</f>
        <v>Fu Bu</v>
      </c>
      <c r="C2775" s="1" t="str">
        <f>IFERROR(__xludf.DUMMYFUNCTION("""COMPUTED_VALUE"""),"Fu")</f>
        <v>Fu</v>
      </c>
      <c r="D2775" s="1" t="str">
        <f>IFERROR(__xludf.DUMMYFUNCTION("""COMPUTED_VALUE"""),"Bu")</f>
        <v>Bu</v>
      </c>
      <c r="E2775" s="1" t="str">
        <f>IFERROR(__xludf.DUMMYFUNCTION("""COMPUTED_VALUE"""),"Gerard Joseph Rojano Turiano Sa tingin mo sino ba sa kanila ang malinis, eh halos lahat naman sila puro may bahid eh.")</f>
        <v>Gerard Joseph Rojano Turiano Sa tingin mo sino ba sa kanila ang malinis, eh halos lahat naman sila puro may bahid eh.</v>
      </c>
      <c r="F2775" s="1"/>
      <c r="G2775" s="1" t="str">
        <f>IFERROR(__xludf.DUMMYFUNCTION("""COMPUTED_VALUE"""),"3 mos")</f>
        <v>3 mos</v>
      </c>
      <c r="H2775" s="1" t="str">
        <f>IFERROR(__xludf.DUMMYFUNCTION("""COMPUTED_VALUE"""),"reply")</f>
        <v>reply</v>
      </c>
      <c r="I2775" s="2" t="str">
        <f>IFERROR(__xludf.DUMMYFUNCTION("""COMPUTED_VALUE"""),"https://www.facebook.com/rapplerdotcom/photos/a.317154781638645/5594453700575367/")</f>
        <v>https://www.facebook.com/rapplerdotcom/photos/a.317154781638645/5594453700575367/</v>
      </c>
      <c r="J2775" s="1" t="str">
        <f>IFERROR(__xludf.DUMMYFUNCTION("""COMPUTED_VALUE"""),"2022-07-04T15:53:36.543Z")</f>
        <v>2022-07-04T15:53:36.543Z</v>
      </c>
      <c r="K2775" s="1"/>
    </row>
    <row r="2776">
      <c r="A2776" s="2" t="str">
        <f>IFERROR(__xludf.DUMMYFUNCTION("""COMPUTED_VALUE"""),"https://www.facebook.com/gloria.buaron")</f>
        <v>https://www.facebook.com/gloria.buaron</v>
      </c>
      <c r="B2776" s="1" t="str">
        <f>IFERROR(__xludf.DUMMYFUNCTION("""COMPUTED_VALUE"""),"Gloria Lucerna Zuyco")</f>
        <v>Gloria Lucerna Zuyco</v>
      </c>
      <c r="C2776" s="1" t="str">
        <f>IFERROR(__xludf.DUMMYFUNCTION("""COMPUTED_VALUE"""),"Gloria")</f>
        <v>Gloria</v>
      </c>
      <c r="D2776" s="1" t="str">
        <f>IFERROR(__xludf.DUMMYFUNCTION("""COMPUTED_VALUE"""),"Lucerna Zuyco")</f>
        <v>Lucerna Zuyco</v>
      </c>
      <c r="E2776" s="1" t="str">
        <f>IFERROR(__xludf.DUMMYFUNCTION("""COMPUTED_VALUE"""),"Manny,  please give your support to deserving one. Here, i agree to you personally.")</f>
        <v>Manny,  please give your support to deserving one. Here, i agree to you personally.</v>
      </c>
      <c r="F2776" s="1">
        <f>IFERROR(__xludf.DUMMYFUNCTION("""COMPUTED_VALUE"""),74.0)</f>
        <v>74</v>
      </c>
      <c r="G2776" s="1" t="str">
        <f>IFERROR(__xludf.DUMMYFUNCTION("""COMPUTED_VALUE"""),"3 mos")</f>
        <v>3 mos</v>
      </c>
      <c r="H2776" s="1" t="str">
        <f>IFERROR(__xludf.DUMMYFUNCTION("""COMPUTED_VALUE"""),"comment")</f>
        <v>comment</v>
      </c>
      <c r="I2776" s="2" t="str">
        <f>IFERROR(__xludf.DUMMYFUNCTION("""COMPUTED_VALUE"""),"https://www.facebook.com/rapplerdotcom/photos/a.317154781638645/5594453700575367/")</f>
        <v>https://www.facebook.com/rapplerdotcom/photos/a.317154781638645/5594453700575367/</v>
      </c>
      <c r="J2776" s="1" t="str">
        <f>IFERROR(__xludf.DUMMYFUNCTION("""COMPUTED_VALUE"""),"2022-07-04T15:53:36.543Z")</f>
        <v>2022-07-04T15:53:36.543Z</v>
      </c>
      <c r="K2776" s="1"/>
    </row>
    <row r="2777">
      <c r="A2777" s="2" t="str">
        <f>IFERROR(__xludf.DUMMYFUNCTION("""COMPUTED_VALUE"""),"https://www.facebook.com/ester.yu.7")</f>
        <v>https://www.facebook.com/ester.yu.7</v>
      </c>
      <c r="B2777" s="1" t="str">
        <f>IFERROR(__xludf.DUMMYFUNCTION("""COMPUTED_VALUE"""),"Ester Yu")</f>
        <v>Ester Yu</v>
      </c>
      <c r="C2777" s="1" t="str">
        <f>IFERROR(__xludf.DUMMYFUNCTION("""COMPUTED_VALUE"""),"Ester")</f>
        <v>Ester</v>
      </c>
      <c r="D2777" s="1" t="str">
        <f>IFERROR(__xludf.DUMMYFUNCTION("""COMPUTED_VALUE"""),"Yu")</f>
        <v>Yu</v>
      </c>
      <c r="E2777" s="1" t="str">
        <f>IFERROR(__xludf.DUMMYFUNCTION("""COMPUTED_VALUE"""),"Gloria Lucerna Zuyco bakit isko and pacman wala ng ibang agenda at topic puro si bongbong nalang presidentiable ba ang mga yon")</f>
        <v>Gloria Lucerna Zuyco bakit isko and pacman wala ng ibang agenda at topic puro si bongbong nalang presidentiable ba ang mga yon</v>
      </c>
      <c r="F2777" s="1">
        <f>IFERROR(__xludf.DUMMYFUNCTION("""COMPUTED_VALUE"""),1.0)</f>
        <v>1</v>
      </c>
      <c r="G2777" s="1" t="str">
        <f>IFERROR(__xludf.DUMMYFUNCTION("""COMPUTED_VALUE"""),"3 mos")</f>
        <v>3 mos</v>
      </c>
      <c r="H2777" s="1" t="str">
        <f>IFERROR(__xludf.DUMMYFUNCTION("""COMPUTED_VALUE"""),"reply")</f>
        <v>reply</v>
      </c>
      <c r="I2777" s="2" t="str">
        <f>IFERROR(__xludf.DUMMYFUNCTION("""COMPUTED_VALUE"""),"https://www.facebook.com/rapplerdotcom/photos/a.317154781638645/5594453700575367/")</f>
        <v>https://www.facebook.com/rapplerdotcom/photos/a.317154781638645/5594453700575367/</v>
      </c>
      <c r="J2777" s="1" t="str">
        <f>IFERROR(__xludf.DUMMYFUNCTION("""COMPUTED_VALUE"""),"2022-07-04T15:53:36.543Z")</f>
        <v>2022-07-04T15:53:36.543Z</v>
      </c>
      <c r="K2777" s="1"/>
    </row>
    <row r="2778">
      <c r="A2778" s="2" t="str">
        <f>IFERROR(__xludf.DUMMYFUNCTION("""COMPUTED_VALUE"""),"https://www.facebook.com/zuemelville101")</f>
        <v>https://www.facebook.com/zuemelville101</v>
      </c>
      <c r="B2778" s="1" t="str">
        <f>IFERROR(__xludf.DUMMYFUNCTION("""COMPUTED_VALUE"""),"Zue Libkaj Delos Reyes")</f>
        <v>Zue Libkaj Delos Reyes</v>
      </c>
      <c r="C2778" s="1" t="str">
        <f>IFERROR(__xludf.DUMMYFUNCTION("""COMPUTED_VALUE"""),"Zue")</f>
        <v>Zue</v>
      </c>
      <c r="D2778" s="1" t="str">
        <f>IFERROR(__xludf.DUMMYFUNCTION("""COMPUTED_VALUE"""),"Libkaj Delos Reyes")</f>
        <v>Libkaj Delos Reyes</v>
      </c>
      <c r="E2778" s="1" t="str">
        <f>IFERROR(__xludf.DUMMYFUNCTION("""COMPUTED_VALUE"""),"Ester Yu wala naman sya sinabi na si Bongbong yan 😂")</f>
        <v>Ester Yu wala naman sya sinabi na si Bongbong yan 😂</v>
      </c>
      <c r="F2778" s="1">
        <f>IFERROR(__xludf.DUMMYFUNCTION("""COMPUTED_VALUE"""),5.0)</f>
        <v>5</v>
      </c>
      <c r="G2778" s="1" t="str">
        <f>IFERROR(__xludf.DUMMYFUNCTION("""COMPUTED_VALUE"""),"3 mos")</f>
        <v>3 mos</v>
      </c>
      <c r="H2778" s="1" t="str">
        <f>IFERROR(__xludf.DUMMYFUNCTION("""COMPUTED_VALUE"""),"reply")</f>
        <v>reply</v>
      </c>
      <c r="I2778" s="2" t="str">
        <f>IFERROR(__xludf.DUMMYFUNCTION("""COMPUTED_VALUE"""),"https://www.facebook.com/rapplerdotcom/photos/a.317154781638645/5594453700575367/")</f>
        <v>https://www.facebook.com/rapplerdotcom/photos/a.317154781638645/5594453700575367/</v>
      </c>
      <c r="J2778" s="1" t="str">
        <f>IFERROR(__xludf.DUMMYFUNCTION("""COMPUTED_VALUE"""),"2022-07-04T15:53:36.543Z")</f>
        <v>2022-07-04T15:53:36.543Z</v>
      </c>
      <c r="K2778" s="1"/>
    </row>
    <row r="2779">
      <c r="A2779" s="2" t="str">
        <f>IFERROR(__xludf.DUMMYFUNCTION("""COMPUTED_VALUE"""),"https://www.facebook.com/akihiro.sato.940098")</f>
        <v>https://www.facebook.com/akihiro.sato.940098</v>
      </c>
      <c r="B2779" s="1" t="str">
        <f>IFERROR(__xludf.DUMMYFUNCTION("""COMPUTED_VALUE"""),"Santos Helbert")</f>
        <v>Santos Helbert</v>
      </c>
      <c r="C2779" s="1" t="str">
        <f>IFERROR(__xludf.DUMMYFUNCTION("""COMPUTED_VALUE"""),"Santos")</f>
        <v>Santos</v>
      </c>
      <c r="D2779" s="1" t="str">
        <f>IFERROR(__xludf.DUMMYFUNCTION("""COMPUTED_VALUE"""),"Helbert")</f>
        <v>Helbert</v>
      </c>
      <c r="E2779" s="1" t="str">
        <f>IFERROR(__xludf.DUMMYFUNCTION("""COMPUTED_VALUE"""),"Say Say may nasaktan, umaray si ate 😂")</f>
        <v>Say Say may nasaktan, umaray si ate 😂</v>
      </c>
      <c r="F2779" s="1">
        <f>IFERROR(__xludf.DUMMYFUNCTION("""COMPUTED_VALUE"""),3.0)</f>
        <v>3</v>
      </c>
      <c r="G2779" s="1" t="str">
        <f>IFERROR(__xludf.DUMMYFUNCTION("""COMPUTED_VALUE"""),"3 mos")</f>
        <v>3 mos</v>
      </c>
      <c r="H2779" s="1" t="str">
        <f>IFERROR(__xludf.DUMMYFUNCTION("""COMPUTED_VALUE"""),"reply")</f>
        <v>reply</v>
      </c>
      <c r="I2779" s="2" t="str">
        <f>IFERROR(__xludf.DUMMYFUNCTION("""COMPUTED_VALUE"""),"https://www.facebook.com/rapplerdotcom/photos/a.317154781638645/5594453700575367/")</f>
        <v>https://www.facebook.com/rapplerdotcom/photos/a.317154781638645/5594453700575367/</v>
      </c>
      <c r="J2779" s="1" t="str">
        <f>IFERROR(__xludf.DUMMYFUNCTION("""COMPUTED_VALUE"""),"2022-07-04T15:53:36.543Z")</f>
        <v>2022-07-04T15:53:36.543Z</v>
      </c>
      <c r="K2779" s="1"/>
    </row>
    <row r="2780">
      <c r="A2780" s="2" t="str">
        <f>IFERROR(__xludf.DUMMYFUNCTION("""COMPUTED_VALUE"""),"https://www.facebook.com/knavejoshuamarquez")</f>
        <v>https://www.facebook.com/knavejoshuamarquez</v>
      </c>
      <c r="B2780" s="1" t="str">
        <f>IFERROR(__xludf.DUMMYFUNCTION("""COMPUTED_VALUE"""),"Knave Joshua Fabro Marquez")</f>
        <v>Knave Joshua Fabro Marquez</v>
      </c>
      <c r="C2780" s="1" t="str">
        <f>IFERROR(__xludf.DUMMYFUNCTION("""COMPUTED_VALUE"""),"Knave")</f>
        <v>Knave</v>
      </c>
      <c r="D2780" s="1" t="str">
        <f>IFERROR(__xludf.DUMMYFUNCTION("""COMPUTED_VALUE"""),"Joshua Fabro Marquez")</f>
        <v>Joshua Fabro Marquez</v>
      </c>
      <c r="E2780" s="1" t="str">
        <f>IFERROR(__xludf.DUMMYFUNCTION("""COMPUTED_VALUE"""),"Say Say di na nila ma-deny kasi eh 😂🤣")</f>
        <v>Say Say di na nila ma-deny kasi eh 😂🤣</v>
      </c>
      <c r="F2780" s="1">
        <f>IFERROR(__xludf.DUMMYFUNCTION("""COMPUTED_VALUE"""),2.0)</f>
        <v>2</v>
      </c>
      <c r="G2780" s="1" t="str">
        <f>IFERROR(__xludf.DUMMYFUNCTION("""COMPUTED_VALUE"""),"3 mos")</f>
        <v>3 mos</v>
      </c>
      <c r="H2780" s="1" t="str">
        <f>IFERROR(__xludf.DUMMYFUNCTION("""COMPUTED_VALUE"""),"reply")</f>
        <v>reply</v>
      </c>
      <c r="I2780" s="2" t="str">
        <f>IFERROR(__xludf.DUMMYFUNCTION("""COMPUTED_VALUE"""),"https://www.facebook.com/rapplerdotcom/photos/a.317154781638645/5594453700575367/")</f>
        <v>https://www.facebook.com/rapplerdotcom/photos/a.317154781638645/5594453700575367/</v>
      </c>
      <c r="J2780" s="1" t="str">
        <f>IFERROR(__xludf.DUMMYFUNCTION("""COMPUTED_VALUE"""),"2022-07-04T15:53:36.544Z")</f>
        <v>2022-07-04T15:53:36.544Z</v>
      </c>
      <c r="K2780" s="1"/>
    </row>
    <row r="2781">
      <c r="A2781" s="2" t="str">
        <f>IFERROR(__xludf.DUMMYFUNCTION("""COMPUTED_VALUE"""),"https://www.facebook.com/eg.forondaheydarian")</f>
        <v>https://www.facebook.com/eg.forondaheydarian</v>
      </c>
      <c r="B2781" s="1" t="str">
        <f>IFERROR(__xludf.DUMMYFUNCTION("""COMPUTED_VALUE"""),"EG Vanch P Foronda")</f>
        <v>EG Vanch P Foronda</v>
      </c>
      <c r="C2781" s="1" t="str">
        <f>IFERROR(__xludf.DUMMYFUNCTION("""COMPUTED_VALUE"""),"EG")</f>
        <v>EG</v>
      </c>
      <c r="D2781" s="1" t="str">
        <f>IFERROR(__xludf.DUMMYFUNCTION("""COMPUTED_VALUE"""),"Vanch P Foronda")</f>
        <v>Vanch P Foronda</v>
      </c>
      <c r="E2781" s="1" t="str">
        <f>IFERROR(__xludf.DUMMYFUNCTION("""COMPUTED_VALUE"""),"God Bless you Manny: you are a truly the soldier of God:keep leading our young generations :they are lost as meek lambs.")</f>
        <v>God Bless you Manny: you are a truly the soldier of God:keep leading our young generations :they are lost as meek lambs.</v>
      </c>
      <c r="F2781" s="1">
        <f>IFERROR(__xludf.DUMMYFUNCTION("""COMPUTED_VALUE"""),7.0)</f>
        <v>7</v>
      </c>
      <c r="G2781" s="1" t="str">
        <f>IFERROR(__xludf.DUMMYFUNCTION("""COMPUTED_VALUE"""),"3 mos")</f>
        <v>3 mos</v>
      </c>
      <c r="H2781" s="1" t="str">
        <f>IFERROR(__xludf.DUMMYFUNCTION("""COMPUTED_VALUE"""),"comment")</f>
        <v>comment</v>
      </c>
      <c r="I2781" s="2" t="str">
        <f>IFERROR(__xludf.DUMMYFUNCTION("""COMPUTED_VALUE"""),"https://www.facebook.com/rapplerdotcom/photos/a.317154781638645/5594453700575367/")</f>
        <v>https://www.facebook.com/rapplerdotcom/photos/a.317154781638645/5594453700575367/</v>
      </c>
      <c r="J2781" s="1" t="str">
        <f>IFERROR(__xludf.DUMMYFUNCTION("""COMPUTED_VALUE"""),"2022-07-04T15:53:36.544Z")</f>
        <v>2022-07-04T15:53:36.544Z</v>
      </c>
      <c r="K2781" s="1"/>
    </row>
    <row r="2782">
      <c r="A2782" s="2" t="str">
        <f>IFERROR(__xludf.DUMMYFUNCTION("""COMPUTED_VALUE"""),"https://www.facebook.com/bonny.dimayuga")</f>
        <v>https://www.facebook.com/bonny.dimayuga</v>
      </c>
      <c r="B2782" s="1" t="str">
        <f>IFERROR(__xludf.DUMMYFUNCTION("""COMPUTED_VALUE"""),"Bonny E. Dimayuga")</f>
        <v>Bonny E. Dimayuga</v>
      </c>
      <c r="C2782" s="1" t="str">
        <f>IFERROR(__xludf.DUMMYFUNCTION("""COMPUTED_VALUE"""),"Bonny")</f>
        <v>Bonny</v>
      </c>
      <c r="D2782" s="1" t="str">
        <f>IFERROR(__xludf.DUMMYFUNCTION("""COMPUTED_VALUE"""),"E. Dimayuga")</f>
        <v>E. Dimayuga</v>
      </c>
      <c r="E2782" s="1" t="str">
        <f>IFERROR(__xludf.DUMMYFUNCTION("""COMPUTED_VALUE"""),"I salute Manny for his candor and forthright views. I may not agree with some of his views and will not vote for him but he is being true to himself.")</f>
        <v>I salute Manny for his candor and forthright views. I may not agree with some of his views and will not vote for him but he is being true to himself.</v>
      </c>
      <c r="F2782" s="1">
        <f>IFERROR(__xludf.DUMMYFUNCTION("""COMPUTED_VALUE"""),2.0)</f>
        <v>2</v>
      </c>
      <c r="G2782" s="1" t="str">
        <f>IFERROR(__xludf.DUMMYFUNCTION("""COMPUTED_VALUE"""),"3 mos")</f>
        <v>3 mos</v>
      </c>
      <c r="H2782" s="1" t="str">
        <f>IFERROR(__xludf.DUMMYFUNCTION("""COMPUTED_VALUE"""),"comment")</f>
        <v>comment</v>
      </c>
      <c r="I2782" s="2" t="str">
        <f>IFERROR(__xludf.DUMMYFUNCTION("""COMPUTED_VALUE"""),"https://www.facebook.com/rapplerdotcom/photos/a.317154781638645/5594453700575367/")</f>
        <v>https://www.facebook.com/rapplerdotcom/photos/a.317154781638645/5594453700575367/</v>
      </c>
      <c r="J2782" s="1" t="str">
        <f>IFERROR(__xludf.DUMMYFUNCTION("""COMPUTED_VALUE"""),"2022-07-04T15:53:36.544Z")</f>
        <v>2022-07-04T15:53:36.544Z</v>
      </c>
      <c r="K2782" s="1"/>
    </row>
    <row r="2783">
      <c r="A2783" s="2" t="str">
        <f>IFERROR(__xludf.DUMMYFUNCTION("""COMPUTED_VALUE"""),"https://www.facebook.com/profile.php?id=100010227300304")</f>
        <v>https://www.facebook.com/profile.php?id=100010227300304</v>
      </c>
      <c r="B2783" s="1" t="str">
        <f>IFERROR(__xludf.DUMMYFUNCTION("""COMPUTED_VALUE"""),"Ador Cabalbag")</f>
        <v>Ador Cabalbag</v>
      </c>
      <c r="C2783" s="1" t="str">
        <f>IFERROR(__xludf.DUMMYFUNCTION("""COMPUTED_VALUE"""),"Ador")</f>
        <v>Ador</v>
      </c>
      <c r="D2783" s="1" t="str">
        <f>IFERROR(__xludf.DUMMYFUNCTION("""COMPUTED_VALUE"""),"Cabalbag")</f>
        <v>Cabalbag</v>
      </c>
      <c r="E2783" s="1" t="str">
        <f>IFERROR(__xludf.DUMMYFUNCTION("""COMPUTED_VALUE"""),"Totoo naman. We are always given a chance for change, but we always end up creating the mess ourselves.")</f>
        <v>Totoo naman. We are always given a chance for change, but we always end up creating the mess ourselves.</v>
      </c>
      <c r="F2783" s="1">
        <f>IFERROR(__xludf.DUMMYFUNCTION("""COMPUTED_VALUE"""),130.0)</f>
        <v>130</v>
      </c>
      <c r="G2783" s="1" t="str">
        <f>IFERROR(__xludf.DUMMYFUNCTION("""COMPUTED_VALUE"""),"3 mos")</f>
        <v>3 mos</v>
      </c>
      <c r="H2783" s="1" t="str">
        <f>IFERROR(__xludf.DUMMYFUNCTION("""COMPUTED_VALUE"""),"comment")</f>
        <v>comment</v>
      </c>
      <c r="I2783" s="2" t="str">
        <f>IFERROR(__xludf.DUMMYFUNCTION("""COMPUTED_VALUE"""),"https://www.facebook.com/rapplerdotcom/photos/a.317154781638645/5594453700575367/")</f>
        <v>https://www.facebook.com/rapplerdotcom/photos/a.317154781638645/5594453700575367/</v>
      </c>
      <c r="J2783" s="1" t="str">
        <f>IFERROR(__xludf.DUMMYFUNCTION("""COMPUTED_VALUE"""),"2022-07-04T15:53:36.544Z")</f>
        <v>2022-07-04T15:53:36.544Z</v>
      </c>
      <c r="K2783" s="1"/>
    </row>
    <row r="2784">
      <c r="A2784" s="2" t="str">
        <f>IFERROR(__xludf.DUMMYFUNCTION("""COMPUTED_VALUE"""),"https://www.facebook.com/jessie.villagracia.37")</f>
        <v>https://www.facebook.com/jessie.villagracia.37</v>
      </c>
      <c r="B2784" s="1" t="str">
        <f>IFERROR(__xludf.DUMMYFUNCTION("""COMPUTED_VALUE"""),"Jessie Villagracia")</f>
        <v>Jessie Villagracia</v>
      </c>
      <c r="C2784" s="1" t="str">
        <f>IFERROR(__xludf.DUMMYFUNCTION("""COMPUTED_VALUE"""),"Jessie")</f>
        <v>Jessie</v>
      </c>
      <c r="D2784" s="1" t="str">
        <f>IFERROR(__xludf.DUMMYFUNCTION("""COMPUTED_VALUE"""),"Villagracia")</f>
        <v>Villagracia</v>
      </c>
      <c r="E2784" s="1" t="str">
        <f>IFERROR(__xludf.DUMMYFUNCTION("""COMPUTED_VALUE"""),"May kanya2 isip tao hayaan nyo kong sino gusto wag nyo ddktahan")</f>
        <v>May kanya2 isip tao hayaan nyo kong sino gusto wag nyo ddktahan</v>
      </c>
      <c r="F2784" s="1">
        <f>IFERROR(__xludf.DUMMYFUNCTION("""COMPUTED_VALUE"""),6.0)</f>
        <v>6</v>
      </c>
      <c r="G2784" s="1" t="str">
        <f>IFERROR(__xludf.DUMMYFUNCTION("""COMPUTED_VALUE"""),"3 mos")</f>
        <v>3 mos</v>
      </c>
      <c r="H2784" s="1" t="str">
        <f>IFERROR(__xludf.DUMMYFUNCTION("""COMPUTED_VALUE"""),"reply")</f>
        <v>reply</v>
      </c>
      <c r="I2784" s="2" t="str">
        <f>IFERROR(__xludf.DUMMYFUNCTION("""COMPUTED_VALUE"""),"https://www.facebook.com/rapplerdotcom/photos/a.317154781638645/5594453700575367/")</f>
        <v>https://www.facebook.com/rapplerdotcom/photos/a.317154781638645/5594453700575367/</v>
      </c>
      <c r="J2784" s="1" t="str">
        <f>IFERROR(__xludf.DUMMYFUNCTION("""COMPUTED_VALUE"""),"2022-07-04T15:53:36.544Z")</f>
        <v>2022-07-04T15:53:36.544Z</v>
      </c>
      <c r="K2784" s="1"/>
    </row>
    <row r="2785">
      <c r="A2785" s="2" t="str">
        <f>IFERROR(__xludf.DUMMYFUNCTION("""COMPUTED_VALUE"""),"https://www.facebook.com/agnes.sanbuenaventura.9")</f>
        <v>https://www.facebook.com/agnes.sanbuenaventura.9</v>
      </c>
      <c r="B2785" s="1" t="str">
        <f>IFERROR(__xludf.DUMMYFUNCTION("""COMPUTED_VALUE"""),"Agnes San Buenaventura")</f>
        <v>Agnes San Buenaventura</v>
      </c>
      <c r="C2785" s="1" t="str">
        <f>IFERROR(__xludf.DUMMYFUNCTION("""COMPUTED_VALUE"""),"Agnes")</f>
        <v>Agnes</v>
      </c>
      <c r="D2785" s="1" t="str">
        <f>IFERROR(__xludf.DUMMYFUNCTION("""COMPUTED_VALUE"""),"San Buenaventura")</f>
        <v>San Buenaventura</v>
      </c>
      <c r="E2785" s="1" t="str">
        <f>IFERROR(__xludf.DUMMYFUNCTION("""COMPUTED_VALUE"""),"Jessie Villagracia wlang dumidikta sayo..paalala nya lng yan sa mga tao..haller")</f>
        <v>Jessie Villagracia wlang dumidikta sayo..paalala nya lng yan sa mga tao..haller</v>
      </c>
      <c r="F2785" s="1">
        <f>IFERROR(__xludf.DUMMYFUNCTION("""COMPUTED_VALUE"""),13.0)</f>
        <v>13</v>
      </c>
      <c r="G2785" s="1" t="str">
        <f>IFERROR(__xludf.DUMMYFUNCTION("""COMPUTED_VALUE"""),"3 mos")</f>
        <v>3 mos</v>
      </c>
      <c r="H2785" s="1" t="str">
        <f>IFERROR(__xludf.DUMMYFUNCTION("""COMPUTED_VALUE"""),"reply")</f>
        <v>reply</v>
      </c>
      <c r="I2785" s="2" t="str">
        <f>IFERROR(__xludf.DUMMYFUNCTION("""COMPUTED_VALUE"""),"https://www.facebook.com/rapplerdotcom/photos/a.317154781638645/5594453700575367/")</f>
        <v>https://www.facebook.com/rapplerdotcom/photos/a.317154781638645/5594453700575367/</v>
      </c>
      <c r="J2785" s="1" t="str">
        <f>IFERROR(__xludf.DUMMYFUNCTION("""COMPUTED_VALUE"""),"2022-07-04T15:53:36.544Z")</f>
        <v>2022-07-04T15:53:36.544Z</v>
      </c>
      <c r="K2785" s="1"/>
    </row>
    <row r="2786">
      <c r="A2786" s="2" t="str">
        <f>IFERROR(__xludf.DUMMYFUNCTION("""COMPUTED_VALUE"""),"https://www.facebook.com/profile.php?id=100079722041118")</f>
        <v>https://www.facebook.com/profile.php?id=100079722041118</v>
      </c>
      <c r="B2786" s="1" t="str">
        <f>IFERROR(__xludf.DUMMYFUNCTION("""COMPUTED_VALUE"""),"Joel Lim")</f>
        <v>Joel Lim</v>
      </c>
      <c r="C2786" s="1" t="str">
        <f>IFERROR(__xludf.DUMMYFUNCTION("""COMPUTED_VALUE"""),"Joel")</f>
        <v>Joel</v>
      </c>
      <c r="D2786" s="1" t="str">
        <f>IFERROR(__xludf.DUMMYFUNCTION("""COMPUTED_VALUE"""),"Lim")</f>
        <v>Lim</v>
      </c>
      <c r="E2786" s="1" t="str">
        <f>IFERROR(__xludf.DUMMYFUNCTION("""COMPUTED_VALUE"""),"Jessie Villagracia hindi puedeng basta hayaan dahil damay na naman kami kapag nagnakaw ang iboboto mo sana kung kayo lang ang magbabayad ng nanakawin niyan")</f>
        <v>Jessie Villagracia hindi puedeng basta hayaan dahil damay na naman kami kapag nagnakaw ang iboboto mo sana kung kayo lang ang magbabayad ng nanakawin niyan</v>
      </c>
      <c r="F2786" s="1">
        <f>IFERROR(__xludf.DUMMYFUNCTION("""COMPUTED_VALUE"""),2.0)</f>
        <v>2</v>
      </c>
      <c r="G2786" s="1" t="str">
        <f>IFERROR(__xludf.DUMMYFUNCTION("""COMPUTED_VALUE"""),"3 mos")</f>
        <v>3 mos</v>
      </c>
      <c r="H2786" s="1" t="str">
        <f>IFERROR(__xludf.DUMMYFUNCTION("""COMPUTED_VALUE"""),"reply")</f>
        <v>reply</v>
      </c>
      <c r="I2786" s="2" t="str">
        <f>IFERROR(__xludf.DUMMYFUNCTION("""COMPUTED_VALUE"""),"https://www.facebook.com/rapplerdotcom/photos/a.317154781638645/5594453700575367/")</f>
        <v>https://www.facebook.com/rapplerdotcom/photos/a.317154781638645/5594453700575367/</v>
      </c>
      <c r="J2786" s="1" t="str">
        <f>IFERROR(__xludf.DUMMYFUNCTION("""COMPUTED_VALUE"""),"2022-07-04T15:53:36.544Z")</f>
        <v>2022-07-04T15:53:36.544Z</v>
      </c>
      <c r="K2786" s="1"/>
    </row>
    <row r="2787">
      <c r="A2787" s="2" t="str">
        <f>IFERROR(__xludf.DUMMYFUNCTION("""COMPUTED_VALUE"""),"https://www.facebook.com/czairr")</f>
        <v>https://www.facebook.com/czairr</v>
      </c>
      <c r="B2787" s="1" t="str">
        <f>IFERROR(__xludf.DUMMYFUNCTION("""COMPUTED_VALUE"""),"Malaya Ellie")</f>
        <v>Malaya Ellie</v>
      </c>
      <c r="C2787" s="1" t="str">
        <f>IFERROR(__xludf.DUMMYFUNCTION("""COMPUTED_VALUE"""),"Malaya")</f>
        <v>Malaya</v>
      </c>
      <c r="D2787" s="1" t="str">
        <f>IFERROR(__xludf.DUMMYFUNCTION("""COMPUTED_VALUE"""),"Ellie")</f>
        <v>Ellie</v>
      </c>
      <c r="E2787" s="1" t="str">
        <f>IFERROR(__xludf.DUMMYFUNCTION("""COMPUTED_VALUE"""),"Jessie Villagracia tama, wag diktahan. Kaya sa eleksyon, wag tayo dun sa ng anak ng diktador!")</f>
        <v>Jessie Villagracia tama, wag diktahan. Kaya sa eleksyon, wag tayo dun sa ng anak ng diktador!</v>
      </c>
      <c r="F2787" s="1"/>
      <c r="G2787" s="1" t="str">
        <f>IFERROR(__xludf.DUMMYFUNCTION("""COMPUTED_VALUE"""),"3 mos")</f>
        <v>3 mos</v>
      </c>
      <c r="H2787" s="1" t="str">
        <f>IFERROR(__xludf.DUMMYFUNCTION("""COMPUTED_VALUE"""),"reply")</f>
        <v>reply</v>
      </c>
      <c r="I2787" s="2" t="str">
        <f>IFERROR(__xludf.DUMMYFUNCTION("""COMPUTED_VALUE"""),"https://www.facebook.com/rapplerdotcom/photos/a.317154781638645/5594453700575367/")</f>
        <v>https://www.facebook.com/rapplerdotcom/photos/a.317154781638645/5594453700575367/</v>
      </c>
      <c r="J2787" s="1" t="str">
        <f>IFERROR(__xludf.DUMMYFUNCTION("""COMPUTED_VALUE"""),"2022-07-04T15:53:36.544Z")</f>
        <v>2022-07-04T15:53:36.544Z</v>
      </c>
      <c r="K2787" s="1"/>
    </row>
    <row r="2788">
      <c r="A2788" s="2" t="str">
        <f>IFERROR(__xludf.DUMMYFUNCTION("""COMPUTED_VALUE"""),"https://www.facebook.com/mar.briones.10")</f>
        <v>https://www.facebook.com/mar.briones.10</v>
      </c>
      <c r="B2788" s="1" t="str">
        <f>IFERROR(__xludf.DUMMYFUNCTION("""COMPUTED_VALUE"""),"Marcelino Briones")</f>
        <v>Marcelino Briones</v>
      </c>
      <c r="C2788" s="1" t="str">
        <f>IFERROR(__xludf.DUMMYFUNCTION("""COMPUTED_VALUE"""),"Marcelino")</f>
        <v>Marcelino</v>
      </c>
      <c r="D2788" s="1" t="str">
        <f>IFERROR(__xludf.DUMMYFUNCTION("""COMPUTED_VALUE"""),"Briones")</f>
        <v>Briones</v>
      </c>
      <c r="E2788" s="1" t="str">
        <f>IFERROR(__xludf.DUMMYFUNCTION("""COMPUTED_VALUE"""),"Educate, educate, educate. Stop the misinformation outlets. Promote civil discourse and debates. It’s the only way we’re going to get out of this awayan, siraan, toxic culture.")</f>
        <v>Educate, educate, educate. Stop the misinformation outlets. Promote civil discourse and debates. It’s the only way we’re going to get out of this awayan, siraan, toxic culture.</v>
      </c>
      <c r="F2788" s="1">
        <f>IFERROR(__xludf.DUMMYFUNCTION("""COMPUTED_VALUE"""),7.0)</f>
        <v>7</v>
      </c>
      <c r="G2788" s="1" t="str">
        <f>IFERROR(__xludf.DUMMYFUNCTION("""COMPUTED_VALUE"""),"3 mos")</f>
        <v>3 mos</v>
      </c>
      <c r="H2788" s="1" t="str">
        <f>IFERROR(__xludf.DUMMYFUNCTION("""COMPUTED_VALUE"""),"comment")</f>
        <v>comment</v>
      </c>
      <c r="I2788" s="2" t="str">
        <f>IFERROR(__xludf.DUMMYFUNCTION("""COMPUTED_VALUE"""),"https://www.facebook.com/rapplerdotcom/photos/a.317154781638645/5594453700575367/")</f>
        <v>https://www.facebook.com/rapplerdotcom/photos/a.317154781638645/5594453700575367/</v>
      </c>
      <c r="J2788" s="1" t="str">
        <f>IFERROR(__xludf.DUMMYFUNCTION("""COMPUTED_VALUE"""),"2022-07-04T15:53:36.544Z")</f>
        <v>2022-07-04T15:53:36.544Z</v>
      </c>
      <c r="K2788" s="1"/>
    </row>
    <row r="2789">
      <c r="A2789" s="2" t="str">
        <f>IFERROR(__xludf.DUMMYFUNCTION("""COMPUTED_VALUE"""),"https://www.facebook.com/carlos.alivio.5")</f>
        <v>https://www.facebook.com/carlos.alivio.5</v>
      </c>
      <c r="B2789" s="1" t="str">
        <f>IFERROR(__xludf.DUMMYFUNCTION("""COMPUTED_VALUE"""),"Carlos Alivio")</f>
        <v>Carlos Alivio</v>
      </c>
      <c r="C2789" s="1" t="str">
        <f>IFERROR(__xludf.DUMMYFUNCTION("""COMPUTED_VALUE"""),"Carlos")</f>
        <v>Carlos</v>
      </c>
      <c r="D2789" s="1" t="str">
        <f>IFERROR(__xludf.DUMMYFUNCTION("""COMPUTED_VALUE"""),"Alivio")</f>
        <v>Alivio</v>
      </c>
      <c r="E2789" s="1" t="str">
        <f>IFERROR(__xludf.DUMMYFUNCTION("""COMPUTED_VALUE"""),"Huwag kayong magsabi ng ganyan Manny Wala kayong ebedensiya huwag kang magbentang sa iyong kapwa kung maka diyos ka talaga")</f>
        <v>Huwag kayong magsabi ng ganyan Manny Wala kayong ebedensiya huwag kang magbentang sa iyong kapwa kung maka diyos ka talaga</v>
      </c>
      <c r="F2789" s="1">
        <f>IFERROR(__xludf.DUMMYFUNCTION("""COMPUTED_VALUE"""),4.0)</f>
        <v>4</v>
      </c>
      <c r="G2789" s="1" t="str">
        <f>IFERROR(__xludf.DUMMYFUNCTION("""COMPUTED_VALUE"""),"3 mos")</f>
        <v>3 mos</v>
      </c>
      <c r="H2789" s="1" t="str">
        <f>IFERROR(__xludf.DUMMYFUNCTION("""COMPUTED_VALUE"""),"comment")</f>
        <v>comment</v>
      </c>
      <c r="I2789" s="2" t="str">
        <f>IFERROR(__xludf.DUMMYFUNCTION("""COMPUTED_VALUE"""),"https://www.facebook.com/rapplerdotcom/photos/a.317154781638645/5594453700575367/")</f>
        <v>https://www.facebook.com/rapplerdotcom/photos/a.317154781638645/5594453700575367/</v>
      </c>
      <c r="J2789" s="1" t="str">
        <f>IFERROR(__xludf.DUMMYFUNCTION("""COMPUTED_VALUE"""),"2022-07-04T15:53:36.544Z")</f>
        <v>2022-07-04T15:53:36.544Z</v>
      </c>
      <c r="K2789" s="1"/>
    </row>
    <row r="2790">
      <c r="A2790" s="2" t="str">
        <f>IFERROR(__xludf.DUMMYFUNCTION("""COMPUTED_VALUE"""),"https://www.facebook.com/markjoseph.vercial")</f>
        <v>https://www.facebook.com/markjoseph.vercial</v>
      </c>
      <c r="B2790" s="1" t="str">
        <f>IFERROR(__xludf.DUMMYFUNCTION("""COMPUTED_VALUE"""),"Mark Joseph Gerez Vercial")</f>
        <v>Mark Joseph Gerez Vercial</v>
      </c>
      <c r="C2790" s="1" t="str">
        <f>IFERROR(__xludf.DUMMYFUNCTION("""COMPUTED_VALUE"""),"Mark")</f>
        <v>Mark</v>
      </c>
      <c r="D2790" s="1" t="str">
        <f>IFERROR(__xludf.DUMMYFUNCTION("""COMPUTED_VALUE"""),"Joseph Gerez Vercial")</f>
        <v>Joseph Gerez Vercial</v>
      </c>
      <c r="E2790" s="1" t="str">
        <f>IFERROR(__xludf.DUMMYFUNCTION("""COMPUTED_VALUE"""),"Carlos Alivio 😂🤣")</f>
        <v>Carlos Alivio 😂🤣</v>
      </c>
      <c r="F2790" s="1"/>
      <c r="G2790" s="1" t="str">
        <f>IFERROR(__xludf.DUMMYFUNCTION("""COMPUTED_VALUE"""),"3 mos")</f>
        <v>3 mos</v>
      </c>
      <c r="H2790" s="1" t="str">
        <f>IFERROR(__xludf.DUMMYFUNCTION("""COMPUTED_VALUE"""),"reply")</f>
        <v>reply</v>
      </c>
      <c r="I2790" s="2" t="str">
        <f>IFERROR(__xludf.DUMMYFUNCTION("""COMPUTED_VALUE"""),"https://www.facebook.com/rapplerdotcom/photos/a.317154781638645/5594453700575367/")</f>
        <v>https://www.facebook.com/rapplerdotcom/photos/a.317154781638645/5594453700575367/</v>
      </c>
      <c r="J2790" s="1" t="str">
        <f>IFERROR(__xludf.DUMMYFUNCTION("""COMPUTED_VALUE"""),"2022-07-04T15:53:36.544Z")</f>
        <v>2022-07-04T15:53:36.544Z</v>
      </c>
      <c r="K2790" s="1"/>
    </row>
    <row r="2791">
      <c r="A2791" s="2" t="str">
        <f>IFERROR(__xludf.DUMMYFUNCTION("""COMPUTED_VALUE"""),"https://www.facebook.com/joshuadolor")</f>
        <v>https://www.facebook.com/joshuadolor</v>
      </c>
      <c r="B2791" s="1" t="str">
        <f>IFERROR(__xludf.DUMMYFUNCTION("""COMPUTED_VALUE"""),"Joshua Olbes Dolor")</f>
        <v>Joshua Olbes Dolor</v>
      </c>
      <c r="C2791" s="1" t="str">
        <f>IFERROR(__xludf.DUMMYFUNCTION("""COMPUTED_VALUE"""),"Joshua")</f>
        <v>Joshua</v>
      </c>
      <c r="D2791" s="1" t="str">
        <f>IFERROR(__xludf.DUMMYFUNCTION("""COMPUTED_VALUE"""),"Olbes Dolor")</f>
        <v>Olbes Dolor</v>
      </c>
      <c r="E2791" s="1" t="str">
        <f>IFERROR(__xludf.DUMMYFUNCTION("""COMPUTED_VALUE"""),"Carlos Alivio nagname drop ba?")</f>
        <v>Carlos Alivio nagname drop ba?</v>
      </c>
      <c r="F2791" s="1"/>
      <c r="G2791" s="1" t="str">
        <f>IFERROR(__xludf.DUMMYFUNCTION("""COMPUTED_VALUE"""),"3 mos")</f>
        <v>3 mos</v>
      </c>
      <c r="H2791" s="1" t="str">
        <f>IFERROR(__xludf.DUMMYFUNCTION("""COMPUTED_VALUE"""),"reply")</f>
        <v>reply</v>
      </c>
      <c r="I2791" s="2" t="str">
        <f>IFERROR(__xludf.DUMMYFUNCTION("""COMPUTED_VALUE"""),"https://www.facebook.com/rapplerdotcom/photos/a.317154781638645/5594453700575367/")</f>
        <v>https://www.facebook.com/rapplerdotcom/photos/a.317154781638645/5594453700575367/</v>
      </c>
      <c r="J2791" s="1" t="str">
        <f>IFERROR(__xludf.DUMMYFUNCTION("""COMPUTED_VALUE"""),"2022-07-04T15:53:36.544Z")</f>
        <v>2022-07-04T15:53:36.544Z</v>
      </c>
      <c r="K2791" s="1"/>
    </row>
    <row r="2792">
      <c r="A2792" s="2" t="str">
        <f>IFERROR(__xludf.DUMMYFUNCTION("""COMPUTED_VALUE"""),"https://www.facebook.com/carlos.alivio.5")</f>
        <v>https://www.facebook.com/carlos.alivio.5</v>
      </c>
      <c r="B2792" s="1" t="str">
        <f>IFERROR(__xludf.DUMMYFUNCTION("""COMPUTED_VALUE"""),"Carlos Alivio")</f>
        <v>Carlos Alivio</v>
      </c>
      <c r="C2792" s="1" t="str">
        <f>IFERROR(__xludf.DUMMYFUNCTION("""COMPUTED_VALUE"""),"Carlos")</f>
        <v>Carlos</v>
      </c>
      <c r="D2792" s="1" t="str">
        <f>IFERROR(__xludf.DUMMYFUNCTION("""COMPUTED_VALUE"""),"Alivio")</f>
        <v>Alivio</v>
      </c>
      <c r="E2792" s="1" t="str">
        <f>IFERROR(__xludf.DUMMYFUNCTION("""COMPUTED_VALUE"""),"Joshua Olbes Dolor Walang ninamedrop Peru alam ko kung sino Ang kanyang tinutukoy")</f>
        <v>Joshua Olbes Dolor Walang ninamedrop Peru alam ko kung sino Ang kanyang tinutukoy</v>
      </c>
      <c r="F2792" s="1"/>
      <c r="G2792" s="1" t="str">
        <f>IFERROR(__xludf.DUMMYFUNCTION("""COMPUTED_VALUE"""),"3 mos")</f>
        <v>3 mos</v>
      </c>
      <c r="H2792" s="1" t="str">
        <f>IFERROR(__xludf.DUMMYFUNCTION("""COMPUTED_VALUE"""),"reply")</f>
        <v>reply</v>
      </c>
      <c r="I2792" s="2" t="str">
        <f>IFERROR(__xludf.DUMMYFUNCTION("""COMPUTED_VALUE"""),"https://www.facebook.com/rapplerdotcom/photos/a.317154781638645/5594453700575367/")</f>
        <v>https://www.facebook.com/rapplerdotcom/photos/a.317154781638645/5594453700575367/</v>
      </c>
      <c r="J2792" s="1" t="str">
        <f>IFERROR(__xludf.DUMMYFUNCTION("""COMPUTED_VALUE"""),"2022-07-04T15:53:36.544Z")</f>
        <v>2022-07-04T15:53:36.544Z</v>
      </c>
      <c r="K2792" s="1"/>
    </row>
    <row r="2793">
      <c r="A2793" s="2" t="str">
        <f>IFERROR(__xludf.DUMMYFUNCTION("""COMPUTED_VALUE"""),"https://www.facebook.com/joshuadolor")</f>
        <v>https://www.facebook.com/joshuadolor</v>
      </c>
      <c r="B2793" s="1" t="str">
        <f>IFERROR(__xludf.DUMMYFUNCTION("""COMPUTED_VALUE"""),"Joshua Olbes Dolor")</f>
        <v>Joshua Olbes Dolor</v>
      </c>
      <c r="C2793" s="1" t="str">
        <f>IFERROR(__xludf.DUMMYFUNCTION("""COMPUTED_VALUE"""),"Joshua")</f>
        <v>Joshua</v>
      </c>
      <c r="D2793" s="1" t="str">
        <f>IFERROR(__xludf.DUMMYFUNCTION("""COMPUTED_VALUE"""),"Olbes Dolor")</f>
        <v>Olbes Dolor</v>
      </c>
      <c r="E2793" s="1" t="str">
        <f>IFERROR(__xludf.DUMMYFUNCTION("""COMPUTED_VALUE"""),"Carlos Alivio kasi? alam mo na kagad kasi?")</f>
        <v>Carlos Alivio kasi? alam mo na kagad kasi?</v>
      </c>
      <c r="F2793" s="1"/>
      <c r="G2793" s="1" t="str">
        <f>IFERROR(__xludf.DUMMYFUNCTION("""COMPUTED_VALUE"""),"3 mos")</f>
        <v>3 mos</v>
      </c>
      <c r="H2793" s="1" t="str">
        <f>IFERROR(__xludf.DUMMYFUNCTION("""COMPUTED_VALUE"""),"reply")</f>
        <v>reply</v>
      </c>
      <c r="I2793" s="2" t="str">
        <f>IFERROR(__xludf.DUMMYFUNCTION("""COMPUTED_VALUE"""),"https://www.facebook.com/rapplerdotcom/photos/a.317154781638645/5594453700575367/")</f>
        <v>https://www.facebook.com/rapplerdotcom/photos/a.317154781638645/5594453700575367/</v>
      </c>
      <c r="J2793" s="1" t="str">
        <f>IFERROR(__xludf.DUMMYFUNCTION("""COMPUTED_VALUE"""),"2022-07-04T15:53:36.544Z")</f>
        <v>2022-07-04T15:53:36.544Z</v>
      </c>
      <c r="K2793" s="1"/>
    </row>
    <row r="2794">
      <c r="A2794" s="2" t="str">
        <f>IFERROR(__xludf.DUMMYFUNCTION("""COMPUTED_VALUE"""),"https://www.facebook.com/azucena.dumaop")</f>
        <v>https://www.facebook.com/azucena.dumaop</v>
      </c>
      <c r="B2794" s="1" t="str">
        <f>IFERROR(__xludf.DUMMYFUNCTION("""COMPUTED_VALUE"""),"Azucena Dumaop")</f>
        <v>Azucena Dumaop</v>
      </c>
      <c r="C2794" s="1" t="str">
        <f>IFERROR(__xludf.DUMMYFUNCTION("""COMPUTED_VALUE"""),"Azucena")</f>
        <v>Azucena</v>
      </c>
      <c r="D2794" s="1" t="str">
        <f>IFERROR(__xludf.DUMMYFUNCTION("""COMPUTED_VALUE"""),"Dumaop")</f>
        <v>Dumaop</v>
      </c>
      <c r="E2794" s="1" t="str">
        <f>IFERROR(__xludf.DUMMYFUNCTION("""COMPUTED_VALUE"""),"Kahit harapharapan ng ninanakawan sila pinagtatanggol pa nila maaawa kana lng sa mga katwiran nila nakakapagod magpaliwanag")</f>
        <v>Kahit harapharapan ng ninanakawan sila pinagtatanggol pa nila maaawa kana lng sa mga katwiran nila nakakapagod magpaliwanag</v>
      </c>
      <c r="F2794" s="1">
        <f>IFERROR(__xludf.DUMMYFUNCTION("""COMPUTED_VALUE"""),35.0)</f>
        <v>35</v>
      </c>
      <c r="G2794" s="1" t="str">
        <f>IFERROR(__xludf.DUMMYFUNCTION("""COMPUTED_VALUE"""),"3 mos")</f>
        <v>3 mos</v>
      </c>
      <c r="H2794" s="1" t="str">
        <f>IFERROR(__xludf.DUMMYFUNCTION("""COMPUTED_VALUE"""),"comment")</f>
        <v>comment</v>
      </c>
      <c r="I2794" s="2" t="str">
        <f>IFERROR(__xludf.DUMMYFUNCTION("""COMPUTED_VALUE"""),"https://www.facebook.com/rapplerdotcom/photos/a.317154781638645/5594453700575367/")</f>
        <v>https://www.facebook.com/rapplerdotcom/photos/a.317154781638645/5594453700575367/</v>
      </c>
      <c r="J2794" s="1" t="str">
        <f>IFERROR(__xludf.DUMMYFUNCTION("""COMPUTED_VALUE"""),"2022-07-04T15:53:36.544Z")</f>
        <v>2022-07-04T15:53:36.544Z</v>
      </c>
      <c r="K2794" s="1"/>
    </row>
    <row r="2795">
      <c r="A2795" s="2" t="str">
        <f>IFERROR(__xludf.DUMMYFUNCTION("""COMPUTED_VALUE"""),"https://www.facebook.com/profile.php?id=100008642138032")</f>
        <v>https://www.facebook.com/profile.php?id=100008642138032</v>
      </c>
      <c r="B2795" s="1" t="str">
        <f>IFERROR(__xludf.DUMMYFUNCTION("""COMPUTED_VALUE"""),"Emelita Maneja")</f>
        <v>Emelita Maneja</v>
      </c>
      <c r="C2795" s="1" t="str">
        <f>IFERROR(__xludf.DUMMYFUNCTION("""COMPUTED_VALUE"""),"Emelita")</f>
        <v>Emelita</v>
      </c>
      <c r="D2795" s="1" t="str">
        <f>IFERROR(__xludf.DUMMYFUNCTION("""COMPUTED_VALUE"""),"Maneja")</f>
        <v>Maneja</v>
      </c>
      <c r="E2795" s="1" t="str">
        <f>IFERROR(__xludf.DUMMYFUNCTION("""COMPUTED_VALUE"""),"Kainam naman ng mga taong mapanghusga akala mo napakahusay na nila wala tayong karapatan mang husga gawin natin magpray tayo sana magkaroon ng presidente na maka dios")</f>
        <v>Kainam naman ng mga taong mapanghusga akala mo napakahusay na nila wala tayong karapatan mang husga gawin natin magpray tayo sana magkaroon ng presidente na maka dios</v>
      </c>
      <c r="F2795" s="1">
        <f>IFERROR(__xludf.DUMMYFUNCTION("""COMPUTED_VALUE"""),1.0)</f>
        <v>1</v>
      </c>
      <c r="G2795" s="1" t="str">
        <f>IFERROR(__xludf.DUMMYFUNCTION("""COMPUTED_VALUE"""),"3 mos")</f>
        <v>3 mos</v>
      </c>
      <c r="H2795" s="1" t="str">
        <f>IFERROR(__xludf.DUMMYFUNCTION("""COMPUTED_VALUE"""),"comment")</f>
        <v>comment</v>
      </c>
      <c r="I2795" s="2" t="str">
        <f>IFERROR(__xludf.DUMMYFUNCTION("""COMPUTED_VALUE"""),"https://www.facebook.com/rapplerdotcom/photos/a.317154781638645/5594453700575367/")</f>
        <v>https://www.facebook.com/rapplerdotcom/photos/a.317154781638645/5594453700575367/</v>
      </c>
      <c r="J2795" s="1" t="str">
        <f>IFERROR(__xludf.DUMMYFUNCTION("""COMPUTED_VALUE"""),"2022-07-04T15:53:36.544Z")</f>
        <v>2022-07-04T15:53:36.544Z</v>
      </c>
      <c r="K2795" s="1"/>
    </row>
    <row r="2796">
      <c r="A2796" s="2" t="str">
        <f>IFERROR(__xludf.DUMMYFUNCTION("""COMPUTED_VALUE"""),"https://www.facebook.com/joshuadolor")</f>
        <v>https://www.facebook.com/joshuadolor</v>
      </c>
      <c r="B2796" s="1" t="str">
        <f>IFERROR(__xludf.DUMMYFUNCTION("""COMPUTED_VALUE"""),"Joshua Olbes Dolor")</f>
        <v>Joshua Olbes Dolor</v>
      </c>
      <c r="C2796" s="1" t="str">
        <f>IFERROR(__xludf.DUMMYFUNCTION("""COMPUTED_VALUE"""),"Joshua")</f>
        <v>Joshua</v>
      </c>
      <c r="D2796" s="1" t="str">
        <f>IFERROR(__xludf.DUMMYFUNCTION("""COMPUTED_VALUE"""),"Olbes Dolor")</f>
        <v>Olbes Dolor</v>
      </c>
      <c r="E2796" s="1" t="str">
        <f>IFERROR(__xludf.DUMMYFUNCTION("""COMPUTED_VALUE"""),"Emelita Maneja mapanghusga? Sino?")</f>
        <v>Emelita Maneja mapanghusga? Sino?</v>
      </c>
      <c r="F2796" s="1"/>
      <c r="G2796" s="1" t="str">
        <f>IFERROR(__xludf.DUMMYFUNCTION("""COMPUTED_VALUE"""),"3 mos")</f>
        <v>3 mos</v>
      </c>
      <c r="H2796" s="1" t="str">
        <f>IFERROR(__xludf.DUMMYFUNCTION("""COMPUTED_VALUE"""),"reply")</f>
        <v>reply</v>
      </c>
      <c r="I2796" s="2" t="str">
        <f>IFERROR(__xludf.DUMMYFUNCTION("""COMPUTED_VALUE"""),"https://www.facebook.com/rapplerdotcom/photos/a.317154781638645/5594453700575367/")</f>
        <v>https://www.facebook.com/rapplerdotcom/photos/a.317154781638645/5594453700575367/</v>
      </c>
      <c r="J2796" s="1" t="str">
        <f>IFERROR(__xludf.DUMMYFUNCTION("""COMPUTED_VALUE"""),"2022-07-04T15:53:36.544Z")</f>
        <v>2022-07-04T15:53:36.544Z</v>
      </c>
      <c r="K2796" s="1"/>
    </row>
    <row r="2797">
      <c r="A2797" s="2" t="str">
        <f>IFERROR(__xludf.DUMMYFUNCTION("""COMPUTED_VALUE"""),"https://www.facebook.com/rudysalazar61")</f>
        <v>https://www.facebook.com/rudysalazar61</v>
      </c>
      <c r="B2797" s="1" t="str">
        <f>IFERROR(__xludf.DUMMYFUNCTION("""COMPUTED_VALUE"""),"Rudy Nimer Salazar")</f>
        <v>Rudy Nimer Salazar</v>
      </c>
      <c r="C2797" s="1" t="str">
        <f>IFERROR(__xludf.DUMMYFUNCTION("""COMPUTED_VALUE"""),"Rudy")</f>
        <v>Rudy</v>
      </c>
      <c r="D2797" s="1" t="str">
        <f>IFERROR(__xludf.DUMMYFUNCTION("""COMPUTED_VALUE"""),"Nimer Salazar")</f>
        <v>Nimer Salazar</v>
      </c>
      <c r="E2797" s="1" t="str">
        <f>IFERROR(__xludf.DUMMYFUNCTION("""COMPUTED_VALUE"""),"Walang perpikto idol wag morin isisi bakit ang taong bayan kasi may kanya kanya tayong panlasa may kanya kanya tayong prinsipyo sa ilang dikada na hindi nawala ang korap sa goberno kasi ang pakapalan talaga mas matindi nga korap ngayon kisa noon panahon n"&amp;"g sinasabing diktador at nagnakaw bago tayo mag puna tignan din sana natin sarili nating kong malinis ba o hindi bago humosga sa kapwa")</f>
        <v>Walang perpikto idol wag morin isisi bakit ang taong bayan kasi may kanya kanya tayong panlasa may kanya kanya tayong prinsipyo sa ilang dikada na hindi nawala ang korap sa goberno kasi ang pakapalan talaga mas matindi nga korap ngayon kisa noon panahon ng sinasabing diktador at nagnakaw bago tayo mag puna tignan din sana natin sarili nating kong malinis ba o hindi bago humosga sa kapwa</v>
      </c>
      <c r="F2797" s="1">
        <f>IFERROR(__xludf.DUMMYFUNCTION("""COMPUTED_VALUE"""),2.0)</f>
        <v>2</v>
      </c>
      <c r="G2797" s="1" t="str">
        <f>IFERROR(__xludf.DUMMYFUNCTION("""COMPUTED_VALUE"""),"3 mos")</f>
        <v>3 mos</v>
      </c>
      <c r="H2797" s="1" t="str">
        <f>IFERROR(__xludf.DUMMYFUNCTION("""COMPUTED_VALUE"""),"comment")</f>
        <v>comment</v>
      </c>
      <c r="I2797" s="2" t="str">
        <f>IFERROR(__xludf.DUMMYFUNCTION("""COMPUTED_VALUE"""),"https://www.facebook.com/rapplerdotcom/photos/a.317154781638645/5594453700575367/")</f>
        <v>https://www.facebook.com/rapplerdotcom/photos/a.317154781638645/5594453700575367/</v>
      </c>
      <c r="J2797" s="1" t="str">
        <f>IFERROR(__xludf.DUMMYFUNCTION("""COMPUTED_VALUE"""),"2022-07-04T15:53:36.544Z")</f>
        <v>2022-07-04T15:53:36.544Z</v>
      </c>
      <c r="K2797" s="1"/>
    </row>
    <row r="2798">
      <c r="A2798" s="2" t="str">
        <f>IFERROR(__xludf.DUMMYFUNCTION("""COMPUTED_VALUE"""),"https://www.facebook.com/carmi.paulino1")</f>
        <v>https://www.facebook.com/carmi.paulino1</v>
      </c>
      <c r="B2798" s="1" t="str">
        <f>IFERROR(__xludf.DUMMYFUNCTION("""COMPUTED_VALUE"""),"Carmi Paulino")</f>
        <v>Carmi Paulino</v>
      </c>
      <c r="C2798" s="1" t="str">
        <f>IFERROR(__xludf.DUMMYFUNCTION("""COMPUTED_VALUE"""),"Carmi")</f>
        <v>Carmi</v>
      </c>
      <c r="D2798" s="1" t="str">
        <f>IFERROR(__xludf.DUMMYFUNCTION("""COMPUTED_VALUE"""),"Paulino")</f>
        <v>Paulino</v>
      </c>
      <c r="E2798" s="1" t="str">
        <f>IFERROR(__xludf.DUMMYFUNCTION("""COMPUTED_VALUE"""),"Tama naman sinasabi ni Manny , that makes sense to me, kasalanan na natin pg pinikit natin muli mga mata samantalang kita2 na ang totoo, Hes so sincere but still my vote goes for a deserving one, Good luck !❤️🙏")</f>
        <v>Tama naman sinasabi ni Manny , that makes sense to me, kasalanan na natin pg pinikit natin muli mga mata samantalang kita2 na ang totoo, Hes so sincere but still my vote goes for a deserving one, Good luck !❤️🙏</v>
      </c>
      <c r="F2798" s="1">
        <f>IFERROR(__xludf.DUMMYFUNCTION("""COMPUTED_VALUE"""),7.0)</f>
        <v>7</v>
      </c>
      <c r="G2798" s="1" t="str">
        <f>IFERROR(__xludf.DUMMYFUNCTION("""COMPUTED_VALUE"""),"3 mos")</f>
        <v>3 mos</v>
      </c>
      <c r="H2798" s="1" t="str">
        <f>IFERROR(__xludf.DUMMYFUNCTION("""COMPUTED_VALUE"""),"comment")</f>
        <v>comment</v>
      </c>
      <c r="I2798" s="2" t="str">
        <f>IFERROR(__xludf.DUMMYFUNCTION("""COMPUTED_VALUE"""),"https://www.facebook.com/rapplerdotcom/photos/a.317154781638645/5594453700575367/")</f>
        <v>https://www.facebook.com/rapplerdotcom/photos/a.317154781638645/5594453700575367/</v>
      </c>
      <c r="J2798" s="1" t="str">
        <f>IFERROR(__xludf.DUMMYFUNCTION("""COMPUTED_VALUE"""),"2022-07-04T15:53:36.544Z")</f>
        <v>2022-07-04T15:53:36.544Z</v>
      </c>
      <c r="K2798" s="1"/>
    </row>
    <row r="2799">
      <c r="A2799" s="2" t="str">
        <f>IFERROR(__xludf.DUMMYFUNCTION("""COMPUTED_VALUE"""),"https://www.facebook.com/lorenzo.rianzares.7")</f>
        <v>https://www.facebook.com/lorenzo.rianzares.7</v>
      </c>
      <c r="B2799" s="1" t="str">
        <f>IFERROR(__xludf.DUMMYFUNCTION("""COMPUTED_VALUE"""),"Lorenzo Rianzares")</f>
        <v>Lorenzo Rianzares</v>
      </c>
      <c r="C2799" s="1" t="str">
        <f>IFERROR(__xludf.DUMMYFUNCTION("""COMPUTED_VALUE"""),"Lorenzo")</f>
        <v>Lorenzo</v>
      </c>
      <c r="D2799" s="1" t="str">
        <f>IFERROR(__xludf.DUMMYFUNCTION("""COMPUTED_VALUE"""),"Rianzares")</f>
        <v>Rianzares</v>
      </c>
      <c r="E2799" s="1" t="str">
        <f>IFERROR(__xludf.DUMMYFUNCTION("""COMPUTED_VALUE"""),"Carmi Paulino oky di iboto mo c many haha")</f>
        <v>Carmi Paulino oky di iboto mo c many haha</v>
      </c>
      <c r="F2799" s="1">
        <f>IFERROR(__xludf.DUMMYFUNCTION("""COMPUTED_VALUE"""),1.0)</f>
        <v>1</v>
      </c>
      <c r="G2799" s="1" t="str">
        <f>IFERROR(__xludf.DUMMYFUNCTION("""COMPUTED_VALUE"""),"3 mos")</f>
        <v>3 mos</v>
      </c>
      <c r="H2799" s="1" t="str">
        <f>IFERROR(__xludf.DUMMYFUNCTION("""COMPUTED_VALUE"""),"reply")</f>
        <v>reply</v>
      </c>
      <c r="I2799" s="2" t="str">
        <f>IFERROR(__xludf.DUMMYFUNCTION("""COMPUTED_VALUE"""),"https://www.facebook.com/rapplerdotcom/photos/a.317154781638645/5594453700575367/")</f>
        <v>https://www.facebook.com/rapplerdotcom/photos/a.317154781638645/5594453700575367/</v>
      </c>
      <c r="J2799" s="1" t="str">
        <f>IFERROR(__xludf.DUMMYFUNCTION("""COMPUTED_VALUE"""),"2022-07-04T15:53:36.544Z")</f>
        <v>2022-07-04T15:53:36.544Z</v>
      </c>
      <c r="K2799" s="1"/>
    </row>
    <row r="2800">
      <c r="A2800" s="2" t="str">
        <f>IFERROR(__xludf.DUMMYFUNCTION("""COMPUTED_VALUE"""),"https://www.facebook.com/carmi.paulino1")</f>
        <v>https://www.facebook.com/carmi.paulino1</v>
      </c>
      <c r="B2800" s="1" t="str">
        <f>IFERROR(__xludf.DUMMYFUNCTION("""COMPUTED_VALUE"""),"Carmi Paulino")</f>
        <v>Carmi Paulino</v>
      </c>
      <c r="C2800" s="1" t="str">
        <f>IFERROR(__xludf.DUMMYFUNCTION("""COMPUTED_VALUE"""),"Carmi")</f>
        <v>Carmi</v>
      </c>
      <c r="D2800" s="1" t="str">
        <f>IFERROR(__xludf.DUMMYFUNCTION("""COMPUTED_VALUE"""),"Paulino")</f>
        <v>Paulino</v>
      </c>
      <c r="E2800" s="1" t="str">
        <f>IFERROR(__xludf.DUMMYFUNCTION("""COMPUTED_VALUE"""),"Lorenzo Rianzares may problema b kung gusto ko xa? I dnt mind kung sino gusto mo its youre right, but dnt laugh with whom i want to vote! But anyway i think you have problem with understanding and reading comprehension!")</f>
        <v>Lorenzo Rianzares may problema b kung gusto ko xa? I dnt mind kung sino gusto mo its youre right, but dnt laugh with whom i want to vote! But anyway i think you have problem with understanding and reading comprehension!</v>
      </c>
      <c r="F2800" s="1"/>
      <c r="G2800" s="1" t="str">
        <f>IFERROR(__xludf.DUMMYFUNCTION("""COMPUTED_VALUE"""),"3 mos")</f>
        <v>3 mos</v>
      </c>
      <c r="H2800" s="1" t="str">
        <f>IFERROR(__xludf.DUMMYFUNCTION("""COMPUTED_VALUE"""),"reply")</f>
        <v>reply</v>
      </c>
      <c r="I2800" s="2" t="str">
        <f>IFERROR(__xludf.DUMMYFUNCTION("""COMPUTED_VALUE"""),"https://www.facebook.com/rapplerdotcom/photos/a.317154781638645/5594453700575367/")</f>
        <v>https://www.facebook.com/rapplerdotcom/photos/a.317154781638645/5594453700575367/</v>
      </c>
      <c r="J2800" s="1" t="str">
        <f>IFERROR(__xludf.DUMMYFUNCTION("""COMPUTED_VALUE"""),"2022-07-04T15:53:36.544Z")</f>
        <v>2022-07-04T15:53:36.544Z</v>
      </c>
      <c r="K2800" s="1"/>
    </row>
    <row r="2801">
      <c r="A2801" s="2" t="str">
        <f>IFERROR(__xludf.DUMMYFUNCTION("""COMPUTED_VALUE"""),"https://www.facebook.com/lorenzo.rianzares.7")</f>
        <v>https://www.facebook.com/lorenzo.rianzares.7</v>
      </c>
      <c r="B2801" s="1" t="str">
        <f>IFERROR(__xludf.DUMMYFUNCTION("""COMPUTED_VALUE"""),"Lorenzo Rianzares")</f>
        <v>Lorenzo Rianzares</v>
      </c>
      <c r="C2801" s="1" t="str">
        <f>IFERROR(__xludf.DUMMYFUNCTION("""COMPUTED_VALUE"""),"Lorenzo")</f>
        <v>Lorenzo</v>
      </c>
      <c r="D2801" s="1" t="str">
        <f>IFERROR(__xludf.DUMMYFUNCTION("""COMPUTED_VALUE"""),"Rianzares")</f>
        <v>Rianzares</v>
      </c>
      <c r="E2801" s="1" t="str">
        <f>IFERROR(__xludf.DUMMYFUNCTION("""COMPUTED_VALUE"""),"Carmi Paulino Anung masama sa cnabi ko tita wla naman.")</f>
        <v>Carmi Paulino Anung masama sa cnabi ko tita wla naman.</v>
      </c>
      <c r="F2801" s="1"/>
      <c r="G2801" s="1" t="str">
        <f>IFERROR(__xludf.DUMMYFUNCTION("""COMPUTED_VALUE"""),"3 mos")</f>
        <v>3 mos</v>
      </c>
      <c r="H2801" s="1" t="str">
        <f>IFERROR(__xludf.DUMMYFUNCTION("""COMPUTED_VALUE"""),"reply")</f>
        <v>reply</v>
      </c>
      <c r="I2801" s="2" t="str">
        <f>IFERROR(__xludf.DUMMYFUNCTION("""COMPUTED_VALUE"""),"https://www.facebook.com/rapplerdotcom/photos/a.317154781638645/5594453700575367/")</f>
        <v>https://www.facebook.com/rapplerdotcom/photos/a.317154781638645/5594453700575367/</v>
      </c>
      <c r="J2801" s="1" t="str">
        <f>IFERROR(__xludf.DUMMYFUNCTION("""COMPUTED_VALUE"""),"2022-07-04T15:53:36.544Z")</f>
        <v>2022-07-04T15:53:36.544Z</v>
      </c>
      <c r="K2801" s="1"/>
    </row>
    <row r="2802">
      <c r="A2802" s="2" t="str">
        <f>IFERROR(__xludf.DUMMYFUNCTION("""COMPUTED_VALUE"""),"https://www.facebook.com/rosendo.delatorre.50")</f>
        <v>https://www.facebook.com/rosendo.delatorre.50</v>
      </c>
      <c r="B2802" s="1" t="str">
        <f>IFERROR(__xludf.DUMMYFUNCTION("""COMPUTED_VALUE"""),"Rosendo Dela Torre")</f>
        <v>Rosendo Dela Torre</v>
      </c>
      <c r="C2802" s="1" t="str">
        <f>IFERROR(__xludf.DUMMYFUNCTION("""COMPUTED_VALUE"""),"Rosendo")</f>
        <v>Rosendo</v>
      </c>
      <c r="D2802" s="1" t="str">
        <f>IFERROR(__xludf.DUMMYFUNCTION("""COMPUTED_VALUE"""),"Dela Torre")</f>
        <v>Dela Torre</v>
      </c>
      <c r="E2802" s="1" t="str">
        <f>IFERROR(__xludf.DUMMYFUNCTION("""COMPUTED_VALUE"""),"Carmi Paulino mam napakasama sa harap Ng Dios nag bintang na  hinde nya nakita o nag witness.khit sa batas natin masama mag bintang .subukan nyo Myron ka suspect KC nawala Ang Isang bagày mo tpos mag bintang ka sa suspect mo Kung hinde kba kasuhan hinde b"&amp;"a? Sana nbasa ni idol sa biblia un sitas .")</f>
        <v>Carmi Paulino mam napakasama sa harap Ng Dios nag bintang na  hinde nya nakita o nag witness.khit sa batas natin masama mag bintang .subukan nyo Myron ka suspect KC nawala Ang Isang bagày mo tpos mag bintang ka sa suspect mo Kung hinde kba kasuhan hinde ba? Sana nbasa ni idol sa biblia un sitas .</v>
      </c>
      <c r="F2802" s="1"/>
      <c r="G2802" s="1" t="str">
        <f>IFERROR(__xludf.DUMMYFUNCTION("""COMPUTED_VALUE"""),"3 mos")</f>
        <v>3 mos</v>
      </c>
      <c r="H2802" s="1" t="str">
        <f>IFERROR(__xludf.DUMMYFUNCTION("""COMPUTED_VALUE"""),"reply")</f>
        <v>reply</v>
      </c>
      <c r="I2802" s="2" t="str">
        <f>IFERROR(__xludf.DUMMYFUNCTION("""COMPUTED_VALUE"""),"https://www.facebook.com/rapplerdotcom/photos/a.317154781638645/5594453700575367/")</f>
        <v>https://www.facebook.com/rapplerdotcom/photos/a.317154781638645/5594453700575367/</v>
      </c>
      <c r="J2802" s="1" t="str">
        <f>IFERROR(__xludf.DUMMYFUNCTION("""COMPUTED_VALUE"""),"2022-07-04T15:53:36.544Z")</f>
        <v>2022-07-04T15:53:36.544Z</v>
      </c>
      <c r="K2802" s="1"/>
    </row>
    <row r="2803">
      <c r="A2803" s="2" t="str">
        <f>IFERROR(__xludf.DUMMYFUNCTION("""COMPUTED_VALUE"""),"https://www.facebook.com/milanituda")</f>
        <v>https://www.facebook.com/milanituda</v>
      </c>
      <c r="B2803" s="1" t="str">
        <f>IFERROR(__xludf.DUMMYFUNCTION("""COMPUTED_VALUE"""),"Xsa Xsa")</f>
        <v>Xsa Xsa</v>
      </c>
      <c r="C2803" s="1" t="str">
        <f>IFERROR(__xludf.DUMMYFUNCTION("""COMPUTED_VALUE"""),"Xsa")</f>
        <v>Xsa</v>
      </c>
      <c r="D2803" s="1" t="str">
        <f>IFERROR(__xludf.DUMMYFUNCTION("""COMPUTED_VALUE"""),"Xsa")</f>
        <v>Xsa</v>
      </c>
      <c r="E2803" s="1" t="str">
        <f>IFERROR(__xludf.DUMMYFUNCTION("""COMPUTED_VALUE"""),"mabait ka nga but how can you talk and mingle to foreign president if there is an urgent meeting  and your representing the Philippines")</f>
        <v>mabait ka nga but how can you talk and mingle to foreign president if there is an urgent meeting  and your representing the Philippines</v>
      </c>
      <c r="F2803" s="1">
        <f>IFERROR(__xludf.DUMMYFUNCTION("""COMPUTED_VALUE"""),2.0)</f>
        <v>2</v>
      </c>
      <c r="G2803" s="1" t="str">
        <f>IFERROR(__xludf.DUMMYFUNCTION("""COMPUTED_VALUE"""),"3 mos")</f>
        <v>3 mos</v>
      </c>
      <c r="H2803" s="1" t="str">
        <f>IFERROR(__xludf.DUMMYFUNCTION("""COMPUTED_VALUE"""),"comment")</f>
        <v>comment</v>
      </c>
      <c r="I2803" s="2" t="str">
        <f>IFERROR(__xludf.DUMMYFUNCTION("""COMPUTED_VALUE"""),"https://www.facebook.com/rapplerdotcom/photos/a.317154781638645/5594453700575367/")</f>
        <v>https://www.facebook.com/rapplerdotcom/photos/a.317154781638645/5594453700575367/</v>
      </c>
      <c r="J2803" s="1" t="str">
        <f>IFERROR(__xludf.DUMMYFUNCTION("""COMPUTED_VALUE"""),"2022-07-04T15:53:36.544Z")</f>
        <v>2022-07-04T15:53:36.544Z</v>
      </c>
      <c r="K2803" s="1"/>
    </row>
    <row r="2804">
      <c r="A2804" s="2" t="str">
        <f>IFERROR(__xludf.DUMMYFUNCTION("""COMPUTED_VALUE"""),"https://www.facebook.com/herbert.jose.mnl")</f>
        <v>https://www.facebook.com/herbert.jose.mnl</v>
      </c>
      <c r="B2804" s="1" t="str">
        <f>IFERROR(__xludf.DUMMYFUNCTION("""COMPUTED_VALUE"""),"Herbert Jose")</f>
        <v>Herbert Jose</v>
      </c>
      <c r="C2804" s="1" t="str">
        <f>IFERROR(__xludf.DUMMYFUNCTION("""COMPUTED_VALUE"""),"Herbert")</f>
        <v>Herbert</v>
      </c>
      <c r="D2804" s="1" t="str">
        <f>IFERROR(__xludf.DUMMYFUNCTION("""COMPUTED_VALUE"""),"Jose")</f>
        <v>Jose</v>
      </c>
      <c r="E2804" s="1" t="str">
        <f>IFERROR(__xludf.DUMMYFUNCTION("""COMPUTED_VALUE"""),"Moosh Sev baka magpa autograph muna sa kanya yung foreign president bago mag meeting")</f>
        <v>Moosh Sev baka magpa autograph muna sa kanya yung foreign president bago mag meeting</v>
      </c>
      <c r="F2804" s="1"/>
      <c r="G2804" s="1" t="str">
        <f>IFERROR(__xludf.DUMMYFUNCTION("""COMPUTED_VALUE"""),"3 mos")</f>
        <v>3 mos</v>
      </c>
      <c r="H2804" s="1" t="str">
        <f>IFERROR(__xludf.DUMMYFUNCTION("""COMPUTED_VALUE"""),"reply")</f>
        <v>reply</v>
      </c>
      <c r="I2804" s="2" t="str">
        <f>IFERROR(__xludf.DUMMYFUNCTION("""COMPUTED_VALUE"""),"https://www.facebook.com/rapplerdotcom/photos/a.317154781638645/5594453700575367/")</f>
        <v>https://www.facebook.com/rapplerdotcom/photos/a.317154781638645/5594453700575367/</v>
      </c>
      <c r="J2804" s="1" t="str">
        <f>IFERROR(__xludf.DUMMYFUNCTION("""COMPUTED_VALUE"""),"2022-07-04T15:53:36.544Z")</f>
        <v>2022-07-04T15:53:36.544Z</v>
      </c>
      <c r="K2804" s="1"/>
    </row>
    <row r="2805">
      <c r="A2805" s="2" t="str">
        <f>IFERROR(__xludf.DUMMYFUNCTION("""COMPUTED_VALUE"""),"https://www.facebook.com/jude.romero.14")</f>
        <v>https://www.facebook.com/jude.romero.14</v>
      </c>
      <c r="B2805" s="1" t="str">
        <f>IFERROR(__xludf.DUMMYFUNCTION("""COMPUTED_VALUE"""),"Jude Romero")</f>
        <v>Jude Romero</v>
      </c>
      <c r="C2805" s="1" t="str">
        <f>IFERROR(__xludf.DUMMYFUNCTION("""COMPUTED_VALUE"""),"Jude")</f>
        <v>Jude</v>
      </c>
      <c r="D2805" s="1" t="str">
        <f>IFERROR(__xludf.DUMMYFUNCTION("""COMPUTED_VALUE"""),"Romero")</f>
        <v>Romero</v>
      </c>
      <c r="E2805" s="1" t="str">
        <f>IFERROR(__xludf.DUMMYFUNCTION("""COMPUTED_VALUE"""),"Moosh Sev may spokesman naman daw (Pimentel)")</f>
        <v>Moosh Sev may spokesman naman daw (Pimentel)</v>
      </c>
      <c r="F2805" s="1"/>
      <c r="G2805" s="1" t="str">
        <f>IFERROR(__xludf.DUMMYFUNCTION("""COMPUTED_VALUE"""),"3 mos")</f>
        <v>3 mos</v>
      </c>
      <c r="H2805" s="1" t="str">
        <f>IFERROR(__xludf.DUMMYFUNCTION("""COMPUTED_VALUE"""),"reply")</f>
        <v>reply</v>
      </c>
      <c r="I2805" s="2" t="str">
        <f>IFERROR(__xludf.DUMMYFUNCTION("""COMPUTED_VALUE"""),"https://www.facebook.com/rapplerdotcom/photos/a.317154781638645/5594453700575367/")</f>
        <v>https://www.facebook.com/rapplerdotcom/photos/a.317154781638645/5594453700575367/</v>
      </c>
      <c r="J2805" s="1" t="str">
        <f>IFERROR(__xludf.DUMMYFUNCTION("""COMPUTED_VALUE"""),"2022-07-04T15:53:36.544Z")</f>
        <v>2022-07-04T15:53:36.544Z</v>
      </c>
      <c r="K2805" s="1"/>
    </row>
    <row r="2806">
      <c r="A2806" s="2" t="str">
        <f>IFERROR(__xludf.DUMMYFUNCTION("""COMPUTED_VALUE"""),"https://www.facebook.com/rocky.romero.1042")</f>
        <v>https://www.facebook.com/rocky.romero.1042</v>
      </c>
      <c r="B2806" s="1" t="str">
        <f>IFERROR(__xludf.DUMMYFUNCTION("""COMPUTED_VALUE"""),"Rocky Romero")</f>
        <v>Rocky Romero</v>
      </c>
      <c r="C2806" s="1" t="str">
        <f>IFERROR(__xludf.DUMMYFUNCTION("""COMPUTED_VALUE"""),"Rocky")</f>
        <v>Rocky</v>
      </c>
      <c r="D2806" s="1" t="str">
        <f>IFERROR(__xludf.DUMMYFUNCTION("""COMPUTED_VALUE"""),"Romero")</f>
        <v>Romero</v>
      </c>
      <c r="E2806" s="1" t="str">
        <f>IFERROR(__xludf.DUMMYFUNCTION("""COMPUTED_VALUE"""),"Jude Romero may interpreter... nmn Yan... eh")</f>
        <v>Jude Romero may interpreter... nmn Yan... eh</v>
      </c>
      <c r="F2806" s="1"/>
      <c r="G2806" s="1" t="str">
        <f>IFERROR(__xludf.DUMMYFUNCTION("""COMPUTED_VALUE"""),"3 mos")</f>
        <v>3 mos</v>
      </c>
      <c r="H2806" s="1" t="str">
        <f>IFERROR(__xludf.DUMMYFUNCTION("""COMPUTED_VALUE"""),"reply")</f>
        <v>reply</v>
      </c>
      <c r="I2806" s="2" t="str">
        <f>IFERROR(__xludf.DUMMYFUNCTION("""COMPUTED_VALUE"""),"https://www.facebook.com/rapplerdotcom/photos/a.317154781638645/5594453700575367/")</f>
        <v>https://www.facebook.com/rapplerdotcom/photos/a.317154781638645/5594453700575367/</v>
      </c>
      <c r="J2806" s="1" t="str">
        <f>IFERROR(__xludf.DUMMYFUNCTION("""COMPUTED_VALUE"""),"2022-07-04T15:53:36.544Z")</f>
        <v>2022-07-04T15:53:36.544Z</v>
      </c>
      <c r="K2806" s="1"/>
    </row>
    <row r="2807">
      <c r="A2807" s="2" t="str">
        <f>IFERROR(__xludf.DUMMYFUNCTION("""COMPUTED_VALUE"""),"https://www.facebook.com/BimBirimBimBim")</f>
        <v>https://www.facebook.com/BimBirimBimBim</v>
      </c>
      <c r="B2807" s="1" t="str">
        <f>IFERROR(__xludf.DUMMYFUNCTION("""COMPUTED_VALUE"""),"Bim Rodriguez")</f>
        <v>Bim Rodriguez</v>
      </c>
      <c r="C2807" s="1" t="str">
        <f>IFERROR(__xludf.DUMMYFUNCTION("""COMPUTED_VALUE"""),"Bim")</f>
        <v>Bim</v>
      </c>
      <c r="D2807" s="1" t="str">
        <f>IFERROR(__xludf.DUMMYFUNCTION("""COMPUTED_VALUE"""),"Rodriguez")</f>
        <v>Rodriguez</v>
      </c>
      <c r="E2807" s="1" t="str">
        <f>IFERROR(__xludf.DUMMYFUNCTION("""COMPUTED_VALUE"""),"Moosh Sev yan hirap sa inyo eh feeling mataas pinagaralan but did you know na walang kaso sa foreigners ang Di masyado magaling sa English as long as they can understand each other? Also in this quoted statement wala naman syang sinabing ako ang iboto nyo"&amp;". But he encourage not to vote for UNITHIEVES.")</f>
        <v>Moosh Sev yan hirap sa inyo eh feeling mataas pinagaralan but did you know na walang kaso sa foreigners ang Di masyado magaling sa English as long as they can understand each other? Also in this quoted statement wala naman syang sinabing ako ang iboto nyo. But he encourage not to vote for UNITHIEVES.</v>
      </c>
      <c r="F2807" s="1"/>
      <c r="G2807" s="1" t="str">
        <f>IFERROR(__xludf.DUMMYFUNCTION("""COMPUTED_VALUE"""),"3 mos")</f>
        <v>3 mos</v>
      </c>
      <c r="H2807" s="1" t="str">
        <f>IFERROR(__xludf.DUMMYFUNCTION("""COMPUTED_VALUE"""),"reply")</f>
        <v>reply</v>
      </c>
      <c r="I2807" s="2" t="str">
        <f>IFERROR(__xludf.DUMMYFUNCTION("""COMPUTED_VALUE"""),"https://www.facebook.com/rapplerdotcom/photos/a.317154781638645/5594453700575367/")</f>
        <v>https://www.facebook.com/rapplerdotcom/photos/a.317154781638645/5594453700575367/</v>
      </c>
      <c r="J2807" s="1" t="str">
        <f>IFERROR(__xludf.DUMMYFUNCTION("""COMPUTED_VALUE"""),"2022-07-04T15:53:36.544Z")</f>
        <v>2022-07-04T15:53:36.544Z</v>
      </c>
      <c r="K2807" s="1"/>
    </row>
    <row r="2808">
      <c r="A2808" s="2" t="str">
        <f>IFERROR(__xludf.DUMMYFUNCTION("""COMPUTED_VALUE"""),"https://www.facebook.com/milanituda")</f>
        <v>https://www.facebook.com/milanituda</v>
      </c>
      <c r="B2808" s="1" t="str">
        <f>IFERROR(__xludf.DUMMYFUNCTION("""COMPUTED_VALUE"""),"Xsa Xsa")</f>
        <v>Xsa Xsa</v>
      </c>
      <c r="C2808" s="1" t="str">
        <f>IFERROR(__xludf.DUMMYFUNCTION("""COMPUTED_VALUE"""),"Xsa")</f>
        <v>Xsa</v>
      </c>
      <c r="D2808" s="1" t="str">
        <f>IFERROR(__xludf.DUMMYFUNCTION("""COMPUTED_VALUE"""),"Xsa")</f>
        <v>Xsa</v>
      </c>
      <c r="E2808" s="1" t="str">
        <f>IFERROR(__xludf.DUMMYFUNCTION("""COMPUTED_VALUE"""),"Bim Rodriguez do u have evidence  na nagnakaw yan prove it in the court")</f>
        <v>Bim Rodriguez do u have evidence  na nagnakaw yan prove it in the court</v>
      </c>
      <c r="F2808" s="1"/>
      <c r="G2808" s="1" t="str">
        <f>IFERROR(__xludf.DUMMYFUNCTION("""COMPUTED_VALUE"""),"3 mos")</f>
        <v>3 mos</v>
      </c>
      <c r="H2808" s="1" t="str">
        <f>IFERROR(__xludf.DUMMYFUNCTION("""COMPUTED_VALUE"""),"reply")</f>
        <v>reply</v>
      </c>
      <c r="I2808" s="2" t="str">
        <f>IFERROR(__xludf.DUMMYFUNCTION("""COMPUTED_VALUE"""),"https://www.facebook.com/rapplerdotcom/photos/a.317154781638645/5594453700575367/")</f>
        <v>https://www.facebook.com/rapplerdotcom/photos/a.317154781638645/5594453700575367/</v>
      </c>
      <c r="J2808" s="1" t="str">
        <f>IFERROR(__xludf.DUMMYFUNCTION("""COMPUTED_VALUE"""),"2022-07-04T15:53:36.544Z")</f>
        <v>2022-07-04T15:53:36.544Z</v>
      </c>
      <c r="K2808" s="1"/>
    </row>
    <row r="2809">
      <c r="A2809" s="2" t="str">
        <f>IFERROR(__xludf.DUMMYFUNCTION("""COMPUTED_VALUE"""),"https://www.facebook.com/BimBirimBimBim")</f>
        <v>https://www.facebook.com/BimBirimBimBim</v>
      </c>
      <c r="B2809" s="1" t="str">
        <f>IFERROR(__xludf.DUMMYFUNCTION("""COMPUTED_VALUE"""),"Bim Rodriguez")</f>
        <v>Bim Rodriguez</v>
      </c>
      <c r="C2809" s="1" t="str">
        <f>IFERROR(__xludf.DUMMYFUNCTION("""COMPUTED_VALUE"""),"Bim")</f>
        <v>Bim</v>
      </c>
      <c r="D2809" s="1" t="str">
        <f>IFERROR(__xludf.DUMMYFUNCTION("""COMPUTED_VALUE"""),"Rodriguez")</f>
        <v>Rodriguez</v>
      </c>
      <c r="E2809" s="1" t="str">
        <f>IFERROR(__xludf.DUMMYFUNCTION("""COMPUTED_VALUE"""),"Moosh Sev they all have cases. Some are convicted and some are already guilty. Some were pardoned by they ally, and some are on bail.")</f>
        <v>Moosh Sev they all have cases. Some are convicted and some are already guilty. Some were pardoned by they ally, and some are on bail.</v>
      </c>
      <c r="F2809" s="1"/>
      <c r="G2809" s="1" t="str">
        <f>IFERROR(__xludf.DUMMYFUNCTION("""COMPUTED_VALUE"""),"3 mos")</f>
        <v>3 mos</v>
      </c>
      <c r="H2809" s="1" t="str">
        <f>IFERROR(__xludf.DUMMYFUNCTION("""COMPUTED_VALUE"""),"reply")</f>
        <v>reply</v>
      </c>
      <c r="I2809" s="2" t="str">
        <f>IFERROR(__xludf.DUMMYFUNCTION("""COMPUTED_VALUE"""),"https://www.facebook.com/rapplerdotcom/photos/a.317154781638645/5594453700575367/")</f>
        <v>https://www.facebook.com/rapplerdotcom/photos/a.317154781638645/5594453700575367/</v>
      </c>
      <c r="J2809" s="1" t="str">
        <f>IFERROR(__xludf.DUMMYFUNCTION("""COMPUTED_VALUE"""),"2022-07-04T15:53:36.544Z")</f>
        <v>2022-07-04T15:53:36.544Z</v>
      </c>
      <c r="K2809" s="1"/>
    </row>
    <row r="2810">
      <c r="A2810" s="2" t="str">
        <f>IFERROR(__xludf.DUMMYFUNCTION("""COMPUTED_VALUE"""),"https://www.facebook.com/milanituda")</f>
        <v>https://www.facebook.com/milanituda</v>
      </c>
      <c r="B2810" s="1" t="str">
        <f>IFERROR(__xludf.DUMMYFUNCTION("""COMPUTED_VALUE"""),"Xsa Xsa")</f>
        <v>Xsa Xsa</v>
      </c>
      <c r="C2810" s="1" t="str">
        <f>IFERROR(__xludf.DUMMYFUNCTION("""COMPUTED_VALUE"""),"Xsa")</f>
        <v>Xsa</v>
      </c>
      <c r="D2810" s="1" t="str">
        <f>IFERROR(__xludf.DUMMYFUNCTION("""COMPUTED_VALUE"""),"Xsa")</f>
        <v>Xsa</v>
      </c>
      <c r="E2810" s="1" t="str">
        <f>IFERROR(__xludf.DUMMYFUNCTION("""COMPUTED_VALUE"""),"Bim Rodriguezwelk thats my opinion gets mo")</f>
        <v>Bim Rodriguezwelk thats my opinion gets mo</v>
      </c>
      <c r="F2810" s="1"/>
      <c r="G2810" s="1" t="str">
        <f>IFERROR(__xludf.DUMMYFUNCTION("""COMPUTED_VALUE"""),"3 mos")</f>
        <v>3 mos</v>
      </c>
      <c r="H2810" s="1" t="str">
        <f>IFERROR(__xludf.DUMMYFUNCTION("""COMPUTED_VALUE"""),"reply")</f>
        <v>reply</v>
      </c>
      <c r="I2810" s="2" t="str">
        <f>IFERROR(__xludf.DUMMYFUNCTION("""COMPUTED_VALUE"""),"https://www.facebook.com/rapplerdotcom/photos/a.317154781638645/5594453700575367/")</f>
        <v>https://www.facebook.com/rapplerdotcom/photos/a.317154781638645/5594453700575367/</v>
      </c>
      <c r="J2810" s="1" t="str">
        <f>IFERROR(__xludf.DUMMYFUNCTION("""COMPUTED_VALUE"""),"2022-07-04T15:53:36.544Z")</f>
        <v>2022-07-04T15:53:36.544Z</v>
      </c>
      <c r="K2810" s="1"/>
    </row>
    <row r="2811">
      <c r="A2811" s="2" t="str">
        <f>IFERROR(__xludf.DUMMYFUNCTION("""COMPUTED_VALUE"""),"https://www.facebook.com/sha.karon")</f>
        <v>https://www.facebook.com/sha.karon</v>
      </c>
      <c r="B2811" s="1" t="str">
        <f>IFERROR(__xludf.DUMMYFUNCTION("""COMPUTED_VALUE"""),"Shamira KA")</f>
        <v>Shamira KA</v>
      </c>
      <c r="C2811" s="1" t="str">
        <f>IFERROR(__xludf.DUMMYFUNCTION("""COMPUTED_VALUE"""),"Shamira")</f>
        <v>Shamira</v>
      </c>
      <c r="D2811" s="1" t="str">
        <f>IFERROR(__xludf.DUMMYFUNCTION("""COMPUTED_VALUE"""),"KA")</f>
        <v>KA</v>
      </c>
      <c r="E2811" s="1" t="str">
        <f>IFERROR(__xludf.DUMMYFUNCTION("""COMPUTED_VALUE"""),"True we have been disciplined by our parents not to steal but what going on the THEIF is supporting by many Pilipino 👎👎👎")</f>
        <v>True we have been disciplined by our parents not to steal but what going on the THEIF is supporting by many Pilipino 👎👎👎</v>
      </c>
      <c r="F2811" s="1">
        <f>IFERROR(__xludf.DUMMYFUNCTION("""COMPUTED_VALUE"""),22.0)</f>
        <v>22</v>
      </c>
      <c r="G2811" s="1" t="str">
        <f>IFERROR(__xludf.DUMMYFUNCTION("""COMPUTED_VALUE"""),"3 mos")</f>
        <v>3 mos</v>
      </c>
      <c r="H2811" s="1" t="str">
        <f>IFERROR(__xludf.DUMMYFUNCTION("""COMPUTED_VALUE"""),"comment")</f>
        <v>comment</v>
      </c>
      <c r="I2811" s="2" t="str">
        <f>IFERROR(__xludf.DUMMYFUNCTION("""COMPUTED_VALUE"""),"https://www.facebook.com/rapplerdotcom/photos/a.317154781638645/5594453700575367/")</f>
        <v>https://www.facebook.com/rapplerdotcom/photos/a.317154781638645/5594453700575367/</v>
      </c>
      <c r="J2811" s="1" t="str">
        <f>IFERROR(__xludf.DUMMYFUNCTION("""COMPUTED_VALUE"""),"2022-07-04T15:53:36.544Z")</f>
        <v>2022-07-04T15:53:36.544Z</v>
      </c>
      <c r="K2811" s="1"/>
    </row>
    <row r="2812">
      <c r="A2812" s="2" t="str">
        <f>IFERROR(__xludf.DUMMYFUNCTION("""COMPUTED_VALUE"""),"https://www.facebook.com/minda.amen")</f>
        <v>https://www.facebook.com/minda.amen</v>
      </c>
      <c r="B2812" s="1" t="str">
        <f>IFERROR(__xludf.DUMMYFUNCTION("""COMPUTED_VALUE"""),"Minda Amen delos Santos")</f>
        <v>Minda Amen delos Santos</v>
      </c>
      <c r="C2812" s="1" t="str">
        <f>IFERROR(__xludf.DUMMYFUNCTION("""COMPUTED_VALUE"""),"Minda")</f>
        <v>Minda</v>
      </c>
      <c r="D2812" s="1" t="str">
        <f>IFERROR(__xludf.DUMMYFUNCTION("""COMPUTED_VALUE"""),"Amen delos Santos")</f>
        <v>Amen delos Santos</v>
      </c>
      <c r="E2812" s="1" t="str">
        <f>IFERROR(__xludf.DUMMYFUNCTION("""COMPUTED_VALUE"""),"Baimoro Karon Silongan KA yn Po nkkalungkot s iba ntng mga kabbayan. Bkt kailangan ntn irisk Ang maging Buhay ntn s loob Ng  anim n taon. Kya bnigyan Tyo Ng Dios utak")</f>
        <v>Baimoro Karon Silongan KA yn Po nkkalungkot s iba ntng mga kabbayan. Bkt kailangan ntn irisk Ang maging Buhay ntn s loob Ng  anim n taon. Kya bnigyan Tyo Ng Dios utak</v>
      </c>
      <c r="F2812" s="1">
        <f>IFERROR(__xludf.DUMMYFUNCTION("""COMPUTED_VALUE"""),5.0)</f>
        <v>5</v>
      </c>
      <c r="G2812" s="1" t="str">
        <f>IFERROR(__xludf.DUMMYFUNCTION("""COMPUTED_VALUE"""),"3 mos")</f>
        <v>3 mos</v>
      </c>
      <c r="H2812" s="1" t="str">
        <f>IFERROR(__xludf.DUMMYFUNCTION("""COMPUTED_VALUE"""),"reply")</f>
        <v>reply</v>
      </c>
      <c r="I2812" s="2" t="str">
        <f>IFERROR(__xludf.DUMMYFUNCTION("""COMPUTED_VALUE"""),"https://www.facebook.com/rapplerdotcom/photos/a.317154781638645/5594453700575367/")</f>
        <v>https://www.facebook.com/rapplerdotcom/photos/a.317154781638645/5594453700575367/</v>
      </c>
      <c r="J2812" s="1" t="str">
        <f>IFERROR(__xludf.DUMMYFUNCTION("""COMPUTED_VALUE"""),"2022-07-04T15:53:36.544Z")</f>
        <v>2022-07-04T15:53:36.544Z</v>
      </c>
      <c r="K2812" s="1"/>
    </row>
    <row r="2813">
      <c r="A2813" s="2" t="str">
        <f>IFERROR(__xludf.DUMMYFUNCTION("""COMPUTED_VALUE"""),"https://www.facebook.com/carina.constantino.754")</f>
        <v>https://www.facebook.com/carina.constantino.754</v>
      </c>
      <c r="B2813" s="1" t="str">
        <f>IFERROR(__xludf.DUMMYFUNCTION("""COMPUTED_VALUE"""),"Carina Constantino")</f>
        <v>Carina Constantino</v>
      </c>
      <c r="C2813" s="1" t="str">
        <f>IFERROR(__xludf.DUMMYFUNCTION("""COMPUTED_VALUE"""),"Carina")</f>
        <v>Carina</v>
      </c>
      <c r="D2813" s="1" t="str">
        <f>IFERROR(__xludf.DUMMYFUNCTION("""COMPUTED_VALUE"""),"Constantino")</f>
        <v>Constantino</v>
      </c>
      <c r="E2813" s="1" t="str">
        <f>IFERROR(__xludf.DUMMYFUNCTION("""COMPUTED_VALUE"""),"Minda Amen delos Santos ganoon at pareho lang kayo at tayo na nakalimot na may laman palang utak ang ulo ng bawat tao kaya respect na lang ninyo kung ano gusto ng lahat ng walang utak na botante katulad mo din at ng ibabRESPECT everyones choice peace✌✌✌")</f>
        <v>Minda Amen delos Santos ganoon at pareho lang kayo at tayo na nakalimot na may laman palang utak ang ulo ng bawat tao kaya respect na lang ninyo kung ano gusto ng lahat ng walang utak na botante katulad mo din at ng ibabRESPECT everyones choice peace✌✌✌</v>
      </c>
      <c r="F2813" s="1">
        <f>IFERROR(__xludf.DUMMYFUNCTION("""COMPUTED_VALUE"""),2.0)</f>
        <v>2</v>
      </c>
      <c r="G2813" s="1" t="str">
        <f>IFERROR(__xludf.DUMMYFUNCTION("""COMPUTED_VALUE"""),"3 mos")</f>
        <v>3 mos</v>
      </c>
      <c r="H2813" s="1" t="str">
        <f>IFERROR(__xludf.DUMMYFUNCTION("""COMPUTED_VALUE"""),"reply")</f>
        <v>reply</v>
      </c>
      <c r="I2813" s="2" t="str">
        <f>IFERROR(__xludf.DUMMYFUNCTION("""COMPUTED_VALUE"""),"https://www.facebook.com/rapplerdotcom/photos/a.317154781638645/5594453700575367/")</f>
        <v>https://www.facebook.com/rapplerdotcom/photos/a.317154781638645/5594453700575367/</v>
      </c>
      <c r="J2813" s="1" t="str">
        <f>IFERROR(__xludf.DUMMYFUNCTION("""COMPUTED_VALUE"""),"2022-07-04T15:53:36.544Z")</f>
        <v>2022-07-04T15:53:36.544Z</v>
      </c>
      <c r="K2813" s="1"/>
    </row>
    <row r="2814">
      <c r="A2814" s="2" t="str">
        <f>IFERROR(__xludf.DUMMYFUNCTION("""COMPUTED_VALUE"""),"https://www.facebook.com/close728/")</f>
        <v>https://www.facebook.com/close728/</v>
      </c>
      <c r="B2814" s="1" t="str">
        <f>IFERROR(__xludf.DUMMYFUNCTION("""COMPUTED_VALUE"""),"BISCAST Alumni Office")</f>
        <v>BISCAST Alumni Office</v>
      </c>
      <c r="C2814" s="1" t="str">
        <f>IFERROR(__xludf.DUMMYFUNCTION("""COMPUTED_VALUE"""),"BISCAST")</f>
        <v>BISCAST</v>
      </c>
      <c r="D2814" s="1" t="str">
        <f>IFERROR(__xludf.DUMMYFUNCTION("""COMPUTED_VALUE"""),"Alumni Office")</f>
        <v>Alumni Office</v>
      </c>
      <c r="E2814" s="1" t="str">
        <f>IFERROR(__xludf.DUMMYFUNCTION("""COMPUTED_VALUE"""),"Totoo nman po ang sinabi no senator manny. Mga botante lng kasi tayo ang mgluluklok s kanila kaya kung mgkakamali tayo uli,wala ng pg asa tuluyan ng babagsak ang bansa natin..")</f>
        <v>Totoo nman po ang sinabi no senator manny. Mga botante lng kasi tayo ang mgluluklok s kanila kaya kung mgkakamali tayo uli,wala ng pg asa tuluyan ng babagsak ang bansa natin..</v>
      </c>
      <c r="F2814" s="1">
        <f>IFERROR(__xludf.DUMMYFUNCTION("""COMPUTED_VALUE"""),15.0)</f>
        <v>15</v>
      </c>
      <c r="G2814" s="1" t="str">
        <f>IFERROR(__xludf.DUMMYFUNCTION("""COMPUTED_VALUE"""),"3 mos")</f>
        <v>3 mos</v>
      </c>
      <c r="H2814" s="1" t="str">
        <f>IFERROR(__xludf.DUMMYFUNCTION("""COMPUTED_VALUE"""),"comment")</f>
        <v>comment</v>
      </c>
      <c r="I2814" s="2" t="str">
        <f>IFERROR(__xludf.DUMMYFUNCTION("""COMPUTED_VALUE"""),"https://www.facebook.com/rapplerdotcom/photos/a.317154781638645/5594453700575367/")</f>
        <v>https://www.facebook.com/rapplerdotcom/photos/a.317154781638645/5594453700575367/</v>
      </c>
      <c r="J2814" s="1" t="str">
        <f>IFERROR(__xludf.DUMMYFUNCTION("""COMPUTED_VALUE"""),"2022-07-04T15:53:36.544Z")</f>
        <v>2022-07-04T15:53:36.544Z</v>
      </c>
      <c r="K2814" s="1"/>
    </row>
    <row r="2815">
      <c r="A2815" s="2" t="str">
        <f>IFERROR(__xludf.DUMMYFUNCTION("""COMPUTED_VALUE"""),"https://www.facebook.com/ricky.yanong.37")</f>
        <v>https://www.facebook.com/ricky.yanong.37</v>
      </c>
      <c r="B2815" s="1" t="str">
        <f>IFERROR(__xludf.DUMMYFUNCTION("""COMPUTED_VALUE"""),"Ricky Yanong")</f>
        <v>Ricky Yanong</v>
      </c>
      <c r="C2815" s="1" t="str">
        <f>IFERROR(__xludf.DUMMYFUNCTION("""COMPUTED_VALUE"""),"Ricky")</f>
        <v>Ricky</v>
      </c>
      <c r="D2815" s="1" t="str">
        <f>IFERROR(__xludf.DUMMYFUNCTION("""COMPUTED_VALUE"""),"Yanong")</f>
        <v>Yanong</v>
      </c>
      <c r="E2815" s="1" t="str">
        <f>IFERROR(__xludf.DUMMYFUNCTION("""COMPUTED_VALUE"""),"OW! pretentious leader")</f>
        <v>OW! pretentious leader</v>
      </c>
      <c r="F2815" s="1">
        <f>IFERROR(__xludf.DUMMYFUNCTION("""COMPUTED_VALUE"""),2.0)</f>
        <v>2</v>
      </c>
      <c r="G2815" s="1" t="str">
        <f>IFERROR(__xludf.DUMMYFUNCTION("""COMPUTED_VALUE"""),"3 mos")</f>
        <v>3 mos</v>
      </c>
      <c r="H2815" s="1" t="str">
        <f>IFERROR(__xludf.DUMMYFUNCTION("""COMPUTED_VALUE"""),"comment")</f>
        <v>comment</v>
      </c>
      <c r="I2815" s="2" t="str">
        <f>IFERROR(__xludf.DUMMYFUNCTION("""COMPUTED_VALUE"""),"https://www.facebook.com/rapplerdotcom/photos/a.317154781638645/5594453700575367/")</f>
        <v>https://www.facebook.com/rapplerdotcom/photos/a.317154781638645/5594453700575367/</v>
      </c>
      <c r="J2815" s="1" t="str">
        <f>IFERROR(__xludf.DUMMYFUNCTION("""COMPUTED_VALUE"""),"2022-07-04T15:53:36.544Z")</f>
        <v>2022-07-04T15:53:36.544Z</v>
      </c>
      <c r="K2815" s="1"/>
    </row>
    <row r="2816">
      <c r="A2816" s="2" t="str">
        <f>IFERROR(__xludf.DUMMYFUNCTION("""COMPUTED_VALUE"""),"https://www.facebook.com/angelica.magcamit")</f>
        <v>https://www.facebook.com/angelica.magcamit</v>
      </c>
      <c r="B2816" s="1" t="str">
        <f>IFERROR(__xludf.DUMMYFUNCTION("""COMPUTED_VALUE"""),"Magcamit Gerlie")</f>
        <v>Magcamit Gerlie</v>
      </c>
      <c r="C2816" s="1" t="str">
        <f>IFERROR(__xludf.DUMMYFUNCTION("""COMPUTED_VALUE"""),"Magcamit")</f>
        <v>Magcamit</v>
      </c>
      <c r="D2816" s="1" t="str">
        <f>IFERROR(__xludf.DUMMYFUNCTION("""COMPUTED_VALUE"""),"Gerlie")</f>
        <v>Gerlie</v>
      </c>
      <c r="E2816" s="1" t="str">
        <f>IFERROR(__xludf.DUMMYFUNCTION("""COMPUTED_VALUE"""),"Well, i agree and you’re right Sen Manny! #LetLeniLead2022")</f>
        <v>Well, i agree and you’re right Sen Manny! #LetLeniLead2022</v>
      </c>
      <c r="F2816" s="1">
        <f>IFERROR(__xludf.DUMMYFUNCTION("""COMPUTED_VALUE"""),2.0)</f>
        <v>2</v>
      </c>
      <c r="G2816" s="1" t="str">
        <f>IFERROR(__xludf.DUMMYFUNCTION("""COMPUTED_VALUE"""),"3 mos")</f>
        <v>3 mos</v>
      </c>
      <c r="H2816" s="1" t="str">
        <f>IFERROR(__xludf.DUMMYFUNCTION("""COMPUTED_VALUE"""),"comment")</f>
        <v>comment</v>
      </c>
      <c r="I2816" s="2" t="str">
        <f>IFERROR(__xludf.DUMMYFUNCTION("""COMPUTED_VALUE"""),"https://www.facebook.com/rapplerdotcom/photos/a.317154781638645/5594453700575367/")</f>
        <v>https://www.facebook.com/rapplerdotcom/photos/a.317154781638645/5594453700575367/</v>
      </c>
      <c r="J2816" s="1" t="str">
        <f>IFERROR(__xludf.DUMMYFUNCTION("""COMPUTED_VALUE"""),"2022-07-04T15:53:36.544Z")</f>
        <v>2022-07-04T15:53:36.544Z</v>
      </c>
      <c r="K2816" s="1"/>
    </row>
    <row r="2817">
      <c r="A2817" s="2" t="str">
        <f>IFERROR(__xludf.DUMMYFUNCTION("""COMPUTED_VALUE"""),"https://www.facebook.com/narciso.corvera.549")</f>
        <v>https://www.facebook.com/narciso.corvera.549</v>
      </c>
      <c r="B2817" s="1" t="str">
        <f>IFERROR(__xludf.DUMMYFUNCTION("""COMPUTED_VALUE"""),"Narciso Corvera")</f>
        <v>Narciso Corvera</v>
      </c>
      <c r="C2817" s="1" t="str">
        <f>IFERROR(__xludf.DUMMYFUNCTION("""COMPUTED_VALUE"""),"Narciso")</f>
        <v>Narciso</v>
      </c>
      <c r="D2817" s="1" t="str">
        <f>IFERROR(__xludf.DUMMYFUNCTION("""COMPUTED_VALUE"""),"Corvera")</f>
        <v>Corvera</v>
      </c>
      <c r="E2817" s="1" t="str">
        <f>IFERROR(__xludf.DUMMYFUNCTION("""COMPUTED_VALUE"""),"Magcamit Gerlie huu nakisakay  ka  naman  mag icip q,")</f>
        <v>Magcamit Gerlie huu nakisakay  ka  naman  mag icip q,</v>
      </c>
      <c r="F2817" s="1"/>
      <c r="G2817" s="1" t="str">
        <f>IFERROR(__xludf.DUMMYFUNCTION("""COMPUTED_VALUE"""),"3 mos")</f>
        <v>3 mos</v>
      </c>
      <c r="H2817" s="1" t="str">
        <f>IFERROR(__xludf.DUMMYFUNCTION("""COMPUTED_VALUE"""),"reply")</f>
        <v>reply</v>
      </c>
      <c r="I2817" s="2" t="str">
        <f>IFERROR(__xludf.DUMMYFUNCTION("""COMPUTED_VALUE"""),"https://www.facebook.com/rapplerdotcom/photos/a.317154781638645/5594453700575367/")</f>
        <v>https://www.facebook.com/rapplerdotcom/photos/a.317154781638645/5594453700575367/</v>
      </c>
      <c r="J2817" s="1" t="str">
        <f>IFERROR(__xludf.DUMMYFUNCTION("""COMPUTED_VALUE"""),"2022-07-04T15:53:36.544Z")</f>
        <v>2022-07-04T15:53:36.544Z</v>
      </c>
      <c r="K2817" s="1"/>
    </row>
    <row r="2818">
      <c r="A2818" s="2" t="str">
        <f>IFERROR(__xludf.DUMMYFUNCTION("""COMPUTED_VALUE"""),"https://www.facebook.com/cornelio.albino1")</f>
        <v>https://www.facebook.com/cornelio.albino1</v>
      </c>
      <c r="B2818" s="1" t="str">
        <f>IFERROR(__xludf.DUMMYFUNCTION("""COMPUTED_VALUE"""),"Cornelio Albino")</f>
        <v>Cornelio Albino</v>
      </c>
      <c r="C2818" s="1" t="str">
        <f>IFERROR(__xludf.DUMMYFUNCTION("""COMPUTED_VALUE"""),"Cornelio")</f>
        <v>Cornelio</v>
      </c>
      <c r="D2818" s="1" t="str">
        <f>IFERROR(__xludf.DUMMYFUNCTION("""COMPUTED_VALUE"""),"Albino")</f>
        <v>Albino</v>
      </c>
      <c r="E2818" s="1" t="str">
        <f>IFERROR(__xludf.DUMMYFUNCTION("""COMPUTED_VALUE"""),"And who is the thief? You are out of your mind🤬")</f>
        <v>And who is the thief? You are out of your mind🤬</v>
      </c>
      <c r="F2818" s="1">
        <f>IFERROR(__xludf.DUMMYFUNCTION("""COMPUTED_VALUE"""),1.0)</f>
        <v>1</v>
      </c>
      <c r="G2818" s="1" t="str">
        <f>IFERROR(__xludf.DUMMYFUNCTION("""COMPUTED_VALUE"""),"3 mos")</f>
        <v>3 mos</v>
      </c>
      <c r="H2818" s="1" t="str">
        <f>IFERROR(__xludf.DUMMYFUNCTION("""COMPUTED_VALUE"""),"comment")</f>
        <v>comment</v>
      </c>
      <c r="I2818" s="2" t="str">
        <f>IFERROR(__xludf.DUMMYFUNCTION("""COMPUTED_VALUE"""),"https://www.facebook.com/rapplerdotcom/photos/a.317154781638645/5594453700575367/")</f>
        <v>https://www.facebook.com/rapplerdotcom/photos/a.317154781638645/5594453700575367/</v>
      </c>
      <c r="J2818" s="1" t="str">
        <f>IFERROR(__xludf.DUMMYFUNCTION("""COMPUTED_VALUE"""),"2022-07-04T15:53:36.544Z")</f>
        <v>2022-07-04T15:53:36.544Z</v>
      </c>
      <c r="K2818" s="1"/>
    </row>
    <row r="2819">
      <c r="A2819" s="2" t="str">
        <f>IFERROR(__xludf.DUMMYFUNCTION("""COMPUTED_VALUE"""),"https://www.facebook.com/RichestDad")</f>
        <v>https://www.facebook.com/RichestDad</v>
      </c>
      <c r="B2819" s="1" t="str">
        <f>IFERROR(__xludf.DUMMYFUNCTION("""COMPUTED_VALUE"""),"Freddie Peteza Base")</f>
        <v>Freddie Peteza Base</v>
      </c>
      <c r="C2819" s="1" t="str">
        <f>IFERROR(__xludf.DUMMYFUNCTION("""COMPUTED_VALUE"""),"Freddie")</f>
        <v>Freddie</v>
      </c>
      <c r="D2819" s="1" t="str">
        <f>IFERROR(__xludf.DUMMYFUNCTION("""COMPUTED_VALUE"""),"Peteza Base")</f>
        <v>Peteza Base</v>
      </c>
      <c r="E2819" s="1" t="str">
        <f>IFERROR(__xludf.DUMMYFUNCTION("""COMPUTED_VALUE"""),"MP is getting smarter Keep jabbing MP")</f>
        <v>MP is getting smarter Keep jabbing MP</v>
      </c>
      <c r="F2819" s="1">
        <f>IFERROR(__xludf.DUMMYFUNCTION("""COMPUTED_VALUE"""),5.0)</f>
        <v>5</v>
      </c>
      <c r="G2819" s="1" t="str">
        <f>IFERROR(__xludf.DUMMYFUNCTION("""COMPUTED_VALUE"""),"3 mos")</f>
        <v>3 mos</v>
      </c>
      <c r="H2819" s="1" t="str">
        <f>IFERROR(__xludf.DUMMYFUNCTION("""COMPUTED_VALUE"""),"comment")</f>
        <v>comment</v>
      </c>
      <c r="I2819" s="2" t="str">
        <f>IFERROR(__xludf.DUMMYFUNCTION("""COMPUTED_VALUE"""),"https://www.facebook.com/rapplerdotcom/photos/a.317154781638645/5594453700575367/")</f>
        <v>https://www.facebook.com/rapplerdotcom/photos/a.317154781638645/5594453700575367/</v>
      </c>
      <c r="J2819" s="1" t="str">
        <f>IFERROR(__xludf.DUMMYFUNCTION("""COMPUTED_VALUE"""),"2022-07-04T15:53:36.544Z")</f>
        <v>2022-07-04T15:53:36.544Z</v>
      </c>
      <c r="K2819" s="1"/>
    </row>
    <row r="2820">
      <c r="A2820" s="2" t="str">
        <f>IFERROR(__xludf.DUMMYFUNCTION("""COMPUTED_VALUE"""),"https://www.facebook.com/servidadjohnpaul")</f>
        <v>https://www.facebook.com/servidadjohnpaul</v>
      </c>
      <c r="B2820" s="1" t="str">
        <f>IFERROR(__xludf.DUMMYFUNCTION("""COMPUTED_VALUE"""),"Dadivres Jp")</f>
        <v>Dadivres Jp</v>
      </c>
      <c r="C2820" s="1" t="str">
        <f>IFERROR(__xludf.DUMMYFUNCTION("""COMPUTED_VALUE"""),"Dadivres")</f>
        <v>Dadivres</v>
      </c>
      <c r="D2820" s="1" t="str">
        <f>IFERROR(__xludf.DUMMYFUNCTION("""COMPUTED_VALUE"""),"Jp")</f>
        <v>Jp</v>
      </c>
      <c r="E2820" s="1" t="str">
        <f>IFERROR(__xludf.DUMMYFUNCTION("""COMPUTED_VALUE"""),"Correct ka manny..tapos sila rin unang magrereklamo hindi pa rin tayo nadala ky erap at ate glo!")</f>
        <v>Correct ka manny..tapos sila rin unang magrereklamo hindi pa rin tayo nadala ky erap at ate glo!</v>
      </c>
      <c r="F2820" s="1">
        <f>IFERROR(__xludf.DUMMYFUNCTION("""COMPUTED_VALUE"""),21.0)</f>
        <v>21</v>
      </c>
      <c r="G2820" s="1" t="str">
        <f>IFERROR(__xludf.DUMMYFUNCTION("""COMPUTED_VALUE"""),"3 mos")</f>
        <v>3 mos</v>
      </c>
      <c r="H2820" s="1" t="str">
        <f>IFERROR(__xludf.DUMMYFUNCTION("""COMPUTED_VALUE"""),"comment")</f>
        <v>comment</v>
      </c>
      <c r="I2820" s="2" t="str">
        <f>IFERROR(__xludf.DUMMYFUNCTION("""COMPUTED_VALUE"""),"https://www.facebook.com/rapplerdotcom/photos/a.317154781638645/5594453700575367/")</f>
        <v>https://www.facebook.com/rapplerdotcom/photos/a.317154781638645/5594453700575367/</v>
      </c>
      <c r="J2820" s="1" t="str">
        <f>IFERROR(__xludf.DUMMYFUNCTION("""COMPUTED_VALUE"""),"2022-07-04T15:53:36.544Z")</f>
        <v>2022-07-04T15:53:36.544Z</v>
      </c>
      <c r="K2820" s="1"/>
    </row>
    <row r="2821">
      <c r="A2821" s="2" t="str">
        <f>IFERROR(__xludf.DUMMYFUNCTION("""COMPUTED_VALUE"""),"https://www.facebook.com/odad.aucsap")</f>
        <v>https://www.facebook.com/odad.aucsap</v>
      </c>
      <c r="B2821" s="1" t="str">
        <f>IFERROR(__xludf.DUMMYFUNCTION("""COMPUTED_VALUE"""),"Dadz Gacal Pascua")</f>
        <v>Dadz Gacal Pascua</v>
      </c>
      <c r="C2821" s="1" t="str">
        <f>IFERROR(__xludf.DUMMYFUNCTION("""COMPUTED_VALUE"""),"Dadz")</f>
        <v>Dadz</v>
      </c>
      <c r="D2821" s="1" t="str">
        <f>IFERROR(__xludf.DUMMYFUNCTION("""COMPUTED_VALUE"""),"Gacal Pascua")</f>
        <v>Gacal Pascua</v>
      </c>
      <c r="E2821" s="1" t="str">
        <f>IFERROR(__xludf.DUMMYFUNCTION("""COMPUTED_VALUE"""),"Dadivres Jp sinisi pa si erap at ate Glo.")</f>
        <v>Dadivres Jp sinisi pa si erap at ate Glo.</v>
      </c>
      <c r="F2821" s="1"/>
      <c r="G2821" s="1" t="str">
        <f>IFERROR(__xludf.DUMMYFUNCTION("""COMPUTED_VALUE"""),"3 mos")</f>
        <v>3 mos</v>
      </c>
      <c r="H2821" s="1" t="str">
        <f>IFERROR(__xludf.DUMMYFUNCTION("""COMPUTED_VALUE"""),"reply")</f>
        <v>reply</v>
      </c>
      <c r="I2821" s="2" t="str">
        <f>IFERROR(__xludf.DUMMYFUNCTION("""COMPUTED_VALUE"""),"https://www.facebook.com/rapplerdotcom/photos/a.317154781638645/5594453700575367/")</f>
        <v>https://www.facebook.com/rapplerdotcom/photos/a.317154781638645/5594453700575367/</v>
      </c>
      <c r="J2821" s="1" t="str">
        <f>IFERROR(__xludf.DUMMYFUNCTION("""COMPUTED_VALUE"""),"2022-07-04T15:53:36.544Z")</f>
        <v>2022-07-04T15:53:36.544Z</v>
      </c>
      <c r="K2821" s="1"/>
    </row>
    <row r="2822">
      <c r="A2822" s="2" t="str">
        <f>IFERROR(__xludf.DUMMYFUNCTION("""COMPUTED_VALUE"""),"https://www.facebook.com/profile.php?id=100010227300304")</f>
        <v>https://www.facebook.com/profile.php?id=100010227300304</v>
      </c>
      <c r="B2822" s="1" t="str">
        <f>IFERROR(__xludf.DUMMYFUNCTION("""COMPUTED_VALUE"""),"Ador Cabalbag")</f>
        <v>Ador Cabalbag</v>
      </c>
      <c r="C2822" s="1" t="str">
        <f>IFERROR(__xludf.DUMMYFUNCTION("""COMPUTED_VALUE"""),"Ador")</f>
        <v>Ador</v>
      </c>
      <c r="D2822" s="1" t="str">
        <f>IFERROR(__xludf.DUMMYFUNCTION("""COMPUTED_VALUE"""),"Cabalbag")</f>
        <v>Cabalbag</v>
      </c>
      <c r="E2822" s="1" t="str">
        <f>IFERROR(__xludf.DUMMYFUNCTION("""COMPUTED_VALUE"""),"Dadz Gacal Pascua Erap would not be impeached po kung hindi talaga sya nagcommit ng graft and plunder during his presidency.")</f>
        <v>Dadz Gacal Pascua Erap would not be impeached po kung hindi talaga sya nagcommit ng graft and plunder during his presidency.</v>
      </c>
      <c r="F2822" s="1">
        <f>IFERROR(__xludf.DUMMYFUNCTION("""COMPUTED_VALUE"""),5.0)</f>
        <v>5</v>
      </c>
      <c r="G2822" s="1" t="str">
        <f>IFERROR(__xludf.DUMMYFUNCTION("""COMPUTED_VALUE"""),"3 mos")</f>
        <v>3 mos</v>
      </c>
      <c r="H2822" s="1" t="str">
        <f>IFERROR(__xludf.DUMMYFUNCTION("""COMPUTED_VALUE"""),"reply")</f>
        <v>reply</v>
      </c>
      <c r="I2822" s="2" t="str">
        <f>IFERROR(__xludf.DUMMYFUNCTION("""COMPUTED_VALUE"""),"https://www.facebook.com/rapplerdotcom/photos/a.317154781638645/5594453700575367/")</f>
        <v>https://www.facebook.com/rapplerdotcom/photos/a.317154781638645/5594453700575367/</v>
      </c>
      <c r="J2822" s="1" t="str">
        <f>IFERROR(__xludf.DUMMYFUNCTION("""COMPUTED_VALUE"""),"2022-07-04T15:53:36.544Z")</f>
        <v>2022-07-04T15:53:36.544Z</v>
      </c>
      <c r="K2822" s="1"/>
    </row>
    <row r="2823">
      <c r="A2823" s="2" t="str">
        <f>IFERROR(__xludf.DUMMYFUNCTION("""COMPUTED_VALUE"""),"https://www.facebook.com/marvz.mendoza.5")</f>
        <v>https://www.facebook.com/marvz.mendoza.5</v>
      </c>
      <c r="B2823" s="1" t="str">
        <f>IFERROR(__xludf.DUMMYFUNCTION("""COMPUTED_VALUE"""),"Matt Vian Mendoza")</f>
        <v>Matt Vian Mendoza</v>
      </c>
      <c r="C2823" s="1" t="str">
        <f>IFERROR(__xludf.DUMMYFUNCTION("""COMPUTED_VALUE"""),"Matt")</f>
        <v>Matt</v>
      </c>
      <c r="D2823" s="1" t="str">
        <f>IFERROR(__xludf.DUMMYFUNCTION("""COMPUTED_VALUE"""),"Vian Mendoza")</f>
        <v>Vian Mendoza</v>
      </c>
      <c r="E2823" s="1" t="str">
        <f>IFERROR(__xludf.DUMMYFUNCTION("""COMPUTED_VALUE"""),"Very well said sen.manny, nagbubulagbulagan lang ang karamihan kht alam ang totoo.parang pag nanliligaw, balewala ang ang pangit na katangian, basta ang alam nya lang gusto nya ung tao. SAD BUT TRUE!!!")</f>
        <v>Very well said sen.manny, nagbubulagbulagan lang ang karamihan kht alam ang totoo.parang pag nanliligaw, balewala ang ang pangit na katangian, basta ang alam nya lang gusto nya ung tao. SAD BUT TRUE!!!</v>
      </c>
      <c r="F2823" s="1">
        <f>IFERROR(__xludf.DUMMYFUNCTION("""COMPUTED_VALUE"""),2.0)</f>
        <v>2</v>
      </c>
      <c r="G2823" s="1" t="str">
        <f>IFERROR(__xludf.DUMMYFUNCTION("""COMPUTED_VALUE"""),"3 mos")</f>
        <v>3 mos</v>
      </c>
      <c r="H2823" s="1" t="str">
        <f>IFERROR(__xludf.DUMMYFUNCTION("""COMPUTED_VALUE"""),"comment")</f>
        <v>comment</v>
      </c>
      <c r="I2823" s="2" t="str">
        <f>IFERROR(__xludf.DUMMYFUNCTION("""COMPUTED_VALUE"""),"https://www.facebook.com/rapplerdotcom/photos/a.317154781638645/5594453700575367/")</f>
        <v>https://www.facebook.com/rapplerdotcom/photos/a.317154781638645/5594453700575367/</v>
      </c>
      <c r="J2823" s="1" t="str">
        <f>IFERROR(__xludf.DUMMYFUNCTION("""COMPUTED_VALUE"""),"2022-07-04T15:53:36.544Z")</f>
        <v>2022-07-04T15:53:36.544Z</v>
      </c>
      <c r="K2823" s="1"/>
    </row>
    <row r="2824">
      <c r="A2824" s="2" t="str">
        <f>IFERROR(__xludf.DUMMYFUNCTION("""COMPUTED_VALUE"""),"https://www.facebook.com/alex.bacarro")</f>
        <v>https://www.facebook.com/alex.bacarro</v>
      </c>
      <c r="B2824" s="1" t="str">
        <f>IFERROR(__xludf.DUMMYFUNCTION("""COMPUTED_VALUE"""),"Alex Bacarro")</f>
        <v>Alex Bacarro</v>
      </c>
      <c r="C2824" s="1" t="str">
        <f>IFERROR(__xludf.DUMMYFUNCTION("""COMPUTED_VALUE"""),"Alex")</f>
        <v>Alex</v>
      </c>
      <c r="D2824" s="1" t="str">
        <f>IFERROR(__xludf.DUMMYFUNCTION("""COMPUTED_VALUE"""),"Bacarro")</f>
        <v>Bacarro</v>
      </c>
      <c r="E2824" s="1" t="str">
        <f>IFERROR(__xludf.DUMMYFUNCTION("""COMPUTED_VALUE"""),"Well said Manny. Sana you can guide the misguided.👍🏻🎈")</f>
        <v>Well said Manny. Sana you can guide the misguided.👍🏻🎈</v>
      </c>
      <c r="F2824" s="1">
        <f>IFERROR(__xludf.DUMMYFUNCTION("""COMPUTED_VALUE"""),24.0)</f>
        <v>24</v>
      </c>
      <c r="G2824" s="1" t="str">
        <f>IFERROR(__xludf.DUMMYFUNCTION("""COMPUTED_VALUE"""),"3 mos")</f>
        <v>3 mos</v>
      </c>
      <c r="H2824" s="1" t="str">
        <f>IFERROR(__xludf.DUMMYFUNCTION("""COMPUTED_VALUE"""),"comment")</f>
        <v>comment</v>
      </c>
      <c r="I2824" s="2" t="str">
        <f>IFERROR(__xludf.DUMMYFUNCTION("""COMPUTED_VALUE"""),"https://www.facebook.com/rapplerdotcom/photos/a.317154781638645/5594453700575367/")</f>
        <v>https://www.facebook.com/rapplerdotcom/photos/a.317154781638645/5594453700575367/</v>
      </c>
      <c r="J2824" s="1" t="str">
        <f>IFERROR(__xludf.DUMMYFUNCTION("""COMPUTED_VALUE"""),"2022-07-04T15:53:36.545Z")</f>
        <v>2022-07-04T15:53:36.545Z</v>
      </c>
      <c r="K2824" s="1"/>
    </row>
    <row r="2825">
      <c r="A2825" s="2" t="str">
        <f>IFERROR(__xludf.DUMMYFUNCTION("""COMPUTED_VALUE"""),"https://www.facebook.com/terense.zingapan")</f>
        <v>https://www.facebook.com/terense.zingapan</v>
      </c>
      <c r="B2825" s="1" t="str">
        <f>IFERROR(__xludf.DUMMYFUNCTION("""COMPUTED_VALUE"""),"Terense Zingapan")</f>
        <v>Terense Zingapan</v>
      </c>
      <c r="C2825" s="1" t="str">
        <f>IFERROR(__xludf.DUMMYFUNCTION("""COMPUTED_VALUE"""),"Terense")</f>
        <v>Terense</v>
      </c>
      <c r="D2825" s="1" t="str">
        <f>IFERROR(__xludf.DUMMYFUNCTION("""COMPUTED_VALUE"""),"Zingapan")</f>
        <v>Zingapan</v>
      </c>
      <c r="E2825" s="1" t="str">
        <f>IFERROR(__xludf.DUMMYFUNCTION("""COMPUTED_VALUE"""),"Kunga sakaling matupad ni Manny Pacquiao Ang pangako nya na bawat mamayang pilipino ay iaahon nya sa kahirapan at Ang tulong nya ay wag ibigay sa kahit anung opisyal ng mga bayan na kanyang tutulungan sa halip po ibigay nya sa bawat mamayang pilipino pala"&amp;"gay ko makonbinsi na ako na iboboto namin sya 🙏😢👍")</f>
        <v>Kunga sakaling matupad ni Manny Pacquiao Ang pangako nya na bawat mamayang pilipino ay iaahon nya sa kahirapan at Ang tulong nya ay wag ibigay sa kahit anung opisyal ng mga bayan na kanyang tutulungan sa halip po ibigay nya sa bawat mamayang pilipino palagay ko makonbinsi na ako na iboboto namin sya 🙏😢👍</v>
      </c>
      <c r="F2825" s="1"/>
      <c r="G2825" s="1" t="str">
        <f>IFERROR(__xludf.DUMMYFUNCTION("""COMPUTED_VALUE"""),"3 mos")</f>
        <v>3 mos</v>
      </c>
      <c r="H2825" s="1" t="str">
        <f>IFERROR(__xludf.DUMMYFUNCTION("""COMPUTED_VALUE"""),"comment")</f>
        <v>comment</v>
      </c>
      <c r="I2825" s="2" t="str">
        <f>IFERROR(__xludf.DUMMYFUNCTION("""COMPUTED_VALUE"""),"https://www.facebook.com/rapplerdotcom/photos/a.317154781638645/5594453700575367/")</f>
        <v>https://www.facebook.com/rapplerdotcom/photos/a.317154781638645/5594453700575367/</v>
      </c>
      <c r="J2825" s="1" t="str">
        <f>IFERROR(__xludf.DUMMYFUNCTION("""COMPUTED_VALUE"""),"2022-07-04T15:53:36.545Z")</f>
        <v>2022-07-04T15:53:36.545Z</v>
      </c>
      <c r="K2825" s="1"/>
    </row>
    <row r="2826">
      <c r="A2826" s="2" t="str">
        <f>IFERROR(__xludf.DUMMYFUNCTION("""COMPUTED_VALUE"""),"https://www.facebook.com/profile.php?id=100009601696045")</f>
        <v>https://www.facebook.com/profile.php?id=100009601696045</v>
      </c>
      <c r="B2826" s="1" t="str">
        <f>IFERROR(__xludf.DUMMYFUNCTION("""COMPUTED_VALUE"""),"Reng Chin")</f>
        <v>Reng Chin</v>
      </c>
      <c r="C2826" s="1" t="str">
        <f>IFERROR(__xludf.DUMMYFUNCTION("""COMPUTED_VALUE"""),"Reng")</f>
        <v>Reng</v>
      </c>
      <c r="D2826" s="1" t="str">
        <f>IFERROR(__xludf.DUMMYFUNCTION("""COMPUTED_VALUE"""),"Chin")</f>
        <v>Chin</v>
      </c>
      <c r="E2826" s="1" t="str">
        <f>IFERROR(__xludf.DUMMYFUNCTION("""COMPUTED_VALUE"""),"For once I agree with him!")</f>
        <v>For once I agree with him!</v>
      </c>
      <c r="F2826" s="1">
        <f>IFERROR(__xludf.DUMMYFUNCTION("""COMPUTED_VALUE"""),27.0)</f>
        <v>27</v>
      </c>
      <c r="G2826" s="1" t="str">
        <f>IFERROR(__xludf.DUMMYFUNCTION("""COMPUTED_VALUE"""),"3 mos")</f>
        <v>3 mos</v>
      </c>
      <c r="H2826" s="1" t="str">
        <f>IFERROR(__xludf.DUMMYFUNCTION("""COMPUTED_VALUE"""),"comment")</f>
        <v>comment</v>
      </c>
      <c r="I2826" s="2" t="str">
        <f>IFERROR(__xludf.DUMMYFUNCTION("""COMPUTED_VALUE"""),"https://www.facebook.com/rapplerdotcom/photos/a.317154781638645/5594453700575367/")</f>
        <v>https://www.facebook.com/rapplerdotcom/photos/a.317154781638645/5594453700575367/</v>
      </c>
      <c r="J2826" s="1" t="str">
        <f>IFERROR(__xludf.DUMMYFUNCTION("""COMPUTED_VALUE"""),"2022-07-04T15:53:36.545Z")</f>
        <v>2022-07-04T15:53:36.545Z</v>
      </c>
      <c r="K2826" s="1"/>
    </row>
    <row r="2827">
      <c r="A2827" s="2" t="str">
        <f>IFERROR(__xludf.DUMMYFUNCTION("""COMPUTED_VALUE"""),"https://www.facebook.com/eliseo.calimlim")</f>
        <v>https://www.facebook.com/eliseo.calimlim</v>
      </c>
      <c r="B2827" s="1" t="str">
        <f>IFERROR(__xludf.DUMMYFUNCTION("""COMPUTED_VALUE"""),"Eliseo Calimlim")</f>
        <v>Eliseo Calimlim</v>
      </c>
      <c r="C2827" s="1" t="str">
        <f>IFERROR(__xludf.DUMMYFUNCTION("""COMPUTED_VALUE"""),"Eliseo")</f>
        <v>Eliseo</v>
      </c>
      <c r="D2827" s="1" t="str">
        <f>IFERROR(__xludf.DUMMYFUNCTION("""COMPUTED_VALUE"""),"Calimlim")</f>
        <v>Calimlim</v>
      </c>
      <c r="E2827" s="1" t="str">
        <f>IFERROR(__xludf.DUMMYFUNCTION("""COMPUTED_VALUE"""),"You are a great pretender your IQ level is bgy tanod")</f>
        <v>You are a great pretender your IQ level is bgy tanod</v>
      </c>
      <c r="F2827" s="1">
        <f>IFERROR(__xludf.DUMMYFUNCTION("""COMPUTED_VALUE"""),7.0)</f>
        <v>7</v>
      </c>
      <c r="G2827" s="1" t="str">
        <f>IFERROR(__xludf.DUMMYFUNCTION("""COMPUTED_VALUE"""),"3 mos")</f>
        <v>3 mos</v>
      </c>
      <c r="H2827" s="1" t="str">
        <f>IFERROR(__xludf.DUMMYFUNCTION("""COMPUTED_VALUE"""),"comment")</f>
        <v>comment</v>
      </c>
      <c r="I2827" s="2" t="str">
        <f>IFERROR(__xludf.DUMMYFUNCTION("""COMPUTED_VALUE"""),"https://www.facebook.com/rapplerdotcom/photos/a.317154781638645/5594453700575367/")</f>
        <v>https://www.facebook.com/rapplerdotcom/photos/a.317154781638645/5594453700575367/</v>
      </c>
      <c r="J2827" s="1" t="str">
        <f>IFERROR(__xludf.DUMMYFUNCTION("""COMPUTED_VALUE"""),"2022-07-04T15:53:36.545Z")</f>
        <v>2022-07-04T15:53:36.545Z</v>
      </c>
      <c r="K2827" s="1"/>
    </row>
    <row r="2828">
      <c r="A2828" s="2" t="str">
        <f>IFERROR(__xludf.DUMMYFUNCTION("""COMPUTED_VALUE"""),"https://www.facebook.com/rocky.romero.1042")</f>
        <v>https://www.facebook.com/rocky.romero.1042</v>
      </c>
      <c r="B2828" s="1" t="str">
        <f>IFERROR(__xludf.DUMMYFUNCTION("""COMPUTED_VALUE"""),"Rocky Romero")</f>
        <v>Rocky Romero</v>
      </c>
      <c r="C2828" s="1" t="str">
        <f>IFERROR(__xludf.DUMMYFUNCTION("""COMPUTED_VALUE"""),"Rocky")</f>
        <v>Rocky</v>
      </c>
      <c r="D2828" s="1" t="str">
        <f>IFERROR(__xludf.DUMMYFUNCTION("""COMPUTED_VALUE"""),"Romero")</f>
        <v>Romero</v>
      </c>
      <c r="E2828" s="1" t="str">
        <f>IFERROR(__xludf.DUMMYFUNCTION("""COMPUTED_VALUE"""),"Eliseo Calimlim pno nmn po Ikaw... Anong level Ng IQ m... mkpagslita.... hehe.....")</f>
        <v>Eliseo Calimlim pno nmn po Ikaw... Anong level Ng IQ m... mkpagslita.... hehe.....</v>
      </c>
      <c r="F2828" s="1"/>
      <c r="G2828" s="1" t="str">
        <f>IFERROR(__xludf.DUMMYFUNCTION("""COMPUTED_VALUE"""),"3 mos")</f>
        <v>3 mos</v>
      </c>
      <c r="H2828" s="1" t="str">
        <f>IFERROR(__xludf.DUMMYFUNCTION("""COMPUTED_VALUE"""),"reply")</f>
        <v>reply</v>
      </c>
      <c r="I2828" s="2" t="str">
        <f>IFERROR(__xludf.DUMMYFUNCTION("""COMPUTED_VALUE"""),"https://www.facebook.com/rapplerdotcom/photos/a.317154781638645/5594453700575367/")</f>
        <v>https://www.facebook.com/rapplerdotcom/photos/a.317154781638645/5594453700575367/</v>
      </c>
      <c r="J2828" s="1" t="str">
        <f>IFERROR(__xludf.DUMMYFUNCTION("""COMPUTED_VALUE"""),"2022-07-04T15:53:36.545Z")</f>
        <v>2022-07-04T15:53:36.545Z</v>
      </c>
      <c r="K2828" s="1"/>
    </row>
    <row r="2829">
      <c r="A2829" s="2" t="str">
        <f>IFERROR(__xludf.DUMMYFUNCTION("""COMPUTED_VALUE"""),"https://www.facebook.com/susan.sagario.56")</f>
        <v>https://www.facebook.com/susan.sagario.56</v>
      </c>
      <c r="B2829" s="1" t="str">
        <f>IFERROR(__xludf.DUMMYFUNCTION("""COMPUTED_VALUE"""),"Susan Sagario")</f>
        <v>Susan Sagario</v>
      </c>
      <c r="C2829" s="1" t="str">
        <f>IFERROR(__xludf.DUMMYFUNCTION("""COMPUTED_VALUE"""),"Susan")</f>
        <v>Susan</v>
      </c>
      <c r="D2829" s="1" t="str">
        <f>IFERROR(__xludf.DUMMYFUNCTION("""COMPUTED_VALUE"""),"Sagario")</f>
        <v>Sagario</v>
      </c>
      <c r="E2829" s="1" t="str">
        <f>IFERROR(__xludf.DUMMYFUNCTION("""COMPUTED_VALUE"""),"No I won't blame myself I choose to vote you.")</f>
        <v>No I won't blame myself I choose to vote you.</v>
      </c>
      <c r="F2829" s="1">
        <f>IFERROR(__xludf.DUMMYFUNCTION("""COMPUTED_VALUE"""),9.0)</f>
        <v>9</v>
      </c>
      <c r="G2829" s="1" t="str">
        <f>IFERROR(__xludf.DUMMYFUNCTION("""COMPUTED_VALUE"""),"3 mos")</f>
        <v>3 mos</v>
      </c>
      <c r="H2829" s="1" t="str">
        <f>IFERROR(__xludf.DUMMYFUNCTION("""COMPUTED_VALUE"""),"comment")</f>
        <v>comment</v>
      </c>
      <c r="I2829" s="2" t="str">
        <f>IFERROR(__xludf.DUMMYFUNCTION("""COMPUTED_VALUE"""),"https://www.facebook.com/rapplerdotcom/photos/a.317154781638645/5594453700575367/")</f>
        <v>https://www.facebook.com/rapplerdotcom/photos/a.317154781638645/5594453700575367/</v>
      </c>
      <c r="J2829" s="1" t="str">
        <f>IFERROR(__xludf.DUMMYFUNCTION("""COMPUTED_VALUE"""),"2022-07-04T15:53:36.545Z")</f>
        <v>2022-07-04T15:53:36.545Z</v>
      </c>
      <c r="K2829" s="1"/>
    </row>
    <row r="2830">
      <c r="A2830" s="2" t="str">
        <f>IFERROR(__xludf.DUMMYFUNCTION("""COMPUTED_VALUE"""),"https://www.facebook.com/bsc41")</f>
        <v>https://www.facebook.com/bsc41</v>
      </c>
      <c r="B2830" s="1" t="str">
        <f>IFERROR(__xludf.DUMMYFUNCTION("""COMPUTED_VALUE"""),"Bryan Casa")</f>
        <v>Bryan Casa</v>
      </c>
      <c r="C2830" s="1" t="str">
        <f>IFERROR(__xludf.DUMMYFUNCTION("""COMPUTED_VALUE"""),"Bryan")</f>
        <v>Bryan</v>
      </c>
      <c r="D2830" s="1" t="str">
        <f>IFERROR(__xludf.DUMMYFUNCTION("""COMPUTED_VALUE"""),"Casa")</f>
        <v>Casa</v>
      </c>
      <c r="E2830" s="1" t="str">
        <f>IFERROR(__xludf.DUMMYFUNCTION("""COMPUTED_VALUE"""),"Hopeless candidate")</f>
        <v>Hopeless candidate</v>
      </c>
      <c r="F2830" s="1">
        <f>IFERROR(__xludf.DUMMYFUNCTION("""COMPUTED_VALUE"""),4.0)</f>
        <v>4</v>
      </c>
      <c r="G2830" s="1" t="str">
        <f>IFERROR(__xludf.DUMMYFUNCTION("""COMPUTED_VALUE"""),"3 mos")</f>
        <v>3 mos</v>
      </c>
      <c r="H2830" s="1" t="str">
        <f>IFERROR(__xludf.DUMMYFUNCTION("""COMPUTED_VALUE"""),"comment")</f>
        <v>comment</v>
      </c>
      <c r="I2830" s="2" t="str">
        <f>IFERROR(__xludf.DUMMYFUNCTION("""COMPUTED_VALUE"""),"https://www.facebook.com/rapplerdotcom/photos/a.317154781638645/5594453700575367/")</f>
        <v>https://www.facebook.com/rapplerdotcom/photos/a.317154781638645/5594453700575367/</v>
      </c>
      <c r="J2830" s="1" t="str">
        <f>IFERROR(__xludf.DUMMYFUNCTION("""COMPUTED_VALUE"""),"2022-07-04T15:53:36.545Z")</f>
        <v>2022-07-04T15:53:36.545Z</v>
      </c>
      <c r="K2830" s="1"/>
    </row>
    <row r="2831">
      <c r="A2831" s="2" t="str">
        <f>IFERROR(__xludf.DUMMYFUNCTION("""COMPUTED_VALUE"""),"https://www.facebook.com/fepilia.giron.31")</f>
        <v>https://www.facebook.com/fepilia.giron.31</v>
      </c>
      <c r="B2831" s="1" t="str">
        <f>IFERROR(__xludf.DUMMYFUNCTION("""COMPUTED_VALUE"""),"Fepilia Giron")</f>
        <v>Fepilia Giron</v>
      </c>
      <c r="C2831" s="1" t="str">
        <f>IFERROR(__xludf.DUMMYFUNCTION("""COMPUTED_VALUE"""),"Fepilia")</f>
        <v>Fepilia</v>
      </c>
      <c r="D2831" s="1" t="str">
        <f>IFERROR(__xludf.DUMMYFUNCTION("""COMPUTED_VALUE"""),"Giron")</f>
        <v>Giron</v>
      </c>
      <c r="E2831" s="1" t="str">
        <f>IFERROR(__xludf.DUMMYFUNCTION("""COMPUTED_VALUE"""),"Bryan Casa Hahaha")</f>
        <v>Bryan Casa Hahaha</v>
      </c>
      <c r="F2831" s="1"/>
      <c r="G2831" s="1" t="str">
        <f>IFERROR(__xludf.DUMMYFUNCTION("""COMPUTED_VALUE"""),"3 mos")</f>
        <v>3 mos</v>
      </c>
      <c r="H2831" s="1" t="str">
        <f>IFERROR(__xludf.DUMMYFUNCTION("""COMPUTED_VALUE"""),"reply")</f>
        <v>reply</v>
      </c>
      <c r="I2831" s="2" t="str">
        <f>IFERROR(__xludf.DUMMYFUNCTION("""COMPUTED_VALUE"""),"https://www.facebook.com/rapplerdotcom/photos/a.317154781638645/5594453700575367/")</f>
        <v>https://www.facebook.com/rapplerdotcom/photos/a.317154781638645/5594453700575367/</v>
      </c>
      <c r="J2831" s="1" t="str">
        <f>IFERROR(__xludf.DUMMYFUNCTION("""COMPUTED_VALUE"""),"2022-07-04T15:53:36.545Z")</f>
        <v>2022-07-04T15:53:36.545Z</v>
      </c>
      <c r="K2831" s="1"/>
    </row>
    <row r="2832">
      <c r="A2832" s="2" t="str">
        <f>IFERROR(__xludf.DUMMYFUNCTION("""COMPUTED_VALUE"""),"https://www.facebook.com/juliustigley.perater")</f>
        <v>https://www.facebook.com/juliustigley.perater</v>
      </c>
      <c r="B2832" s="1" t="str">
        <f>IFERROR(__xludf.DUMMYFUNCTION("""COMPUTED_VALUE"""),"Julius Tigley Perater")</f>
        <v>Julius Tigley Perater</v>
      </c>
      <c r="C2832" s="1" t="str">
        <f>IFERROR(__xludf.DUMMYFUNCTION("""COMPUTED_VALUE"""),"Julius")</f>
        <v>Julius</v>
      </c>
      <c r="D2832" s="1" t="str">
        <f>IFERROR(__xludf.DUMMYFUNCTION("""COMPUTED_VALUE"""),"Tigley Perater")</f>
        <v>Tigley Perater</v>
      </c>
      <c r="E2832" s="1" t="str">
        <f>IFERROR(__xludf.DUMMYFUNCTION("""COMPUTED_VALUE"""),"No vote pakyaw")</f>
        <v>No vote pakyaw</v>
      </c>
      <c r="F2832" s="1">
        <f>IFERROR(__xludf.DUMMYFUNCTION("""COMPUTED_VALUE"""),19.0)</f>
        <v>19</v>
      </c>
      <c r="G2832" s="1" t="str">
        <f>IFERROR(__xludf.DUMMYFUNCTION("""COMPUTED_VALUE"""),"3 mos")</f>
        <v>3 mos</v>
      </c>
      <c r="H2832" s="1" t="str">
        <f>IFERROR(__xludf.DUMMYFUNCTION("""COMPUTED_VALUE"""),"comment")</f>
        <v>comment</v>
      </c>
      <c r="I2832" s="2" t="str">
        <f>IFERROR(__xludf.DUMMYFUNCTION("""COMPUTED_VALUE"""),"https://www.facebook.com/rapplerdotcom/photos/a.317154781638645/5594453700575367/")</f>
        <v>https://www.facebook.com/rapplerdotcom/photos/a.317154781638645/5594453700575367/</v>
      </c>
      <c r="J2832" s="1" t="str">
        <f>IFERROR(__xludf.DUMMYFUNCTION("""COMPUTED_VALUE"""),"2022-07-04T15:53:36.545Z")</f>
        <v>2022-07-04T15:53:36.545Z</v>
      </c>
      <c r="K2832" s="1"/>
    </row>
    <row r="2833">
      <c r="A2833" s="2" t="str">
        <f>IFERROR(__xludf.DUMMYFUNCTION("""COMPUTED_VALUE"""),"https://www.facebook.com/emviray")</f>
        <v>https://www.facebook.com/emviray</v>
      </c>
      <c r="B2833" s="1" t="str">
        <f>IFERROR(__xludf.DUMMYFUNCTION("""COMPUTED_VALUE"""),"Emma Montoya-Untalan Viray")</f>
        <v>Emma Montoya-Untalan Viray</v>
      </c>
      <c r="C2833" s="1" t="str">
        <f>IFERROR(__xludf.DUMMYFUNCTION("""COMPUTED_VALUE"""),"Emma")</f>
        <v>Emma</v>
      </c>
      <c r="D2833" s="1" t="str">
        <f>IFERROR(__xludf.DUMMYFUNCTION("""COMPUTED_VALUE"""),"Montoya-Untalan Viray")</f>
        <v>Montoya-Untalan Viray</v>
      </c>
      <c r="E2833" s="1" t="str">
        <f>IFERROR(__xludf.DUMMYFUNCTION("""COMPUTED_VALUE"""),"Julius Tigley Perater BIG N0 to mayabang, arrogant na Pacguiao")</f>
        <v>Julius Tigley Perater BIG N0 to mayabang, arrogant na Pacguiao</v>
      </c>
      <c r="F2833" s="1">
        <f>IFERROR(__xludf.DUMMYFUNCTION("""COMPUTED_VALUE"""),2.0)</f>
        <v>2</v>
      </c>
      <c r="G2833" s="1" t="str">
        <f>IFERROR(__xludf.DUMMYFUNCTION("""COMPUTED_VALUE"""),"3 mos")</f>
        <v>3 mos</v>
      </c>
      <c r="H2833" s="1" t="str">
        <f>IFERROR(__xludf.DUMMYFUNCTION("""COMPUTED_VALUE"""),"reply")</f>
        <v>reply</v>
      </c>
      <c r="I2833" s="2" t="str">
        <f>IFERROR(__xludf.DUMMYFUNCTION("""COMPUTED_VALUE"""),"https://www.facebook.com/rapplerdotcom/photos/a.317154781638645/5594453700575367/")</f>
        <v>https://www.facebook.com/rapplerdotcom/photos/a.317154781638645/5594453700575367/</v>
      </c>
      <c r="J2833" s="1" t="str">
        <f>IFERROR(__xludf.DUMMYFUNCTION("""COMPUTED_VALUE"""),"2022-07-04T15:53:36.545Z")</f>
        <v>2022-07-04T15:53:36.545Z</v>
      </c>
      <c r="K2833" s="1"/>
    </row>
    <row r="2834">
      <c r="A2834" s="2" t="str">
        <f>IFERROR(__xludf.DUMMYFUNCTION("""COMPUTED_VALUE"""),"https://www.facebook.com/cris.caligtan.5")</f>
        <v>https://www.facebook.com/cris.caligtan.5</v>
      </c>
      <c r="B2834" s="1" t="str">
        <f>IFERROR(__xludf.DUMMYFUNCTION("""COMPUTED_VALUE"""),"Cris Caligtan")</f>
        <v>Cris Caligtan</v>
      </c>
      <c r="C2834" s="1" t="str">
        <f>IFERROR(__xludf.DUMMYFUNCTION("""COMPUTED_VALUE"""),"Cris")</f>
        <v>Cris</v>
      </c>
      <c r="D2834" s="1" t="str">
        <f>IFERROR(__xludf.DUMMYFUNCTION("""COMPUTED_VALUE"""),"Caligtan")</f>
        <v>Caligtan</v>
      </c>
      <c r="E2834" s="1" t="str">
        <f>IFERROR(__xludf.DUMMYFUNCTION("""COMPUTED_VALUE"""),"Julius Tigley Perater Tama No no no vote pakyaw👎👎👎")</f>
        <v>Julius Tigley Perater Tama No no no vote pakyaw👎👎👎</v>
      </c>
      <c r="F2834" s="1">
        <f>IFERROR(__xludf.DUMMYFUNCTION("""COMPUTED_VALUE"""),3.0)</f>
        <v>3</v>
      </c>
      <c r="G2834" s="1" t="str">
        <f>IFERROR(__xludf.DUMMYFUNCTION("""COMPUTED_VALUE"""),"3 mos")</f>
        <v>3 mos</v>
      </c>
      <c r="H2834" s="1" t="str">
        <f>IFERROR(__xludf.DUMMYFUNCTION("""COMPUTED_VALUE"""),"reply")</f>
        <v>reply</v>
      </c>
      <c r="I2834" s="2" t="str">
        <f>IFERROR(__xludf.DUMMYFUNCTION("""COMPUTED_VALUE"""),"https://www.facebook.com/rapplerdotcom/photos/a.317154781638645/5594453700575367/")</f>
        <v>https://www.facebook.com/rapplerdotcom/photos/a.317154781638645/5594453700575367/</v>
      </c>
      <c r="J2834" s="1" t="str">
        <f>IFERROR(__xludf.DUMMYFUNCTION("""COMPUTED_VALUE"""),"2022-07-04T15:53:36.545Z")</f>
        <v>2022-07-04T15:53:36.545Z</v>
      </c>
      <c r="K2834" s="1"/>
    </row>
    <row r="2835">
      <c r="A2835" s="2" t="str">
        <f>IFERROR(__xludf.DUMMYFUNCTION("""COMPUTED_VALUE"""),"https://www.facebook.com/sam.zamudio.946")</f>
        <v>https://www.facebook.com/sam.zamudio.946</v>
      </c>
      <c r="B2835" s="1" t="str">
        <f>IFERROR(__xludf.DUMMYFUNCTION("""COMPUTED_VALUE"""),"Sam Zamudio")</f>
        <v>Sam Zamudio</v>
      </c>
      <c r="C2835" s="1" t="str">
        <f>IFERROR(__xludf.DUMMYFUNCTION("""COMPUTED_VALUE"""),"Sam")</f>
        <v>Sam</v>
      </c>
      <c r="D2835" s="1" t="str">
        <f>IFERROR(__xludf.DUMMYFUNCTION("""COMPUTED_VALUE"""),"Zamudio")</f>
        <v>Zamudio</v>
      </c>
      <c r="E2835" s="1" t="str">
        <f>IFERROR(__xludf.DUMMYFUNCTION("""COMPUTED_VALUE"""),"Very well said Mr.Senator.like the cliche goes,we get the government that we deserve...")</f>
        <v>Very well said Mr.Senator.like the cliche goes,we get the government that we deserve...</v>
      </c>
      <c r="F2835" s="1">
        <f>IFERROR(__xludf.DUMMYFUNCTION("""COMPUTED_VALUE"""),4.0)</f>
        <v>4</v>
      </c>
      <c r="G2835" s="1" t="str">
        <f>IFERROR(__xludf.DUMMYFUNCTION("""COMPUTED_VALUE"""),"3 mos")</f>
        <v>3 mos</v>
      </c>
      <c r="H2835" s="1" t="str">
        <f>IFERROR(__xludf.DUMMYFUNCTION("""COMPUTED_VALUE"""),"comment")</f>
        <v>comment</v>
      </c>
      <c r="I2835" s="2" t="str">
        <f>IFERROR(__xludf.DUMMYFUNCTION("""COMPUTED_VALUE"""),"https://www.facebook.com/rapplerdotcom/photos/a.317154781638645/5594453700575367/")</f>
        <v>https://www.facebook.com/rapplerdotcom/photos/a.317154781638645/5594453700575367/</v>
      </c>
      <c r="J2835" s="1" t="str">
        <f>IFERROR(__xludf.DUMMYFUNCTION("""COMPUTED_VALUE"""),"2022-07-04T15:53:36.545Z")</f>
        <v>2022-07-04T15:53:36.545Z</v>
      </c>
      <c r="K2835" s="1"/>
    </row>
    <row r="2836">
      <c r="A2836" s="2" t="str">
        <f>IFERROR(__xludf.DUMMYFUNCTION("""COMPUTED_VALUE"""),"https://www.facebook.com/jovito.tamayo.7")</f>
        <v>https://www.facebook.com/jovito.tamayo.7</v>
      </c>
      <c r="B2836" s="1" t="str">
        <f>IFERROR(__xludf.DUMMYFUNCTION("""COMPUTED_VALUE"""),"Jovito Tamayo")</f>
        <v>Jovito Tamayo</v>
      </c>
      <c r="C2836" s="1" t="str">
        <f>IFERROR(__xludf.DUMMYFUNCTION("""COMPUTED_VALUE"""),"Jovito")</f>
        <v>Jovito</v>
      </c>
      <c r="D2836" s="1" t="str">
        <f>IFERROR(__xludf.DUMMYFUNCTION("""COMPUTED_VALUE"""),"Tamayo")</f>
        <v>Tamayo</v>
      </c>
      <c r="E2836" s="1" t="str">
        <f>IFERROR(__xludf.DUMMYFUNCTION("""COMPUTED_VALUE"""),"A little learning is dangerous thing Punch Drunk Pacquiao")</f>
        <v>A little learning is dangerous thing Punch Drunk Pacquiao</v>
      </c>
      <c r="F2836" s="1"/>
      <c r="G2836" s="1" t="str">
        <f>IFERROR(__xludf.DUMMYFUNCTION("""COMPUTED_VALUE"""),"3 mos")</f>
        <v>3 mos</v>
      </c>
      <c r="H2836" s="1" t="str">
        <f>IFERROR(__xludf.DUMMYFUNCTION("""COMPUTED_VALUE"""),"comment")</f>
        <v>comment</v>
      </c>
      <c r="I2836" s="2" t="str">
        <f>IFERROR(__xludf.DUMMYFUNCTION("""COMPUTED_VALUE"""),"https://www.facebook.com/rapplerdotcom/photos/a.317154781638645/5594453700575367/")</f>
        <v>https://www.facebook.com/rapplerdotcom/photos/a.317154781638645/5594453700575367/</v>
      </c>
      <c r="J2836" s="1" t="str">
        <f>IFERROR(__xludf.DUMMYFUNCTION("""COMPUTED_VALUE"""),"2022-07-04T15:53:36.545Z")</f>
        <v>2022-07-04T15:53:36.545Z</v>
      </c>
      <c r="K2836" s="1"/>
    </row>
    <row r="2837">
      <c r="A2837" s="2" t="str">
        <f>IFERROR(__xludf.DUMMYFUNCTION("""COMPUTED_VALUE"""),"https://www.facebook.com/joyteopengco")</f>
        <v>https://www.facebook.com/joyteopengco</v>
      </c>
      <c r="B2837" s="1" t="str">
        <f>IFERROR(__xludf.DUMMYFUNCTION("""COMPUTED_VALUE"""),"Joy Diohen")</f>
        <v>Joy Diohen</v>
      </c>
      <c r="C2837" s="1" t="str">
        <f>IFERROR(__xludf.DUMMYFUNCTION("""COMPUTED_VALUE"""),"Joy")</f>
        <v>Joy</v>
      </c>
      <c r="D2837" s="1" t="str">
        <f>IFERROR(__xludf.DUMMYFUNCTION("""COMPUTED_VALUE"""),"Diohen")</f>
        <v>Diohen</v>
      </c>
      <c r="E2837" s="1" t="str">
        <f>IFERROR(__xludf.DUMMYFUNCTION("""COMPUTED_VALUE"""),"And the truth will set us free!")</f>
        <v>And the truth will set us free!</v>
      </c>
      <c r="F2837" s="1"/>
      <c r="G2837" s="1" t="str">
        <f>IFERROR(__xludf.DUMMYFUNCTION("""COMPUTED_VALUE"""),"3 mos")</f>
        <v>3 mos</v>
      </c>
      <c r="H2837" s="1" t="str">
        <f>IFERROR(__xludf.DUMMYFUNCTION("""COMPUTED_VALUE"""),"comment")</f>
        <v>comment</v>
      </c>
      <c r="I2837" s="2" t="str">
        <f>IFERROR(__xludf.DUMMYFUNCTION("""COMPUTED_VALUE"""),"https://www.facebook.com/rapplerdotcom/photos/a.317154781638645/5594453700575367/")</f>
        <v>https://www.facebook.com/rapplerdotcom/photos/a.317154781638645/5594453700575367/</v>
      </c>
      <c r="J2837" s="1" t="str">
        <f>IFERROR(__xludf.DUMMYFUNCTION("""COMPUTED_VALUE"""),"2022-07-04T15:53:36.545Z")</f>
        <v>2022-07-04T15:53:36.545Z</v>
      </c>
      <c r="K2837" s="1"/>
    </row>
    <row r="2838">
      <c r="A2838" s="2" t="str">
        <f>IFERROR(__xludf.DUMMYFUNCTION("""COMPUTED_VALUE"""),"https://www.facebook.com/dennisdheus")</f>
        <v>https://www.facebook.com/dennisdheus</v>
      </c>
      <c r="B2838" s="1" t="str">
        <f>IFERROR(__xludf.DUMMYFUNCTION("""COMPUTED_VALUE"""),"Dennis Cayabyab")</f>
        <v>Dennis Cayabyab</v>
      </c>
      <c r="C2838" s="1" t="str">
        <f>IFERROR(__xludf.DUMMYFUNCTION("""COMPUTED_VALUE"""),"Dennis")</f>
        <v>Dennis</v>
      </c>
      <c r="D2838" s="1" t="str">
        <f>IFERROR(__xludf.DUMMYFUNCTION("""COMPUTED_VALUE"""),"Cayabyab")</f>
        <v>Cayabyab</v>
      </c>
      <c r="E2838" s="1" t="str">
        <f>IFERROR(__xludf.DUMMYFUNCTION("""COMPUTED_VALUE"""),"⁷So when they continued asking him, he lifted up himself, and said unto them, He that is without sin among you, let him first cast a stone at her.   John 8:7")</f>
        <v>⁷So when they continued asking him, he lifted up himself, and said unto them, He that is without sin among you, let him first cast a stone at her.   John 8:7</v>
      </c>
      <c r="F2838" s="1">
        <f>IFERROR(__xludf.DUMMYFUNCTION("""COMPUTED_VALUE"""),4.0)</f>
        <v>4</v>
      </c>
      <c r="G2838" s="1" t="str">
        <f>IFERROR(__xludf.DUMMYFUNCTION("""COMPUTED_VALUE"""),"3 mos")</f>
        <v>3 mos</v>
      </c>
      <c r="H2838" s="1" t="str">
        <f>IFERROR(__xludf.DUMMYFUNCTION("""COMPUTED_VALUE"""),"comment")</f>
        <v>comment</v>
      </c>
      <c r="I2838" s="2" t="str">
        <f>IFERROR(__xludf.DUMMYFUNCTION("""COMPUTED_VALUE"""),"https://www.facebook.com/rapplerdotcom/photos/a.317154781638645/5594453700575367/")</f>
        <v>https://www.facebook.com/rapplerdotcom/photos/a.317154781638645/5594453700575367/</v>
      </c>
      <c r="J2838" s="1" t="str">
        <f>IFERROR(__xludf.DUMMYFUNCTION("""COMPUTED_VALUE"""),"2022-07-04T15:53:36.545Z")</f>
        <v>2022-07-04T15:53:36.545Z</v>
      </c>
      <c r="K2838" s="1"/>
    </row>
    <row r="2839">
      <c r="A2839" s="2" t="str">
        <f>IFERROR(__xludf.DUMMYFUNCTION("""COMPUTED_VALUE"""),"https://www.facebook.com/Ninja.Kugmo")</f>
        <v>https://www.facebook.com/Ninja.Kugmo</v>
      </c>
      <c r="B2839" s="1" t="str">
        <f>IFERROR(__xludf.DUMMYFUNCTION("""COMPUTED_VALUE"""),"Si Tambok Ni")</f>
        <v>Si Tambok Ni</v>
      </c>
      <c r="C2839" s="1" t="str">
        <f>IFERROR(__xludf.DUMMYFUNCTION("""COMPUTED_VALUE"""),"Si")</f>
        <v>Si</v>
      </c>
      <c r="D2839" s="1" t="str">
        <f>IFERROR(__xludf.DUMMYFUNCTION("""COMPUTED_VALUE"""),"Tambok Ni")</f>
        <v>Tambok Ni</v>
      </c>
      <c r="E2839" s="1" t="str">
        <f>IFERROR(__xludf.DUMMYFUNCTION("""COMPUTED_VALUE"""),"Dennis Cayabyab You're kicken' now Bro glad to hear you man.")</f>
        <v>Dennis Cayabyab You're kicken' now Bro glad to hear you man.</v>
      </c>
      <c r="F2839" s="1"/>
      <c r="G2839" s="1" t="str">
        <f>IFERROR(__xludf.DUMMYFUNCTION("""COMPUTED_VALUE"""),"3 mos")</f>
        <v>3 mos</v>
      </c>
      <c r="H2839" s="1" t="str">
        <f>IFERROR(__xludf.DUMMYFUNCTION("""COMPUTED_VALUE"""),"reply")</f>
        <v>reply</v>
      </c>
      <c r="I2839" s="2" t="str">
        <f>IFERROR(__xludf.DUMMYFUNCTION("""COMPUTED_VALUE"""),"https://www.facebook.com/rapplerdotcom/photos/a.317154781638645/5594453700575367/")</f>
        <v>https://www.facebook.com/rapplerdotcom/photos/a.317154781638645/5594453700575367/</v>
      </c>
      <c r="J2839" s="1" t="str">
        <f>IFERROR(__xludf.DUMMYFUNCTION("""COMPUTED_VALUE"""),"2022-07-04T15:53:36.545Z")</f>
        <v>2022-07-04T15:53:36.545Z</v>
      </c>
      <c r="K2839" s="1"/>
    </row>
    <row r="2840">
      <c r="A2840" s="2" t="str">
        <f>IFERROR(__xludf.DUMMYFUNCTION("""COMPUTED_VALUE"""),"https://www.facebook.com/danilo.onggona.16")</f>
        <v>https://www.facebook.com/danilo.onggona.16</v>
      </c>
      <c r="B2840" s="1" t="str">
        <f>IFERROR(__xludf.DUMMYFUNCTION("""COMPUTED_VALUE"""),"Danny D. Anoggno")</f>
        <v>Danny D. Anoggno</v>
      </c>
      <c r="C2840" s="1" t="str">
        <f>IFERROR(__xludf.DUMMYFUNCTION("""COMPUTED_VALUE"""),"Danny")</f>
        <v>Danny</v>
      </c>
      <c r="D2840" s="1" t="str">
        <f>IFERROR(__xludf.DUMMYFUNCTION("""COMPUTED_VALUE"""),"D. Anoggno")</f>
        <v>D. Anoggno</v>
      </c>
      <c r="E2840" s="1" t="str">
        <f>IFERROR(__xludf.DUMMYFUNCTION("""COMPUTED_VALUE"""),"Dennis Cayabyab AMEN 🙏")</f>
        <v>Dennis Cayabyab AMEN 🙏</v>
      </c>
      <c r="F2840" s="1"/>
      <c r="G2840" s="1" t="str">
        <f>IFERROR(__xludf.DUMMYFUNCTION("""COMPUTED_VALUE"""),"3 mos")</f>
        <v>3 mos</v>
      </c>
      <c r="H2840" s="1" t="str">
        <f>IFERROR(__xludf.DUMMYFUNCTION("""COMPUTED_VALUE"""),"reply")</f>
        <v>reply</v>
      </c>
      <c r="I2840" s="2" t="str">
        <f>IFERROR(__xludf.DUMMYFUNCTION("""COMPUTED_VALUE"""),"https://www.facebook.com/rapplerdotcom/photos/a.317154781638645/5594453700575367/")</f>
        <v>https://www.facebook.com/rapplerdotcom/photos/a.317154781638645/5594453700575367/</v>
      </c>
      <c r="J2840" s="1" t="str">
        <f>IFERROR(__xludf.DUMMYFUNCTION("""COMPUTED_VALUE"""),"2022-07-04T15:53:36.545Z")</f>
        <v>2022-07-04T15:53:36.545Z</v>
      </c>
      <c r="K2840" s="1"/>
    </row>
    <row r="2841">
      <c r="A2841" s="2" t="str">
        <f>IFERROR(__xludf.DUMMYFUNCTION("""COMPUTED_VALUE"""),"https://www.facebook.com/austinmarkmccree")</f>
        <v>https://www.facebook.com/austinmarkmccree</v>
      </c>
      <c r="B2841" s="1" t="str">
        <f>IFERROR(__xludf.DUMMYFUNCTION("""COMPUTED_VALUE"""),"Austin McCree")</f>
        <v>Austin McCree</v>
      </c>
      <c r="C2841" s="1" t="str">
        <f>IFERROR(__xludf.DUMMYFUNCTION("""COMPUTED_VALUE"""),"Austin")</f>
        <v>Austin</v>
      </c>
      <c r="D2841" s="1" t="str">
        <f>IFERROR(__xludf.DUMMYFUNCTION("""COMPUTED_VALUE"""),"McCree")</f>
        <v>McCree</v>
      </c>
      <c r="E2841" s="1" t="str">
        <f>IFERROR(__xludf.DUMMYFUNCTION("""COMPUTED_VALUE"""),"Dennis Cayabyab Funny to hear a Bible verse cited here, because it completely lacks context.  There's a difference between casting a stone and stating facts. The quote comes from Jesus addressing the Pharisees who were more an ancient form of chismosos at"&amp;"tacking an adulteress.  This is not a personal matter such as that, this is the fate of a nation at stake. Manny has made countless mistakes, but they are not a legitimate reason to disregard what he is saying.  Please don't meaninglessly quote the Bible "&amp;"to make yourself look better than others. That is exactly what the Pharisees were doing. Instead, examine the situation at face value and you will see this Biblical verse does not apply.  We are all flawed, so whether religious or not, personally attackin"&amp;"g a single person is a lost cause in terms of making meaningful change. But this is public policy: if you misinterpret that verse, it essentially means no one is allowed to think critically.")</f>
        <v>Dennis Cayabyab Funny to hear a Bible verse cited here, because it completely lacks context.  There's a difference between casting a stone and stating facts. The quote comes from Jesus addressing the Pharisees who were more an ancient form of chismosos attacking an adulteress.  This is not a personal matter such as that, this is the fate of a nation at stake. Manny has made countless mistakes, but they are not a legitimate reason to disregard what he is saying.  Please don't meaninglessly quote the Bible to make yourself look better than others. That is exactly what the Pharisees were doing. Instead, examine the situation at face value and you will see this Biblical verse does not apply.  We are all flawed, so whether religious or not, personally attacking a single person is a lost cause in terms of making meaningful change. But this is public policy: if you misinterpret that verse, it essentially means no one is allowed to think critically.</v>
      </c>
      <c r="F2841" s="1"/>
      <c r="G2841" s="1" t="str">
        <f>IFERROR(__xludf.DUMMYFUNCTION("""COMPUTED_VALUE"""),"3 mos")</f>
        <v>3 mos</v>
      </c>
      <c r="H2841" s="1" t="str">
        <f>IFERROR(__xludf.DUMMYFUNCTION("""COMPUTED_VALUE"""),"reply")</f>
        <v>reply</v>
      </c>
      <c r="I2841" s="2" t="str">
        <f>IFERROR(__xludf.DUMMYFUNCTION("""COMPUTED_VALUE"""),"https://www.facebook.com/rapplerdotcom/photos/a.317154781638645/5594453700575367/")</f>
        <v>https://www.facebook.com/rapplerdotcom/photos/a.317154781638645/5594453700575367/</v>
      </c>
      <c r="J2841" s="1" t="str">
        <f>IFERROR(__xludf.DUMMYFUNCTION("""COMPUTED_VALUE"""),"2022-07-04T15:53:36.545Z")</f>
        <v>2022-07-04T15:53:36.545Z</v>
      </c>
      <c r="K2841" s="1"/>
    </row>
    <row r="2842">
      <c r="A2842" s="2" t="str">
        <f>IFERROR(__xludf.DUMMYFUNCTION("""COMPUTED_VALUE"""),"https://www.facebook.com/lalang.uv.3")</f>
        <v>https://www.facebook.com/lalang.uv.3</v>
      </c>
      <c r="B2842" s="1" t="str">
        <f>IFERROR(__xludf.DUMMYFUNCTION("""COMPUTED_VALUE"""),"Rechell Jane Tinampay Laudit")</f>
        <v>Rechell Jane Tinampay Laudit</v>
      </c>
      <c r="C2842" s="1" t="str">
        <f>IFERROR(__xludf.DUMMYFUNCTION("""COMPUTED_VALUE"""),"Rechell")</f>
        <v>Rechell</v>
      </c>
      <c r="D2842" s="1" t="str">
        <f>IFERROR(__xludf.DUMMYFUNCTION("""COMPUTED_VALUE"""),"Jane Tinampay Laudit")</f>
        <v>Jane Tinampay Laudit</v>
      </c>
      <c r="E2842" s="1" t="str">
        <f>IFERROR(__xludf.DUMMYFUNCTION("""COMPUTED_VALUE"""),"Talk to people who think like you. Harapan niyo Muna c Prof. Carlos and the other panellists let's measure how well informed or educated you are. Then, maybe we might change our minds.")</f>
        <v>Talk to people who think like you. Harapan niyo Muna c Prof. Carlos and the other panellists let's measure how well informed or educated you are. Then, maybe we might change our minds.</v>
      </c>
      <c r="F2842" s="1"/>
      <c r="G2842" s="1" t="str">
        <f>IFERROR(__xludf.DUMMYFUNCTION("""COMPUTED_VALUE"""),"3 mos")</f>
        <v>3 mos</v>
      </c>
      <c r="H2842" s="1" t="str">
        <f>IFERROR(__xludf.DUMMYFUNCTION("""COMPUTED_VALUE"""),"comment")</f>
        <v>comment</v>
      </c>
      <c r="I2842" s="2" t="str">
        <f>IFERROR(__xludf.DUMMYFUNCTION("""COMPUTED_VALUE"""),"https://www.facebook.com/rapplerdotcom/photos/a.317154781638645/5594453700575367/")</f>
        <v>https://www.facebook.com/rapplerdotcom/photos/a.317154781638645/5594453700575367/</v>
      </c>
      <c r="J2842" s="1" t="str">
        <f>IFERROR(__xludf.DUMMYFUNCTION("""COMPUTED_VALUE"""),"2022-07-04T15:53:36.545Z")</f>
        <v>2022-07-04T15:53:36.545Z</v>
      </c>
      <c r="K2842" s="1"/>
    </row>
    <row r="2843">
      <c r="A2843" s="2" t="str">
        <f>IFERROR(__xludf.DUMMYFUNCTION("""COMPUTED_VALUE"""),"https://www.facebook.com/dave.padilla.3348")</f>
        <v>https://www.facebook.com/dave.padilla.3348</v>
      </c>
      <c r="B2843" s="1" t="str">
        <f>IFERROR(__xludf.DUMMYFUNCTION("""COMPUTED_VALUE"""),"Dave Padilla")</f>
        <v>Dave Padilla</v>
      </c>
      <c r="C2843" s="1" t="str">
        <f>IFERROR(__xludf.DUMMYFUNCTION("""COMPUTED_VALUE"""),"Dave")</f>
        <v>Dave</v>
      </c>
      <c r="D2843" s="1" t="str">
        <f>IFERROR(__xludf.DUMMYFUNCTION("""COMPUTED_VALUE"""),"Padilla")</f>
        <v>Padilla</v>
      </c>
      <c r="E2843" s="1" t="str">
        <f>IFERROR(__xludf.DUMMYFUNCTION("""COMPUTED_VALUE"""),"what does the bible says about this..")</f>
        <v>what does the bible says about this..</v>
      </c>
      <c r="F2843" s="1"/>
      <c r="G2843" s="1" t="str">
        <f>IFERROR(__xludf.DUMMYFUNCTION("""COMPUTED_VALUE"""),"3 mos")</f>
        <v>3 mos</v>
      </c>
      <c r="H2843" s="1" t="str">
        <f>IFERROR(__xludf.DUMMYFUNCTION("""COMPUTED_VALUE"""),"comment")</f>
        <v>comment</v>
      </c>
      <c r="I2843" s="2" t="str">
        <f>IFERROR(__xludf.DUMMYFUNCTION("""COMPUTED_VALUE"""),"https://www.facebook.com/rapplerdotcom/photos/a.317154781638645/5594453700575367/")</f>
        <v>https://www.facebook.com/rapplerdotcom/photos/a.317154781638645/5594453700575367/</v>
      </c>
      <c r="J2843" s="1" t="str">
        <f>IFERROR(__xludf.DUMMYFUNCTION("""COMPUTED_VALUE"""),"2022-07-04T15:53:36.545Z")</f>
        <v>2022-07-04T15:53:36.545Z</v>
      </c>
      <c r="K2843" s="1"/>
    </row>
    <row r="2844">
      <c r="A2844" s="2" t="str">
        <f>IFERROR(__xludf.DUMMYFUNCTION("""COMPUTED_VALUE"""),"https://www.facebook.com/noel.manuel.52")</f>
        <v>https://www.facebook.com/noel.manuel.52</v>
      </c>
      <c r="B2844" s="1" t="str">
        <f>IFERROR(__xludf.DUMMYFUNCTION("""COMPUTED_VALUE"""),"Noe Manuel")</f>
        <v>Noe Manuel</v>
      </c>
      <c r="C2844" s="1" t="str">
        <f>IFERROR(__xludf.DUMMYFUNCTION("""COMPUTED_VALUE"""),"Noe")</f>
        <v>Noe</v>
      </c>
      <c r="D2844" s="1" t="str">
        <f>IFERROR(__xludf.DUMMYFUNCTION("""COMPUTED_VALUE"""),"Manuel")</f>
        <v>Manuel</v>
      </c>
      <c r="E2844" s="1" t="str">
        <f>IFERROR(__xludf.DUMMYFUNCTION("""COMPUTED_VALUE"""),"Correct kaya Di umunlad ang pinas dahil pagnakaupo na nakaw Dito nakaw doon………….")</f>
        <v>Correct kaya Di umunlad ang pinas dahil pagnakaupo na nakaw Dito nakaw doon………….</v>
      </c>
      <c r="F2844" s="1">
        <f>IFERROR(__xludf.DUMMYFUNCTION("""COMPUTED_VALUE"""),1.0)</f>
        <v>1</v>
      </c>
      <c r="G2844" s="1" t="str">
        <f>IFERROR(__xludf.DUMMYFUNCTION("""COMPUTED_VALUE"""),"3 mos")</f>
        <v>3 mos</v>
      </c>
      <c r="H2844" s="1" t="str">
        <f>IFERROR(__xludf.DUMMYFUNCTION("""COMPUTED_VALUE"""),"comment")</f>
        <v>comment</v>
      </c>
      <c r="I2844" s="2" t="str">
        <f>IFERROR(__xludf.DUMMYFUNCTION("""COMPUTED_VALUE"""),"https://www.facebook.com/rapplerdotcom/photos/a.317154781638645/5594453700575367/")</f>
        <v>https://www.facebook.com/rapplerdotcom/photos/a.317154781638645/5594453700575367/</v>
      </c>
      <c r="J2844" s="1" t="str">
        <f>IFERROR(__xludf.DUMMYFUNCTION("""COMPUTED_VALUE"""),"2022-07-04T15:53:36.545Z")</f>
        <v>2022-07-04T15:53:36.545Z</v>
      </c>
      <c r="K2844" s="1"/>
    </row>
    <row r="2845">
      <c r="A2845" s="2" t="str">
        <f>IFERROR(__xludf.DUMMYFUNCTION("""COMPUTED_VALUE"""),"https://www.facebook.com/jimmy.pascua.5")</f>
        <v>https://www.facebook.com/jimmy.pascua.5</v>
      </c>
      <c r="B2845" s="1" t="str">
        <f>IFERROR(__xludf.DUMMYFUNCTION("""COMPUTED_VALUE"""),"Jimmy Navidad")</f>
        <v>Jimmy Navidad</v>
      </c>
      <c r="C2845" s="1" t="str">
        <f>IFERROR(__xludf.DUMMYFUNCTION("""COMPUTED_VALUE"""),"Jimmy")</f>
        <v>Jimmy</v>
      </c>
      <c r="D2845" s="1" t="str">
        <f>IFERROR(__xludf.DUMMYFUNCTION("""COMPUTED_VALUE"""),"Navidad")</f>
        <v>Navidad</v>
      </c>
      <c r="E2845" s="1" t="str">
        <f>IFERROR(__xludf.DUMMYFUNCTION("""COMPUTED_VALUE"""),"dami nawala bilib sa yo... gaya ka sana ni Ka Efren na isa rin Alamat pero nananatiling mapagkumbaba... "" Stay Humble and Give the Glory to the LORD""...")</f>
        <v>dami nawala bilib sa yo... gaya ka sana ni Ka Efren na isa rin Alamat pero nananatiling mapagkumbaba... " Stay Humble and Give the Glory to the LORD"...</v>
      </c>
      <c r="F2845" s="1">
        <f>IFERROR(__xludf.DUMMYFUNCTION("""COMPUTED_VALUE"""),3.0)</f>
        <v>3</v>
      </c>
      <c r="G2845" s="1" t="str">
        <f>IFERROR(__xludf.DUMMYFUNCTION("""COMPUTED_VALUE"""),"3 mos")</f>
        <v>3 mos</v>
      </c>
      <c r="H2845" s="1" t="str">
        <f>IFERROR(__xludf.DUMMYFUNCTION("""COMPUTED_VALUE"""),"comment")</f>
        <v>comment</v>
      </c>
      <c r="I2845" s="2" t="str">
        <f>IFERROR(__xludf.DUMMYFUNCTION("""COMPUTED_VALUE"""),"https://www.facebook.com/rapplerdotcom/photos/a.317154781638645/5594453700575367/")</f>
        <v>https://www.facebook.com/rapplerdotcom/photos/a.317154781638645/5594453700575367/</v>
      </c>
      <c r="J2845" s="1" t="str">
        <f>IFERROR(__xludf.DUMMYFUNCTION("""COMPUTED_VALUE"""),"2022-07-04T15:53:36.545Z")</f>
        <v>2022-07-04T15:53:36.545Z</v>
      </c>
      <c r="K2845" s="1"/>
    </row>
    <row r="2846">
      <c r="A2846" s="2" t="str">
        <f>IFERROR(__xludf.DUMMYFUNCTION("""COMPUTED_VALUE"""),"https://www.facebook.com/malou.b.delapaz")</f>
        <v>https://www.facebook.com/malou.b.delapaz</v>
      </c>
      <c r="B2846" s="1" t="str">
        <f>IFERROR(__xludf.DUMMYFUNCTION("""COMPUTED_VALUE"""),"Ma Lou Dela Paz")</f>
        <v>Ma Lou Dela Paz</v>
      </c>
      <c r="C2846" s="1" t="str">
        <f>IFERROR(__xludf.DUMMYFUNCTION("""COMPUTED_VALUE"""),"Ma")</f>
        <v>Ma</v>
      </c>
      <c r="D2846" s="1" t="str">
        <f>IFERROR(__xludf.DUMMYFUNCTION("""COMPUTED_VALUE"""),"Lou Dela Paz")</f>
        <v>Lou Dela Paz</v>
      </c>
      <c r="E2846" s="1" t="str">
        <f>IFERROR(__xludf.DUMMYFUNCTION("""COMPUTED_VALUE"""),"Tumpak!")</f>
        <v>Tumpak!</v>
      </c>
      <c r="F2846" s="1">
        <f>IFERROR(__xludf.DUMMYFUNCTION("""COMPUTED_VALUE"""),1.0)</f>
        <v>1</v>
      </c>
      <c r="G2846" s="1" t="str">
        <f>IFERROR(__xludf.DUMMYFUNCTION("""COMPUTED_VALUE"""),"3 mos")</f>
        <v>3 mos</v>
      </c>
      <c r="H2846" s="1" t="str">
        <f>IFERROR(__xludf.DUMMYFUNCTION("""COMPUTED_VALUE"""),"comment")</f>
        <v>comment</v>
      </c>
      <c r="I2846" s="2" t="str">
        <f>IFERROR(__xludf.DUMMYFUNCTION("""COMPUTED_VALUE"""),"https://www.facebook.com/rapplerdotcom/photos/a.317154781638645/5594453700575367/")</f>
        <v>https://www.facebook.com/rapplerdotcom/photos/a.317154781638645/5594453700575367/</v>
      </c>
      <c r="J2846" s="1" t="str">
        <f>IFERROR(__xludf.DUMMYFUNCTION("""COMPUTED_VALUE"""),"2022-07-04T15:53:36.545Z")</f>
        <v>2022-07-04T15:53:36.545Z</v>
      </c>
      <c r="K2846" s="1"/>
    </row>
    <row r="2847">
      <c r="A2847" s="2" t="str">
        <f>IFERROR(__xludf.DUMMYFUNCTION("""COMPUTED_VALUE"""),"https://www.facebook.com/profile.php?id=100077329839114")</f>
        <v>https://www.facebook.com/profile.php?id=100077329839114</v>
      </c>
      <c r="B2847" s="1" t="str">
        <f>IFERROR(__xludf.DUMMYFUNCTION("""COMPUTED_VALUE"""),"Nestor Buensalida")</f>
        <v>Nestor Buensalida</v>
      </c>
      <c r="C2847" s="1" t="str">
        <f>IFERROR(__xludf.DUMMYFUNCTION("""COMPUTED_VALUE"""),"Nestor")</f>
        <v>Nestor</v>
      </c>
      <c r="D2847" s="1" t="str">
        <f>IFERROR(__xludf.DUMMYFUNCTION("""COMPUTED_VALUE"""),"Buensalida")</f>
        <v>Buensalida</v>
      </c>
      <c r="E2847" s="1" t="str">
        <f>IFERROR(__xludf.DUMMYFUNCTION("""COMPUTED_VALUE"""),"That always make sense, Kaya nga think and vote wisely. Make a stand for new system of government and leaders who always fight for the truth and with transparent leadership.")</f>
        <v>That always make sense, Kaya nga think and vote wisely. Make a stand for new system of government and leaders who always fight for the truth and with transparent leadership.</v>
      </c>
      <c r="F2847" s="1"/>
      <c r="G2847" s="1" t="str">
        <f>IFERROR(__xludf.DUMMYFUNCTION("""COMPUTED_VALUE"""),"3 mos")</f>
        <v>3 mos</v>
      </c>
      <c r="H2847" s="1" t="str">
        <f>IFERROR(__xludf.DUMMYFUNCTION("""COMPUTED_VALUE"""),"comment")</f>
        <v>comment</v>
      </c>
      <c r="I2847" s="2" t="str">
        <f>IFERROR(__xludf.DUMMYFUNCTION("""COMPUTED_VALUE"""),"https://www.facebook.com/rapplerdotcom/photos/a.317154781638645/5594453700575367/")</f>
        <v>https://www.facebook.com/rapplerdotcom/photos/a.317154781638645/5594453700575367/</v>
      </c>
      <c r="J2847" s="1" t="str">
        <f>IFERROR(__xludf.DUMMYFUNCTION("""COMPUTED_VALUE"""),"2022-07-04T15:53:36.545Z")</f>
        <v>2022-07-04T15:53:36.545Z</v>
      </c>
      <c r="K2847" s="1"/>
    </row>
    <row r="2848">
      <c r="A2848" s="2" t="str">
        <f>IFERROR(__xludf.DUMMYFUNCTION("""COMPUTED_VALUE"""),"https://www.facebook.com/Babe.Serrano")</f>
        <v>https://www.facebook.com/Babe.Serrano</v>
      </c>
      <c r="B2848" s="1" t="str">
        <f>IFERROR(__xludf.DUMMYFUNCTION("""COMPUTED_VALUE"""),"Um Bader Serrano")</f>
        <v>Um Bader Serrano</v>
      </c>
      <c r="C2848" s="1" t="str">
        <f>IFERROR(__xludf.DUMMYFUNCTION("""COMPUTED_VALUE"""),"Um")</f>
        <v>Um</v>
      </c>
      <c r="D2848" s="1" t="str">
        <f>IFERROR(__xludf.DUMMYFUNCTION("""COMPUTED_VALUE"""),"Bader Serrano")</f>
        <v>Bader Serrano</v>
      </c>
      <c r="E2848" s="1" t="str">
        <f>IFERROR(__xludf.DUMMYFUNCTION("""COMPUTED_VALUE"""),"Real talk po tau🤷 Wala ninu man sa mga candidates na mag pa2kain sa Pamilya natin  kung d tau din..")</f>
        <v>Real talk po tau🤷 Wala ninu man sa mga candidates na mag pa2kain sa Pamilya natin  kung d tau din..</v>
      </c>
      <c r="F2848" s="1">
        <f>IFERROR(__xludf.DUMMYFUNCTION("""COMPUTED_VALUE"""),1.0)</f>
        <v>1</v>
      </c>
      <c r="G2848" s="1" t="str">
        <f>IFERROR(__xludf.DUMMYFUNCTION("""COMPUTED_VALUE"""),"3 mos")</f>
        <v>3 mos</v>
      </c>
      <c r="H2848" s="1" t="str">
        <f>IFERROR(__xludf.DUMMYFUNCTION("""COMPUTED_VALUE"""),"comment")</f>
        <v>comment</v>
      </c>
      <c r="I2848" s="2" t="str">
        <f>IFERROR(__xludf.DUMMYFUNCTION("""COMPUTED_VALUE"""),"https://www.facebook.com/rapplerdotcom/photos/a.317154781638645/5594453700575367/")</f>
        <v>https://www.facebook.com/rapplerdotcom/photos/a.317154781638645/5594453700575367/</v>
      </c>
      <c r="J2848" s="1" t="str">
        <f>IFERROR(__xludf.DUMMYFUNCTION("""COMPUTED_VALUE"""),"2022-07-04T15:53:36.545Z")</f>
        <v>2022-07-04T15:53:36.545Z</v>
      </c>
      <c r="K2848" s="1"/>
    </row>
    <row r="2849">
      <c r="A2849" s="2" t="str">
        <f>IFERROR(__xludf.DUMMYFUNCTION("""COMPUTED_VALUE"""),"https://www.facebook.com/azon.delrosario.1")</f>
        <v>https://www.facebook.com/azon.delrosario.1</v>
      </c>
      <c r="B2849" s="1" t="str">
        <f>IFERROR(__xludf.DUMMYFUNCTION("""COMPUTED_VALUE"""),"Corazon Del Rosario")</f>
        <v>Corazon Del Rosario</v>
      </c>
      <c r="C2849" s="1" t="str">
        <f>IFERROR(__xludf.DUMMYFUNCTION("""COMPUTED_VALUE"""),"Corazon")</f>
        <v>Corazon</v>
      </c>
      <c r="D2849" s="1" t="str">
        <f>IFERROR(__xludf.DUMMYFUNCTION("""COMPUTED_VALUE"""),"Del Rosario")</f>
        <v>Del Rosario</v>
      </c>
      <c r="E2849" s="1" t="str">
        <f>IFERROR(__xludf.DUMMYFUNCTION("""COMPUTED_VALUE"""),"Hopeless  na candidate 😂😂")</f>
        <v>Hopeless  na candidate 😂😂</v>
      </c>
      <c r="F2849" s="1"/>
      <c r="G2849" s="1" t="str">
        <f>IFERROR(__xludf.DUMMYFUNCTION("""COMPUTED_VALUE"""),"3 mos")</f>
        <v>3 mos</v>
      </c>
      <c r="H2849" s="1" t="str">
        <f>IFERROR(__xludf.DUMMYFUNCTION("""COMPUTED_VALUE"""),"comment")</f>
        <v>comment</v>
      </c>
      <c r="I2849" s="2" t="str">
        <f>IFERROR(__xludf.DUMMYFUNCTION("""COMPUTED_VALUE"""),"https://www.facebook.com/rapplerdotcom/photos/a.317154781638645/5594453700575367/")</f>
        <v>https://www.facebook.com/rapplerdotcom/photos/a.317154781638645/5594453700575367/</v>
      </c>
      <c r="J2849" s="1" t="str">
        <f>IFERROR(__xludf.DUMMYFUNCTION("""COMPUTED_VALUE"""),"2022-07-04T15:53:36.545Z")</f>
        <v>2022-07-04T15:53:36.545Z</v>
      </c>
      <c r="K2849" s="1"/>
    </row>
    <row r="2850">
      <c r="A2850" s="2" t="str">
        <f>IFERROR(__xludf.DUMMYFUNCTION("""COMPUTED_VALUE"""),"https://www.facebook.com/profile.php?id=100007043323184")</f>
        <v>https://www.facebook.com/profile.php?id=100007043323184</v>
      </c>
      <c r="B2850" s="1" t="str">
        <f>IFERROR(__xludf.DUMMYFUNCTION("""COMPUTED_VALUE"""),"Ethel Pastrana Lavin")</f>
        <v>Ethel Pastrana Lavin</v>
      </c>
      <c r="C2850" s="1" t="str">
        <f>IFERROR(__xludf.DUMMYFUNCTION("""COMPUTED_VALUE"""),"Ethel")</f>
        <v>Ethel</v>
      </c>
      <c r="D2850" s="1" t="str">
        <f>IFERROR(__xludf.DUMMYFUNCTION("""COMPUTED_VALUE"""),"Pastrana Lavin")</f>
        <v>Pastrana Lavin</v>
      </c>
      <c r="E2850" s="1" t="str">
        <f>IFERROR(__xludf.DUMMYFUNCTION("""COMPUTED_VALUE"""),"AMEN! 🙏🙏🙏❤️❤️❤️")</f>
        <v>AMEN! 🙏🙏🙏❤️❤️❤️</v>
      </c>
      <c r="F2850" s="1"/>
      <c r="G2850" s="1" t="str">
        <f>IFERROR(__xludf.DUMMYFUNCTION("""COMPUTED_VALUE"""),"3 mos")</f>
        <v>3 mos</v>
      </c>
      <c r="H2850" s="1" t="str">
        <f>IFERROR(__xludf.DUMMYFUNCTION("""COMPUTED_VALUE"""),"comment")</f>
        <v>comment</v>
      </c>
      <c r="I2850" s="2" t="str">
        <f>IFERROR(__xludf.DUMMYFUNCTION("""COMPUTED_VALUE"""),"https://www.facebook.com/rapplerdotcom/photos/a.317154781638645/5594453700575367/")</f>
        <v>https://www.facebook.com/rapplerdotcom/photos/a.317154781638645/5594453700575367/</v>
      </c>
      <c r="J2850" s="1" t="str">
        <f>IFERROR(__xludf.DUMMYFUNCTION("""COMPUTED_VALUE"""),"2022-07-04T15:53:36.545Z")</f>
        <v>2022-07-04T15:53:36.545Z</v>
      </c>
      <c r="K2850" s="1"/>
    </row>
    <row r="2851">
      <c r="A2851" s="2" t="str">
        <f>IFERROR(__xludf.DUMMYFUNCTION("""COMPUTED_VALUE"""),"https://www.facebook.com/gracey.lay.9")</f>
        <v>https://www.facebook.com/gracey.lay.9</v>
      </c>
      <c r="B2851" s="1" t="str">
        <f>IFERROR(__xludf.DUMMYFUNCTION("""COMPUTED_VALUE"""),"Grace Gomez")</f>
        <v>Grace Gomez</v>
      </c>
      <c r="C2851" s="1" t="str">
        <f>IFERROR(__xludf.DUMMYFUNCTION("""COMPUTED_VALUE"""),"Grace")</f>
        <v>Grace</v>
      </c>
      <c r="D2851" s="1" t="str">
        <f>IFERROR(__xludf.DUMMYFUNCTION("""COMPUTED_VALUE"""),"Gomez")</f>
        <v>Gomez</v>
      </c>
      <c r="E2851" s="1" t="str">
        <f>IFERROR(__xludf.DUMMYFUNCTION("""COMPUTED_VALUE"""),"minsan sa bubay natin nagnakaw di  tau..haha..iba nga dyan di sa office nila sila may ninakaw...hindi remit ang pang Sss hahaha")</f>
        <v>minsan sa bubay natin nagnakaw di  tau..haha..iba nga dyan di sa office nila sila may ninakaw...hindi remit ang pang Sss hahaha</v>
      </c>
      <c r="F2851" s="1"/>
      <c r="G2851" s="1" t="str">
        <f>IFERROR(__xludf.DUMMYFUNCTION("""COMPUTED_VALUE"""),"3 mos")</f>
        <v>3 mos</v>
      </c>
      <c r="H2851" s="1" t="str">
        <f>IFERROR(__xludf.DUMMYFUNCTION("""COMPUTED_VALUE"""),"comment")</f>
        <v>comment</v>
      </c>
      <c r="I2851" s="2" t="str">
        <f>IFERROR(__xludf.DUMMYFUNCTION("""COMPUTED_VALUE"""),"https://www.facebook.com/rapplerdotcom/photos/a.317154781638645/5594453700575367/")</f>
        <v>https://www.facebook.com/rapplerdotcom/photos/a.317154781638645/5594453700575367/</v>
      </c>
      <c r="J2851" s="1" t="str">
        <f>IFERROR(__xludf.DUMMYFUNCTION("""COMPUTED_VALUE"""),"2022-07-04T15:53:36.545Z")</f>
        <v>2022-07-04T15:53:36.545Z</v>
      </c>
      <c r="K2851" s="1"/>
    </row>
    <row r="2852">
      <c r="A2852" s="2" t="str">
        <f>IFERROR(__xludf.DUMMYFUNCTION("""COMPUTED_VALUE"""),"https://www.facebook.com/ramil.delarosa.5")</f>
        <v>https://www.facebook.com/ramil.delarosa.5</v>
      </c>
      <c r="B2852" s="1" t="str">
        <f>IFERROR(__xludf.DUMMYFUNCTION("""COMPUTED_VALUE"""),"Ramil Dela Rosa")</f>
        <v>Ramil Dela Rosa</v>
      </c>
      <c r="C2852" s="1" t="str">
        <f>IFERROR(__xludf.DUMMYFUNCTION("""COMPUTED_VALUE"""),"Ramil")</f>
        <v>Ramil</v>
      </c>
      <c r="D2852" s="1" t="str">
        <f>IFERROR(__xludf.DUMMYFUNCTION("""COMPUTED_VALUE"""),"Dela Rosa")</f>
        <v>Dela Rosa</v>
      </c>
      <c r="E2852" s="1" t="str">
        <f>IFERROR(__xludf.DUMMYFUNCTION("""COMPUTED_VALUE"""),"Kaya ayaw kahit one on one debate.....nyahaha. Go Manny!!!")</f>
        <v>Kaya ayaw kahit one on one debate.....nyahaha. Go Manny!!!</v>
      </c>
      <c r="F2852" s="1">
        <f>IFERROR(__xludf.DUMMYFUNCTION("""COMPUTED_VALUE"""),4.0)</f>
        <v>4</v>
      </c>
      <c r="G2852" s="1" t="str">
        <f>IFERROR(__xludf.DUMMYFUNCTION("""COMPUTED_VALUE"""),"3 mos")</f>
        <v>3 mos</v>
      </c>
      <c r="H2852" s="1" t="str">
        <f>IFERROR(__xludf.DUMMYFUNCTION("""COMPUTED_VALUE"""),"comment")</f>
        <v>comment</v>
      </c>
      <c r="I2852" s="2" t="str">
        <f>IFERROR(__xludf.DUMMYFUNCTION("""COMPUTED_VALUE"""),"https://www.facebook.com/rapplerdotcom/photos/a.317154781638645/5594453700575367/")</f>
        <v>https://www.facebook.com/rapplerdotcom/photos/a.317154781638645/5594453700575367/</v>
      </c>
      <c r="J2852" s="1" t="str">
        <f>IFERROR(__xludf.DUMMYFUNCTION("""COMPUTED_VALUE"""),"2022-07-04T15:53:36.545Z")</f>
        <v>2022-07-04T15:53:36.545Z</v>
      </c>
      <c r="K2852" s="1"/>
    </row>
    <row r="2853">
      <c r="A2853" s="2" t="str">
        <f>IFERROR(__xludf.DUMMYFUNCTION("""COMPUTED_VALUE"""),"https://www.facebook.com/profile.php?id=100009365788837")</f>
        <v>https://www.facebook.com/profile.php?id=100009365788837</v>
      </c>
      <c r="B2853" s="1" t="str">
        <f>IFERROR(__xludf.DUMMYFUNCTION("""COMPUTED_VALUE"""),"Joshua Nicdao")</f>
        <v>Joshua Nicdao</v>
      </c>
      <c r="C2853" s="1" t="str">
        <f>IFERROR(__xludf.DUMMYFUNCTION("""COMPUTED_VALUE"""),"Joshua")</f>
        <v>Joshua</v>
      </c>
      <c r="D2853" s="1" t="str">
        <f>IFERROR(__xludf.DUMMYFUNCTION("""COMPUTED_VALUE"""),"Nicdao")</f>
        <v>Nicdao</v>
      </c>
      <c r="E2853" s="1" t="str">
        <f>IFERROR(__xludf.DUMMYFUNCTION("""COMPUTED_VALUE"""),"Convince us more pa😁")</f>
        <v>Convince us more pa😁</v>
      </c>
      <c r="F2853" s="1"/>
      <c r="G2853" s="1" t="str">
        <f>IFERROR(__xludf.DUMMYFUNCTION("""COMPUTED_VALUE"""),"3 mos")</f>
        <v>3 mos</v>
      </c>
      <c r="H2853" s="1" t="str">
        <f>IFERROR(__xludf.DUMMYFUNCTION("""COMPUTED_VALUE"""),"comment")</f>
        <v>comment</v>
      </c>
      <c r="I2853" s="2" t="str">
        <f>IFERROR(__xludf.DUMMYFUNCTION("""COMPUTED_VALUE"""),"https://www.facebook.com/rapplerdotcom/photos/a.317154781638645/5594453700575367/")</f>
        <v>https://www.facebook.com/rapplerdotcom/photos/a.317154781638645/5594453700575367/</v>
      </c>
      <c r="J2853" s="1" t="str">
        <f>IFERROR(__xludf.DUMMYFUNCTION("""COMPUTED_VALUE"""),"2022-07-04T15:53:36.545Z")</f>
        <v>2022-07-04T15:53:36.545Z</v>
      </c>
      <c r="K2853" s="1"/>
    </row>
    <row r="2854">
      <c r="A2854" s="2" t="str">
        <f>IFERROR(__xludf.DUMMYFUNCTION("""COMPUTED_VALUE"""),"https://www.facebook.com/profile.php?id=100075535575222")</f>
        <v>https://www.facebook.com/profile.php?id=100075535575222</v>
      </c>
      <c r="B2854" s="1" t="str">
        <f>IFERROR(__xludf.DUMMYFUNCTION("""COMPUTED_VALUE"""),"Patricia Paula Galang")</f>
        <v>Patricia Paula Galang</v>
      </c>
      <c r="C2854" s="1" t="str">
        <f>IFERROR(__xludf.DUMMYFUNCTION("""COMPUTED_VALUE"""),"Patricia")</f>
        <v>Patricia</v>
      </c>
      <c r="D2854" s="1" t="str">
        <f>IFERROR(__xludf.DUMMYFUNCTION("""COMPUTED_VALUE"""),"Paula Galang")</f>
        <v>Paula Galang</v>
      </c>
      <c r="E2854" s="1" t="str">
        <f>IFERROR(__xludf.DUMMYFUNCTION("""COMPUTED_VALUE"""),"Sarili if we vote wrong candidate")</f>
        <v>Sarili if we vote wrong candidate</v>
      </c>
      <c r="F2854" s="1">
        <f>IFERROR(__xludf.DUMMYFUNCTION("""COMPUTED_VALUE"""),1.0)</f>
        <v>1</v>
      </c>
      <c r="G2854" s="1" t="str">
        <f>IFERROR(__xludf.DUMMYFUNCTION("""COMPUTED_VALUE"""),"3 mos")</f>
        <v>3 mos</v>
      </c>
      <c r="H2854" s="1" t="str">
        <f>IFERROR(__xludf.DUMMYFUNCTION("""COMPUTED_VALUE"""),"comment")</f>
        <v>comment</v>
      </c>
      <c r="I2854" s="2" t="str">
        <f>IFERROR(__xludf.DUMMYFUNCTION("""COMPUTED_VALUE"""),"https://www.facebook.com/rapplerdotcom/photos/a.317154781638645/5594453700575367/")</f>
        <v>https://www.facebook.com/rapplerdotcom/photos/a.317154781638645/5594453700575367/</v>
      </c>
      <c r="J2854" s="1" t="str">
        <f>IFERROR(__xludf.DUMMYFUNCTION("""COMPUTED_VALUE"""),"2022-07-04T15:53:36.545Z")</f>
        <v>2022-07-04T15:53:36.545Z</v>
      </c>
      <c r="K2854" s="1"/>
    </row>
    <row r="2855">
      <c r="A2855" s="2" t="str">
        <f>IFERROR(__xludf.DUMMYFUNCTION("""COMPUTED_VALUE"""),"https://www.facebook.com/gloria.bumanglag.56")</f>
        <v>https://www.facebook.com/gloria.bumanglag.56</v>
      </c>
      <c r="B2855" s="1" t="str">
        <f>IFERROR(__xludf.DUMMYFUNCTION("""COMPUTED_VALUE"""),"Gloria Bumanglag")</f>
        <v>Gloria Bumanglag</v>
      </c>
      <c r="C2855" s="1" t="str">
        <f>IFERROR(__xludf.DUMMYFUNCTION("""COMPUTED_VALUE"""),"Gloria")</f>
        <v>Gloria</v>
      </c>
      <c r="D2855" s="1" t="str">
        <f>IFERROR(__xludf.DUMMYFUNCTION("""COMPUTED_VALUE"""),"Bumanglag")</f>
        <v>Bumanglag</v>
      </c>
      <c r="E2855" s="1" t="str">
        <f>IFERROR(__xludf.DUMMYFUNCTION("""COMPUTED_VALUE"""),"No vote  pakyaw")</f>
        <v>No vote  pakyaw</v>
      </c>
      <c r="F2855" s="1">
        <f>IFERROR(__xludf.DUMMYFUNCTION("""COMPUTED_VALUE"""),3.0)</f>
        <v>3</v>
      </c>
      <c r="G2855" s="1" t="str">
        <f>IFERROR(__xludf.DUMMYFUNCTION("""COMPUTED_VALUE"""),"3 mos")</f>
        <v>3 mos</v>
      </c>
      <c r="H2855" s="1" t="str">
        <f>IFERROR(__xludf.DUMMYFUNCTION("""COMPUTED_VALUE"""),"comment")</f>
        <v>comment</v>
      </c>
      <c r="I2855" s="2" t="str">
        <f>IFERROR(__xludf.DUMMYFUNCTION("""COMPUTED_VALUE"""),"https://www.facebook.com/rapplerdotcom/photos/a.317154781638645/5594453700575367/")</f>
        <v>https://www.facebook.com/rapplerdotcom/photos/a.317154781638645/5594453700575367/</v>
      </c>
      <c r="J2855" s="1" t="str">
        <f>IFERROR(__xludf.DUMMYFUNCTION("""COMPUTED_VALUE"""),"2022-07-04T15:53:36.545Z")</f>
        <v>2022-07-04T15:53:36.545Z</v>
      </c>
      <c r="K2855" s="1"/>
    </row>
    <row r="2856">
      <c r="A2856" s="2" t="str">
        <f>IFERROR(__xludf.DUMMYFUNCTION("""COMPUTED_VALUE"""),"https://www.facebook.com/may.atr.5623")</f>
        <v>https://www.facebook.com/may.atr.5623</v>
      </c>
      <c r="B2856" s="1" t="str">
        <f>IFERROR(__xludf.DUMMYFUNCTION("""COMPUTED_VALUE"""),"May Atr")</f>
        <v>May Atr</v>
      </c>
      <c r="C2856" s="1" t="str">
        <f>IFERROR(__xludf.DUMMYFUNCTION("""COMPUTED_VALUE"""),"May")</f>
        <v>May</v>
      </c>
      <c r="D2856" s="1" t="str">
        <f>IFERROR(__xludf.DUMMYFUNCTION("""COMPUTED_VALUE"""),"Atr")</f>
        <v>Atr</v>
      </c>
      <c r="E2856" s="1" t="str">
        <f>IFERROR(__xludf.DUMMYFUNCTION("""COMPUTED_VALUE"""),"manny support na lang our Sports, ang daming athlete na lumipat sa US kasi di nasuportahan ng gobyerno like michael martinez, wesley so , forte mo ang sports, dun ka na lng sana, you can help kahit d ka presidente")</f>
        <v>manny support na lang our Sports, ang daming athlete na lumipat sa US kasi di nasuportahan ng gobyerno like michael martinez, wesley so , forte mo ang sports, dun ka na lng sana, you can help kahit d ka presidente</v>
      </c>
      <c r="F2856" s="1"/>
      <c r="G2856" s="1" t="str">
        <f>IFERROR(__xludf.DUMMYFUNCTION("""COMPUTED_VALUE"""),"3 mos")</f>
        <v>3 mos</v>
      </c>
      <c r="H2856" s="1" t="str">
        <f>IFERROR(__xludf.DUMMYFUNCTION("""COMPUTED_VALUE"""),"comment")</f>
        <v>comment</v>
      </c>
      <c r="I2856" s="2" t="str">
        <f>IFERROR(__xludf.DUMMYFUNCTION("""COMPUTED_VALUE"""),"https://www.facebook.com/rapplerdotcom/photos/a.317154781638645/5594453700575367/")</f>
        <v>https://www.facebook.com/rapplerdotcom/photos/a.317154781638645/5594453700575367/</v>
      </c>
      <c r="J2856" s="1" t="str">
        <f>IFERROR(__xludf.DUMMYFUNCTION("""COMPUTED_VALUE"""),"2022-07-04T15:53:36.545Z")</f>
        <v>2022-07-04T15:53:36.545Z</v>
      </c>
      <c r="K2856" s="1"/>
    </row>
    <row r="2857">
      <c r="A2857" s="2" t="str">
        <f>IFERROR(__xludf.DUMMYFUNCTION("""COMPUTED_VALUE"""),"https://www.facebook.com/jojo.lagaya.9")</f>
        <v>https://www.facebook.com/jojo.lagaya.9</v>
      </c>
      <c r="B2857" s="1" t="str">
        <f>IFERROR(__xludf.DUMMYFUNCTION("""COMPUTED_VALUE"""),"Jojo Lagaya")</f>
        <v>Jojo Lagaya</v>
      </c>
      <c r="C2857" s="1" t="str">
        <f>IFERROR(__xludf.DUMMYFUNCTION("""COMPUTED_VALUE"""),"Jojo")</f>
        <v>Jojo</v>
      </c>
      <c r="D2857" s="1" t="str">
        <f>IFERROR(__xludf.DUMMYFUNCTION("""COMPUTED_VALUE"""),"Lagaya")</f>
        <v>Lagaya</v>
      </c>
      <c r="E2857" s="1" t="str">
        <f>IFERROR(__xludf.DUMMYFUNCTION("""COMPUTED_VALUE"""),"Tumigil kana Pacquiao lalo ka lang nasisira sa mga tao. Lumalabas na yung pangit mong ugali.")</f>
        <v>Tumigil kana Pacquiao lalo ka lang nasisira sa mga tao. Lumalabas na yung pangit mong ugali.</v>
      </c>
      <c r="F2857" s="1"/>
      <c r="G2857" s="1" t="str">
        <f>IFERROR(__xludf.DUMMYFUNCTION("""COMPUTED_VALUE"""),"3 mos")</f>
        <v>3 mos</v>
      </c>
      <c r="H2857" s="1" t="str">
        <f>IFERROR(__xludf.DUMMYFUNCTION("""COMPUTED_VALUE"""),"comment")</f>
        <v>comment</v>
      </c>
      <c r="I2857" s="2" t="str">
        <f>IFERROR(__xludf.DUMMYFUNCTION("""COMPUTED_VALUE"""),"https://www.facebook.com/rapplerdotcom/photos/a.317154781638645/5594453700575367/")</f>
        <v>https://www.facebook.com/rapplerdotcom/photos/a.317154781638645/5594453700575367/</v>
      </c>
      <c r="J2857" s="1" t="str">
        <f>IFERROR(__xludf.DUMMYFUNCTION("""COMPUTED_VALUE"""),"2022-07-04T15:53:36.545Z")</f>
        <v>2022-07-04T15:53:36.545Z</v>
      </c>
      <c r="K2857" s="1"/>
    </row>
    <row r="2858">
      <c r="A2858" s="2" t="str">
        <f>IFERROR(__xludf.DUMMYFUNCTION("""COMPUTED_VALUE"""),"https://www.facebook.com/juliusryan.tuquero")</f>
        <v>https://www.facebook.com/juliusryan.tuquero</v>
      </c>
      <c r="B2858" s="1" t="str">
        <f>IFERROR(__xludf.DUMMYFUNCTION("""COMPUTED_VALUE"""),"Julius Ryan Tuquero")</f>
        <v>Julius Ryan Tuquero</v>
      </c>
      <c r="C2858" s="1" t="str">
        <f>IFERROR(__xludf.DUMMYFUNCTION("""COMPUTED_VALUE"""),"Julius")</f>
        <v>Julius</v>
      </c>
      <c r="D2858" s="1" t="str">
        <f>IFERROR(__xludf.DUMMYFUNCTION("""COMPUTED_VALUE"""),"Ryan Tuquero")</f>
        <v>Ryan Tuquero</v>
      </c>
      <c r="E2858" s="1" t="str">
        <f>IFERROR(__xludf.DUMMYFUNCTION("""COMPUTED_VALUE"""),"Well wala kayo magagawa kasi nasa presidential system tayo, popularity at personality politics ang labanan. Lahat naman kayo, kaya kayo tumakbo dahil sikat kayo at nakikinabang dito.  Since advocate po kayo ng pederalismo, Constitutional Reform ang kailan"&amp;"gan natin, para hindi lang kasikatan ng kandidato ang basehan, kundi labanan ng plataporma at pagalingan ng representative sa mga partido.")</f>
        <v>Well wala kayo magagawa kasi nasa presidential system tayo, popularity at personality politics ang labanan. Lahat naman kayo, kaya kayo tumakbo dahil sikat kayo at nakikinabang dito.  Since advocate po kayo ng pederalismo, Constitutional Reform ang kailangan natin, para hindi lang kasikatan ng kandidato ang basehan, kundi labanan ng plataporma at pagalingan ng representative sa mga partido.</v>
      </c>
      <c r="F2858" s="1">
        <f>IFERROR(__xludf.DUMMYFUNCTION("""COMPUTED_VALUE"""),1.0)</f>
        <v>1</v>
      </c>
      <c r="G2858" s="1" t="str">
        <f>IFERROR(__xludf.DUMMYFUNCTION("""COMPUTED_VALUE"""),"3 mos")</f>
        <v>3 mos</v>
      </c>
      <c r="H2858" s="1" t="str">
        <f>IFERROR(__xludf.DUMMYFUNCTION("""COMPUTED_VALUE"""),"comment")</f>
        <v>comment</v>
      </c>
      <c r="I2858" s="2" t="str">
        <f>IFERROR(__xludf.DUMMYFUNCTION("""COMPUTED_VALUE"""),"https://www.facebook.com/rapplerdotcom/photos/a.317154781638645/5594453700575367/")</f>
        <v>https://www.facebook.com/rapplerdotcom/photos/a.317154781638645/5594453700575367/</v>
      </c>
      <c r="J2858" s="1" t="str">
        <f>IFERROR(__xludf.DUMMYFUNCTION("""COMPUTED_VALUE"""),"2022-07-04T15:53:36.545Z")</f>
        <v>2022-07-04T15:53:36.545Z</v>
      </c>
      <c r="K2858" s="1"/>
    </row>
    <row r="2859">
      <c r="A2859" s="2" t="str">
        <f>IFERROR(__xludf.DUMMYFUNCTION("""COMPUTED_VALUE"""),"https://www.facebook.com/machristina.zaragoza")</f>
        <v>https://www.facebook.com/machristina.zaragoza</v>
      </c>
      <c r="B2859" s="1" t="str">
        <f>IFERROR(__xludf.DUMMYFUNCTION("""COMPUTED_VALUE"""),"Ma Christina H Custodio")</f>
        <v>Ma Christina H Custodio</v>
      </c>
      <c r="C2859" s="1" t="str">
        <f>IFERROR(__xludf.DUMMYFUNCTION("""COMPUTED_VALUE"""),"Ma")</f>
        <v>Ma</v>
      </c>
      <c r="D2859" s="1" t="str">
        <f>IFERROR(__xludf.DUMMYFUNCTION("""COMPUTED_VALUE"""),"Christina H Custodio")</f>
        <v>Christina H Custodio</v>
      </c>
      <c r="E2859" s="1" t="str">
        <f>IFERROR(__xludf.DUMMYFUNCTION("""COMPUTED_VALUE"""),"Correct po kayo dyan as pay maging matalino at Napagutusan pagboto")</f>
        <v>Correct po kayo dyan as pay maging matalino at Napagutusan pagboto</v>
      </c>
      <c r="F2859" s="1"/>
      <c r="G2859" s="1" t="str">
        <f>IFERROR(__xludf.DUMMYFUNCTION("""COMPUTED_VALUE"""),"3 mos")</f>
        <v>3 mos</v>
      </c>
      <c r="H2859" s="1" t="str">
        <f>IFERROR(__xludf.DUMMYFUNCTION("""COMPUTED_VALUE"""),"comment")</f>
        <v>comment</v>
      </c>
      <c r="I2859" s="2" t="str">
        <f>IFERROR(__xludf.DUMMYFUNCTION("""COMPUTED_VALUE"""),"https://www.facebook.com/rapplerdotcom/photos/a.317154781638645/5594453700575367/")</f>
        <v>https://www.facebook.com/rapplerdotcom/photos/a.317154781638645/5594453700575367/</v>
      </c>
      <c r="J2859" s="1" t="str">
        <f>IFERROR(__xludf.DUMMYFUNCTION("""COMPUTED_VALUE"""),"2022-07-04T15:53:36.545Z")</f>
        <v>2022-07-04T15:53:36.545Z</v>
      </c>
      <c r="K2859" s="1"/>
    </row>
    <row r="2860">
      <c r="A2860" s="2" t="str">
        <f>IFERROR(__xludf.DUMMYFUNCTION("""COMPUTED_VALUE"""),"https://www.facebook.com/janet.santos.7121")</f>
        <v>https://www.facebook.com/janet.santos.7121</v>
      </c>
      <c r="B2860" s="1" t="str">
        <f>IFERROR(__xludf.DUMMYFUNCTION("""COMPUTED_VALUE"""),"Nida Esca")</f>
        <v>Nida Esca</v>
      </c>
      <c r="C2860" s="1" t="str">
        <f>IFERROR(__xludf.DUMMYFUNCTION("""COMPUTED_VALUE"""),"Nida")</f>
        <v>Nida</v>
      </c>
      <c r="D2860" s="1" t="str">
        <f>IFERROR(__xludf.DUMMYFUNCTION("""COMPUTED_VALUE"""),"Esca")</f>
        <v>Esca</v>
      </c>
      <c r="E2860" s="1" t="str">
        <f>IFERROR(__xludf.DUMMYFUNCTION("""COMPUTED_VALUE"""),"Agree. Sa totoo lang, masyadong maimpluwensya sila kaya  natatabunan ang mga kaso. Ganyan din ang drugs hindi matapos tapos hanggat may tumatangkilik at may nagtatakip kapalit ng milyones. Kapag nanalo sa pinakamataas na pwesto mahirap na masingil ang mga"&amp;" iyan. Baka baguhin pa nila ng mga galamay ang batas at hindi na umalis sa pwesto at magkagulo na naman dahil sa pagmamalabis at kapag may lumaban sa kanila kung hindi ikulong ay ipapatay. Madaming matatalino, masisipag at mabuting taong Filipino na karap"&amp;"at dapat sa pwesto, bakit kailangan suportahan ang confirm na may mga kaso sa batas at halatang pinapaikot ikot lang ang pagbaligtad sa katotohanan.")</f>
        <v>Agree. Sa totoo lang, masyadong maimpluwensya sila kaya  natatabunan ang mga kaso. Ganyan din ang drugs hindi matapos tapos hanggat may tumatangkilik at may nagtatakip kapalit ng milyones. Kapag nanalo sa pinakamataas na pwesto mahirap na masingil ang mga iyan. Baka baguhin pa nila ng mga galamay ang batas at hindi na umalis sa pwesto at magkagulo na naman dahil sa pagmamalabis at kapag may lumaban sa kanila kung hindi ikulong ay ipapatay. Madaming matatalino, masisipag at mabuting taong Filipino na karapat dapat sa pwesto, bakit kailangan suportahan ang confirm na may mga kaso sa batas at halatang pinapaikot ikot lang ang pagbaligtad sa katotohanan.</v>
      </c>
      <c r="F2860" s="1"/>
      <c r="G2860" s="1" t="str">
        <f>IFERROR(__xludf.DUMMYFUNCTION("""COMPUTED_VALUE"""),"3 mos")</f>
        <v>3 mos</v>
      </c>
      <c r="H2860" s="1" t="str">
        <f>IFERROR(__xludf.DUMMYFUNCTION("""COMPUTED_VALUE"""),"comment")</f>
        <v>comment</v>
      </c>
      <c r="I2860" s="2" t="str">
        <f>IFERROR(__xludf.DUMMYFUNCTION("""COMPUTED_VALUE"""),"https://www.facebook.com/rapplerdotcom/photos/a.317154781638645/5594453700575367/")</f>
        <v>https://www.facebook.com/rapplerdotcom/photos/a.317154781638645/5594453700575367/</v>
      </c>
      <c r="J2860" s="1" t="str">
        <f>IFERROR(__xludf.DUMMYFUNCTION("""COMPUTED_VALUE"""),"2022-07-04T15:53:36.545Z")</f>
        <v>2022-07-04T15:53:36.545Z</v>
      </c>
      <c r="K2860" s="1"/>
    </row>
    <row r="2861">
      <c r="A2861" s="2" t="str">
        <f>IFERROR(__xludf.DUMMYFUNCTION("""COMPUTED_VALUE"""),"https://www.facebook.com/gina.rico.55")</f>
        <v>https://www.facebook.com/gina.rico.55</v>
      </c>
      <c r="B2861" s="1" t="str">
        <f>IFERROR(__xludf.DUMMYFUNCTION("""COMPUTED_VALUE"""),"Gina Manaois Rico")</f>
        <v>Gina Manaois Rico</v>
      </c>
      <c r="C2861" s="1" t="str">
        <f>IFERROR(__xludf.DUMMYFUNCTION("""COMPUTED_VALUE"""),"Gina")</f>
        <v>Gina</v>
      </c>
      <c r="D2861" s="1" t="str">
        <f>IFERROR(__xludf.DUMMYFUNCTION("""COMPUTED_VALUE"""),"Manaois Rico")</f>
        <v>Manaois Rico</v>
      </c>
      <c r="E2861" s="1" t="str">
        <f>IFERROR(__xludf.DUMMYFUNCTION("""COMPUTED_VALUE"""),"kaya wag iboto c pacman..")</f>
        <v>kaya wag iboto c pacman..</v>
      </c>
      <c r="F2861" s="1">
        <f>IFERROR(__xludf.DUMMYFUNCTION("""COMPUTED_VALUE"""),3.0)</f>
        <v>3</v>
      </c>
      <c r="G2861" s="1" t="str">
        <f>IFERROR(__xludf.DUMMYFUNCTION("""COMPUTED_VALUE"""),"3 mos")</f>
        <v>3 mos</v>
      </c>
      <c r="H2861" s="1" t="str">
        <f>IFERROR(__xludf.DUMMYFUNCTION("""COMPUTED_VALUE"""),"comment")</f>
        <v>comment</v>
      </c>
      <c r="I2861" s="2" t="str">
        <f>IFERROR(__xludf.DUMMYFUNCTION("""COMPUTED_VALUE"""),"https://www.facebook.com/rapplerdotcom/photos/a.317154781638645/5594453700575367/")</f>
        <v>https://www.facebook.com/rapplerdotcom/photos/a.317154781638645/5594453700575367/</v>
      </c>
      <c r="J2861" s="1" t="str">
        <f>IFERROR(__xludf.DUMMYFUNCTION("""COMPUTED_VALUE"""),"2022-07-04T15:53:36.545Z")</f>
        <v>2022-07-04T15:53:36.545Z</v>
      </c>
      <c r="K2861" s="1"/>
    </row>
    <row r="2862">
      <c r="A2862" s="2" t="str">
        <f>IFERROR(__xludf.DUMMYFUNCTION("""COMPUTED_VALUE"""),"https://www.facebook.com/melbie.carpentero.7")</f>
        <v>https://www.facebook.com/melbie.carpentero.7</v>
      </c>
      <c r="B2862" s="1" t="str">
        <f>IFERROR(__xludf.DUMMYFUNCTION("""COMPUTED_VALUE"""),"Melbie Carpentero")</f>
        <v>Melbie Carpentero</v>
      </c>
      <c r="C2862" s="1" t="str">
        <f>IFERROR(__xludf.DUMMYFUNCTION("""COMPUTED_VALUE"""),"Melbie")</f>
        <v>Melbie</v>
      </c>
      <c r="D2862" s="1" t="str">
        <f>IFERROR(__xludf.DUMMYFUNCTION("""COMPUTED_VALUE"""),"Carpentero")</f>
        <v>Carpentero</v>
      </c>
      <c r="E2862" s="1" t="str">
        <f>IFERROR(__xludf.DUMMYFUNCTION("""COMPUTED_VALUE"""),"Gina Manaois Rico ikaw nalang iboboto namin")</f>
        <v>Gina Manaois Rico ikaw nalang iboboto namin</v>
      </c>
      <c r="F2862" s="1"/>
      <c r="G2862" s="1" t="str">
        <f>IFERROR(__xludf.DUMMYFUNCTION("""COMPUTED_VALUE"""),"3 mos")</f>
        <v>3 mos</v>
      </c>
      <c r="H2862" s="1" t="str">
        <f>IFERROR(__xludf.DUMMYFUNCTION("""COMPUTED_VALUE"""),"reply")</f>
        <v>reply</v>
      </c>
      <c r="I2862" s="2" t="str">
        <f>IFERROR(__xludf.DUMMYFUNCTION("""COMPUTED_VALUE"""),"https://www.facebook.com/rapplerdotcom/photos/a.317154781638645/5594453700575367/")</f>
        <v>https://www.facebook.com/rapplerdotcom/photos/a.317154781638645/5594453700575367/</v>
      </c>
      <c r="J2862" s="1" t="str">
        <f>IFERROR(__xludf.DUMMYFUNCTION("""COMPUTED_VALUE"""),"2022-07-04T15:53:36.545Z")</f>
        <v>2022-07-04T15:53:36.545Z</v>
      </c>
      <c r="K2862" s="1"/>
    </row>
    <row r="2863">
      <c r="A2863" s="2" t="str">
        <f>IFERROR(__xludf.DUMMYFUNCTION("""COMPUTED_VALUE"""),"https://www.facebook.com/jing.gambayan")</f>
        <v>https://www.facebook.com/jing.gambayan</v>
      </c>
      <c r="B2863" s="1" t="str">
        <f>IFERROR(__xludf.DUMMYFUNCTION("""COMPUTED_VALUE"""),"Jing Gambayan")</f>
        <v>Jing Gambayan</v>
      </c>
      <c r="C2863" s="1" t="str">
        <f>IFERROR(__xludf.DUMMYFUNCTION("""COMPUTED_VALUE"""),"Jing")</f>
        <v>Jing</v>
      </c>
      <c r="D2863" s="1" t="str">
        <f>IFERROR(__xludf.DUMMYFUNCTION("""COMPUTED_VALUE"""),"Gambayan")</f>
        <v>Gambayan</v>
      </c>
      <c r="E2863" s="1" t="str">
        <f>IFERROR(__xludf.DUMMYFUNCTION("""COMPUTED_VALUE"""),"Tama ka Manny!")</f>
        <v>Tama ka Manny!</v>
      </c>
      <c r="F2863" s="1">
        <f>IFERROR(__xludf.DUMMYFUNCTION("""COMPUTED_VALUE"""),1.0)</f>
        <v>1</v>
      </c>
      <c r="G2863" s="1" t="str">
        <f>IFERROR(__xludf.DUMMYFUNCTION("""COMPUTED_VALUE"""),"3 mos")</f>
        <v>3 mos</v>
      </c>
      <c r="H2863" s="1" t="str">
        <f>IFERROR(__xludf.DUMMYFUNCTION("""COMPUTED_VALUE"""),"comment")</f>
        <v>comment</v>
      </c>
      <c r="I2863" s="2" t="str">
        <f>IFERROR(__xludf.DUMMYFUNCTION("""COMPUTED_VALUE"""),"https://www.facebook.com/rapplerdotcom/photos/a.317154781638645/5594453700575367/")</f>
        <v>https://www.facebook.com/rapplerdotcom/photos/a.317154781638645/5594453700575367/</v>
      </c>
      <c r="J2863" s="1" t="str">
        <f>IFERROR(__xludf.DUMMYFUNCTION("""COMPUTED_VALUE"""),"2022-07-04T15:53:36.545Z")</f>
        <v>2022-07-04T15:53:36.545Z</v>
      </c>
      <c r="K2863" s="1"/>
    </row>
    <row r="2864">
      <c r="A2864" s="2" t="str">
        <f>IFERROR(__xludf.DUMMYFUNCTION("""COMPUTED_VALUE"""),"https://www.facebook.com/eduardo.bonndadjr")</f>
        <v>https://www.facebook.com/eduardo.bonndadjr</v>
      </c>
      <c r="B2864" s="1" t="str">
        <f>IFERROR(__xludf.DUMMYFUNCTION("""COMPUTED_VALUE"""),"Eduardo Bonndad Jr.")</f>
        <v>Eduardo Bonndad Jr.</v>
      </c>
      <c r="C2864" s="1" t="str">
        <f>IFERROR(__xludf.DUMMYFUNCTION("""COMPUTED_VALUE"""),"Eduardo")</f>
        <v>Eduardo</v>
      </c>
      <c r="D2864" s="1" t="str">
        <f>IFERROR(__xludf.DUMMYFUNCTION("""COMPUTED_VALUE"""),"Bonndad Jr.")</f>
        <v>Bonndad Jr.</v>
      </c>
      <c r="E2864" s="1" t="str">
        <f>IFERROR(__xludf.DUMMYFUNCTION("""COMPUTED_VALUE"""),"Totoo yan , bakit ba kung sino pa yong sadyang naghihirap noon ang gustong gusto ang pamilyang sadyang nagnakaw ng billion billion sa ating bansa.")</f>
        <v>Totoo yan , bakit ba kung sino pa yong sadyang naghihirap noon ang gustong gusto ang pamilyang sadyang nagnakaw ng billion billion sa ating bansa.</v>
      </c>
      <c r="F2864" s="1">
        <f>IFERROR(__xludf.DUMMYFUNCTION("""COMPUTED_VALUE"""),9.0)</f>
        <v>9</v>
      </c>
      <c r="G2864" s="1" t="str">
        <f>IFERROR(__xludf.DUMMYFUNCTION("""COMPUTED_VALUE"""),"3 mos")</f>
        <v>3 mos</v>
      </c>
      <c r="H2864" s="1" t="str">
        <f>IFERROR(__xludf.DUMMYFUNCTION("""COMPUTED_VALUE"""),"comment")</f>
        <v>comment</v>
      </c>
      <c r="I2864" s="2" t="str">
        <f>IFERROR(__xludf.DUMMYFUNCTION("""COMPUTED_VALUE"""),"https://www.facebook.com/rapplerdotcom/photos/a.317154781638645/5594453700575367/")</f>
        <v>https://www.facebook.com/rapplerdotcom/photos/a.317154781638645/5594453700575367/</v>
      </c>
      <c r="J2864" s="1" t="str">
        <f>IFERROR(__xludf.DUMMYFUNCTION("""COMPUTED_VALUE"""),"2022-07-04T15:53:36.545Z")</f>
        <v>2022-07-04T15:53:36.545Z</v>
      </c>
      <c r="K2864" s="1"/>
    </row>
    <row r="2865">
      <c r="A2865" s="2" t="str">
        <f>IFERROR(__xludf.DUMMYFUNCTION("""COMPUTED_VALUE"""),"https://www.facebook.com/rodel.palmones.58")</f>
        <v>https://www.facebook.com/rodel.palmones.58</v>
      </c>
      <c r="B2865" s="1" t="str">
        <f>IFERROR(__xludf.DUMMYFUNCTION("""COMPUTED_VALUE"""),"Rodel Palmones")</f>
        <v>Rodel Palmones</v>
      </c>
      <c r="C2865" s="1" t="str">
        <f>IFERROR(__xludf.DUMMYFUNCTION("""COMPUTED_VALUE"""),"Rodel")</f>
        <v>Rodel</v>
      </c>
      <c r="D2865" s="1" t="str">
        <f>IFERROR(__xludf.DUMMYFUNCTION("""COMPUTED_VALUE"""),"Palmones")</f>
        <v>Palmones</v>
      </c>
      <c r="E2865" s="1" t="str">
        <f>IFERROR(__xludf.DUMMYFUNCTION("""COMPUTED_VALUE"""),"Manny hwag ka po nagbibitiw ng salitang d mo man npatunayan Born again k dapat ingat s pagbibintang.")</f>
        <v>Manny hwag ka po nagbibitiw ng salitang d mo man npatunayan Born again k dapat ingat s pagbibintang.</v>
      </c>
      <c r="F2865" s="1"/>
      <c r="G2865" s="1" t="str">
        <f>IFERROR(__xludf.DUMMYFUNCTION("""COMPUTED_VALUE"""),"3 mos")</f>
        <v>3 mos</v>
      </c>
      <c r="H2865" s="1" t="str">
        <f>IFERROR(__xludf.DUMMYFUNCTION("""COMPUTED_VALUE"""),"comment")</f>
        <v>comment</v>
      </c>
      <c r="I2865" s="2" t="str">
        <f>IFERROR(__xludf.DUMMYFUNCTION("""COMPUTED_VALUE"""),"https://www.facebook.com/rapplerdotcom/photos/a.317154781638645/5594453700575367/")</f>
        <v>https://www.facebook.com/rapplerdotcom/photos/a.317154781638645/5594453700575367/</v>
      </c>
      <c r="J2865" s="1" t="str">
        <f>IFERROR(__xludf.DUMMYFUNCTION("""COMPUTED_VALUE"""),"2022-07-04T15:53:36.545Z")</f>
        <v>2022-07-04T15:53:36.545Z</v>
      </c>
      <c r="K2865" s="1"/>
    </row>
    <row r="2866">
      <c r="A2866" s="2" t="str">
        <f>IFERROR(__xludf.DUMMYFUNCTION("""COMPUTED_VALUE"""),"https://www.facebook.com/ruel.padua.1")</f>
        <v>https://www.facebook.com/ruel.padua.1</v>
      </c>
      <c r="B2866" s="1" t="str">
        <f>IFERROR(__xludf.DUMMYFUNCTION("""COMPUTED_VALUE"""),"Whel Pads")</f>
        <v>Whel Pads</v>
      </c>
      <c r="C2866" s="1" t="str">
        <f>IFERROR(__xludf.DUMMYFUNCTION("""COMPUTED_VALUE"""),"Whel")</f>
        <v>Whel</v>
      </c>
      <c r="D2866" s="1" t="str">
        <f>IFERROR(__xludf.DUMMYFUNCTION("""COMPUTED_VALUE"""),"Pads")</f>
        <v>Pads</v>
      </c>
      <c r="E2866" s="1" t="str">
        <f>IFERROR(__xludf.DUMMYFUNCTION("""COMPUTED_VALUE"""),"Kanya kanyang Desisyon kong Cnu.gusto Kandidato ng mga tao.wag kang magdekta Manny...")</f>
        <v>Kanya kanyang Desisyon kong Cnu.gusto Kandidato ng mga tao.wag kang magdekta Manny...</v>
      </c>
      <c r="F2866" s="1">
        <f>IFERROR(__xludf.DUMMYFUNCTION("""COMPUTED_VALUE"""),7.0)</f>
        <v>7</v>
      </c>
      <c r="G2866" s="1" t="str">
        <f>IFERROR(__xludf.DUMMYFUNCTION("""COMPUTED_VALUE"""),"3 mos")</f>
        <v>3 mos</v>
      </c>
      <c r="H2866" s="1" t="str">
        <f>IFERROR(__xludf.DUMMYFUNCTION("""COMPUTED_VALUE"""),"comment")</f>
        <v>comment</v>
      </c>
      <c r="I2866" s="2" t="str">
        <f>IFERROR(__xludf.DUMMYFUNCTION("""COMPUTED_VALUE"""),"https://www.facebook.com/rapplerdotcom/photos/a.317154781638645/5594453700575367/")</f>
        <v>https://www.facebook.com/rapplerdotcom/photos/a.317154781638645/5594453700575367/</v>
      </c>
      <c r="J2866" s="1" t="str">
        <f>IFERROR(__xludf.DUMMYFUNCTION("""COMPUTED_VALUE"""),"2022-07-04T15:53:36.545Z")</f>
        <v>2022-07-04T15:53:36.545Z</v>
      </c>
      <c r="K2866" s="1"/>
    </row>
    <row r="2867">
      <c r="A2867" s="2" t="str">
        <f>IFERROR(__xludf.DUMMYFUNCTION("""COMPUTED_VALUE"""),"https://www.facebook.com/melbie.carpentero.7")</f>
        <v>https://www.facebook.com/melbie.carpentero.7</v>
      </c>
      <c r="B2867" s="1" t="str">
        <f>IFERROR(__xludf.DUMMYFUNCTION("""COMPUTED_VALUE"""),"Melbie Carpentero")</f>
        <v>Melbie Carpentero</v>
      </c>
      <c r="C2867" s="1" t="str">
        <f>IFERROR(__xludf.DUMMYFUNCTION("""COMPUTED_VALUE"""),"Melbie")</f>
        <v>Melbie</v>
      </c>
      <c r="D2867" s="1" t="str">
        <f>IFERROR(__xludf.DUMMYFUNCTION("""COMPUTED_VALUE"""),"Carpentero")</f>
        <v>Carpentero</v>
      </c>
      <c r="E2867" s="1" t="str">
        <f>IFERROR(__xludf.DUMMYFUNCTION("""COMPUTED_VALUE"""),"Whel Pads Hindi kanaman hinikayat niya sa kanya ang boto.mo sinabi lang niya ang to too.satulad mo magisip isip kana .Kong nagbayad ba ng buwis ang iboboto mo.")</f>
        <v>Whel Pads Hindi kanaman hinikayat niya sa kanya ang boto.mo sinabi lang niya ang to too.satulad mo magisip isip kana .Kong nagbayad ba ng buwis ang iboboto mo.</v>
      </c>
      <c r="F2867" s="1"/>
      <c r="G2867" s="1" t="str">
        <f>IFERROR(__xludf.DUMMYFUNCTION("""COMPUTED_VALUE"""),"3 mos")</f>
        <v>3 mos</v>
      </c>
      <c r="H2867" s="1" t="str">
        <f>IFERROR(__xludf.DUMMYFUNCTION("""COMPUTED_VALUE"""),"reply")</f>
        <v>reply</v>
      </c>
      <c r="I2867" s="2" t="str">
        <f>IFERROR(__xludf.DUMMYFUNCTION("""COMPUTED_VALUE"""),"https://www.facebook.com/rapplerdotcom/photos/a.317154781638645/5594453700575367/")</f>
        <v>https://www.facebook.com/rapplerdotcom/photos/a.317154781638645/5594453700575367/</v>
      </c>
      <c r="J2867" s="1" t="str">
        <f>IFERROR(__xludf.DUMMYFUNCTION("""COMPUTED_VALUE"""),"2022-07-04T15:53:36.545Z")</f>
        <v>2022-07-04T15:53:36.545Z</v>
      </c>
      <c r="K2867" s="1"/>
    </row>
    <row r="2868">
      <c r="A2868" s="2" t="str">
        <f>IFERROR(__xludf.DUMMYFUNCTION("""COMPUTED_VALUE"""),"https://www.facebook.com/val.canonigo.5")</f>
        <v>https://www.facebook.com/val.canonigo.5</v>
      </c>
      <c r="B2868" s="1" t="str">
        <f>IFERROR(__xludf.DUMMYFUNCTION("""COMPUTED_VALUE"""),"Val Canonigo")</f>
        <v>Val Canonigo</v>
      </c>
      <c r="C2868" s="1" t="str">
        <f>IFERROR(__xludf.DUMMYFUNCTION("""COMPUTED_VALUE"""),"Val")</f>
        <v>Val</v>
      </c>
      <c r="D2868" s="1" t="str">
        <f>IFERROR(__xludf.DUMMYFUNCTION("""COMPUTED_VALUE"""),"Canonigo")</f>
        <v>Canonigo</v>
      </c>
      <c r="E2868" s="1" t="str">
        <f>IFERROR(__xludf.DUMMYFUNCTION("""COMPUTED_VALUE"""),"Pag ikaw manny ang ibuboto ko,para na rin pinatay ko ang kinabukasan ng mga anak ko,hindiko pwede ipagkatiwala sayo ang boto ko,dahil mahina ang pagkakaturnilyo ng utak mo.")</f>
        <v>Pag ikaw manny ang ibuboto ko,para na rin pinatay ko ang kinabukasan ng mga anak ko,hindiko pwede ipagkatiwala sayo ang boto ko,dahil mahina ang pagkakaturnilyo ng utak mo.</v>
      </c>
      <c r="F2868" s="1"/>
      <c r="G2868" s="1" t="str">
        <f>IFERROR(__xludf.DUMMYFUNCTION("""COMPUTED_VALUE"""),"3 mos")</f>
        <v>3 mos</v>
      </c>
      <c r="H2868" s="1" t="str">
        <f>IFERROR(__xludf.DUMMYFUNCTION("""COMPUTED_VALUE"""),"comment")</f>
        <v>comment</v>
      </c>
      <c r="I2868" s="2" t="str">
        <f>IFERROR(__xludf.DUMMYFUNCTION("""COMPUTED_VALUE"""),"https://www.facebook.com/rapplerdotcom/photos/a.317154781638645/5594453700575367/")</f>
        <v>https://www.facebook.com/rapplerdotcom/photos/a.317154781638645/5594453700575367/</v>
      </c>
      <c r="J2868" s="1" t="str">
        <f>IFERROR(__xludf.DUMMYFUNCTION("""COMPUTED_VALUE"""),"2022-07-04T15:53:36.546Z")</f>
        <v>2022-07-04T15:53:36.546Z</v>
      </c>
      <c r="K2868" s="1"/>
    </row>
    <row r="2869">
      <c r="A2869" s="2" t="str">
        <f>IFERROR(__xludf.DUMMYFUNCTION("""COMPUTED_VALUE"""),"https://www.facebook.com/luz.c.austria")</f>
        <v>https://www.facebook.com/luz.c.austria</v>
      </c>
      <c r="B2869" s="1" t="str">
        <f>IFERROR(__xludf.DUMMYFUNCTION("""COMPUTED_VALUE"""),"Luz Clutario Austria")</f>
        <v>Luz Clutario Austria</v>
      </c>
      <c r="C2869" s="1" t="str">
        <f>IFERROR(__xludf.DUMMYFUNCTION("""COMPUTED_VALUE"""),"Luz")</f>
        <v>Luz</v>
      </c>
      <c r="D2869" s="1" t="str">
        <f>IFERROR(__xludf.DUMMYFUNCTION("""COMPUTED_VALUE"""),"Clutario Austria")</f>
        <v>Clutario Austria</v>
      </c>
      <c r="E2869" s="1" t="str">
        <f>IFERROR(__xludf.DUMMYFUNCTION("""COMPUTED_VALUE"""),"May isip kmi di kami  dapat diktahan .kmi ay msy sariling desisyon")</f>
        <v>May isip kmi di kami  dapat diktahan .kmi ay msy sariling desisyon</v>
      </c>
      <c r="F2869" s="1">
        <f>IFERROR(__xludf.DUMMYFUNCTION("""COMPUTED_VALUE"""),14.0)</f>
        <v>14</v>
      </c>
      <c r="G2869" s="1" t="str">
        <f>IFERROR(__xludf.DUMMYFUNCTION("""COMPUTED_VALUE"""),"3 mos")</f>
        <v>3 mos</v>
      </c>
      <c r="H2869" s="1" t="str">
        <f>IFERROR(__xludf.DUMMYFUNCTION("""COMPUTED_VALUE"""),"comment")</f>
        <v>comment</v>
      </c>
      <c r="I2869" s="2" t="str">
        <f>IFERROR(__xludf.DUMMYFUNCTION("""COMPUTED_VALUE"""),"https://www.facebook.com/rapplerdotcom/photos/a.317154781638645/5594453700575367/")</f>
        <v>https://www.facebook.com/rapplerdotcom/photos/a.317154781638645/5594453700575367/</v>
      </c>
      <c r="J2869" s="1" t="str">
        <f>IFERROR(__xludf.DUMMYFUNCTION("""COMPUTED_VALUE"""),"2022-07-04T15:53:36.546Z")</f>
        <v>2022-07-04T15:53:36.546Z</v>
      </c>
      <c r="K2869" s="1"/>
    </row>
    <row r="2870">
      <c r="A2870" s="2" t="str">
        <f>IFERROR(__xludf.DUMMYFUNCTION("""COMPUTED_VALUE"""),"https://www.facebook.com/estelita.ambatacaluste")</f>
        <v>https://www.facebook.com/estelita.ambatacaluste</v>
      </c>
      <c r="B2870" s="1" t="str">
        <f>IFERROR(__xludf.DUMMYFUNCTION("""COMPUTED_VALUE"""),"Estelita Ambata-Caluste")</f>
        <v>Estelita Ambata-Caluste</v>
      </c>
      <c r="C2870" s="1" t="str">
        <f>IFERROR(__xludf.DUMMYFUNCTION("""COMPUTED_VALUE"""),"Estelita")</f>
        <v>Estelita</v>
      </c>
      <c r="D2870" s="1" t="str">
        <f>IFERROR(__xludf.DUMMYFUNCTION("""COMPUTED_VALUE"""),"Ambata-Caluste")</f>
        <v>Ambata-Caluste</v>
      </c>
      <c r="E2870" s="1" t="str">
        <f>IFERROR(__xludf.DUMMYFUNCTION("""COMPUTED_VALUE"""),"Luz Clutario Austria isip sarado naman")</f>
        <v>Luz Clutario Austria isip sarado naman</v>
      </c>
      <c r="F2870" s="1">
        <f>IFERROR(__xludf.DUMMYFUNCTION("""COMPUTED_VALUE"""),16.0)</f>
        <v>16</v>
      </c>
      <c r="G2870" s="1" t="str">
        <f>IFERROR(__xludf.DUMMYFUNCTION("""COMPUTED_VALUE"""),"3 mos")</f>
        <v>3 mos</v>
      </c>
      <c r="H2870" s="1" t="str">
        <f>IFERROR(__xludf.DUMMYFUNCTION("""COMPUTED_VALUE"""),"reply")</f>
        <v>reply</v>
      </c>
      <c r="I2870" s="2" t="str">
        <f>IFERROR(__xludf.DUMMYFUNCTION("""COMPUTED_VALUE"""),"https://www.facebook.com/rapplerdotcom/photos/a.317154781638645/5594453700575367/")</f>
        <v>https://www.facebook.com/rapplerdotcom/photos/a.317154781638645/5594453700575367/</v>
      </c>
      <c r="J2870" s="1" t="str">
        <f>IFERROR(__xludf.DUMMYFUNCTION("""COMPUTED_VALUE"""),"2022-07-04T15:53:36.546Z")</f>
        <v>2022-07-04T15:53:36.546Z</v>
      </c>
      <c r="K2870" s="1"/>
    </row>
    <row r="2871">
      <c r="A2871" s="2" t="str">
        <f>IFERROR(__xludf.DUMMYFUNCTION("""COMPUTED_VALUE"""),"https://www.facebook.com/alfredofabro.boking")</f>
        <v>https://www.facebook.com/alfredofabro.boking</v>
      </c>
      <c r="B2871" s="1" t="str">
        <f>IFERROR(__xludf.DUMMYFUNCTION("""COMPUTED_VALUE"""),"Alfredo Fabro Boking")</f>
        <v>Alfredo Fabro Boking</v>
      </c>
      <c r="C2871" s="1" t="str">
        <f>IFERROR(__xludf.DUMMYFUNCTION("""COMPUTED_VALUE"""),"Alfredo")</f>
        <v>Alfredo</v>
      </c>
      <c r="D2871" s="1" t="str">
        <f>IFERROR(__xludf.DUMMYFUNCTION("""COMPUTED_VALUE"""),"Fabro Boking")</f>
        <v>Fabro Boking</v>
      </c>
      <c r="E2871" s="1" t="str">
        <f>IFERROR(__xludf.DUMMYFUNCTION("""COMPUTED_VALUE"""),"Estelita Ambata-Caluste sigurado ka ba??")</f>
        <v>Estelita Ambata-Caluste sigurado ka ba??</v>
      </c>
      <c r="F2871" s="1">
        <f>IFERROR(__xludf.DUMMYFUNCTION("""COMPUTED_VALUE"""),2.0)</f>
        <v>2</v>
      </c>
      <c r="G2871" s="1" t="str">
        <f>IFERROR(__xludf.DUMMYFUNCTION("""COMPUTED_VALUE"""),"3 mos")</f>
        <v>3 mos</v>
      </c>
      <c r="H2871" s="1" t="str">
        <f>IFERROR(__xludf.DUMMYFUNCTION("""COMPUTED_VALUE"""),"reply")</f>
        <v>reply</v>
      </c>
      <c r="I2871" s="2" t="str">
        <f>IFERROR(__xludf.DUMMYFUNCTION("""COMPUTED_VALUE"""),"https://www.facebook.com/rapplerdotcom/photos/a.317154781638645/5594453700575367/")</f>
        <v>https://www.facebook.com/rapplerdotcom/photos/a.317154781638645/5594453700575367/</v>
      </c>
      <c r="J2871" s="1" t="str">
        <f>IFERROR(__xludf.DUMMYFUNCTION("""COMPUTED_VALUE"""),"2022-07-04T15:53:36.546Z")</f>
        <v>2022-07-04T15:53:36.546Z</v>
      </c>
      <c r="K2871" s="1"/>
    </row>
    <row r="2872">
      <c r="A2872" s="2" t="str">
        <f>IFERROR(__xludf.DUMMYFUNCTION("""COMPUTED_VALUE"""),"https://www.facebook.com/luz.c.austria")</f>
        <v>https://www.facebook.com/luz.c.austria</v>
      </c>
      <c r="B2872" s="1" t="str">
        <f>IFERROR(__xludf.DUMMYFUNCTION("""COMPUTED_VALUE"""),"Luz Clutario Austria")</f>
        <v>Luz Clutario Austria</v>
      </c>
      <c r="C2872" s="1" t="str">
        <f>IFERROR(__xludf.DUMMYFUNCTION("""COMPUTED_VALUE"""),"Luz")</f>
        <v>Luz</v>
      </c>
      <c r="D2872" s="1" t="str">
        <f>IFERROR(__xludf.DUMMYFUNCTION("""COMPUTED_VALUE"""),"Clutario Austria")</f>
        <v>Clutario Austria</v>
      </c>
      <c r="E2872" s="1" t="str">
        <f>IFERROR(__xludf.DUMMYFUNCTION("""COMPUTED_VALUE"""),"Alfredo Fabro Boking yes")</f>
        <v>Alfredo Fabro Boking yes</v>
      </c>
      <c r="F2872" s="1"/>
      <c r="G2872" s="1" t="str">
        <f>IFERROR(__xludf.DUMMYFUNCTION("""COMPUTED_VALUE"""),"3 mos")</f>
        <v>3 mos</v>
      </c>
      <c r="H2872" s="1" t="str">
        <f>IFERROR(__xludf.DUMMYFUNCTION("""COMPUTED_VALUE"""),"reply")</f>
        <v>reply</v>
      </c>
      <c r="I2872" s="2" t="str">
        <f>IFERROR(__xludf.DUMMYFUNCTION("""COMPUTED_VALUE"""),"https://www.facebook.com/rapplerdotcom/photos/a.317154781638645/5594453700575367/")</f>
        <v>https://www.facebook.com/rapplerdotcom/photos/a.317154781638645/5594453700575367/</v>
      </c>
      <c r="J2872" s="1" t="str">
        <f>IFERROR(__xludf.DUMMYFUNCTION("""COMPUTED_VALUE"""),"2022-07-04T15:53:36.546Z")</f>
        <v>2022-07-04T15:53:36.546Z</v>
      </c>
      <c r="K2872" s="1"/>
    </row>
    <row r="2873">
      <c r="A2873" s="2" t="str">
        <f>IFERROR(__xludf.DUMMYFUNCTION("""COMPUTED_VALUE"""),"https://www.facebook.com/esmeraldo.go")</f>
        <v>https://www.facebook.com/esmeraldo.go</v>
      </c>
      <c r="B2873" s="1" t="str">
        <f>IFERROR(__xludf.DUMMYFUNCTION("""COMPUTED_VALUE"""),"Esmeraldo Moraca Go")</f>
        <v>Esmeraldo Moraca Go</v>
      </c>
      <c r="C2873" s="1" t="str">
        <f>IFERROR(__xludf.DUMMYFUNCTION("""COMPUTED_VALUE"""),"Esmeraldo")</f>
        <v>Esmeraldo</v>
      </c>
      <c r="D2873" s="1" t="str">
        <f>IFERROR(__xludf.DUMMYFUNCTION("""COMPUTED_VALUE"""),"Moraca Go")</f>
        <v>Moraca Go</v>
      </c>
      <c r="E2873" s="1" t="str">
        <f>IFERROR(__xludf.DUMMYFUNCTION("""COMPUTED_VALUE"""),"Estelita Ambata-Caluste lutang din pag iisip nito 🤣🤣🤣")</f>
        <v>Estelita Ambata-Caluste lutang din pag iisip nito 🤣🤣🤣</v>
      </c>
      <c r="F2873" s="1">
        <f>IFERROR(__xludf.DUMMYFUNCTION("""COMPUTED_VALUE"""),1.0)</f>
        <v>1</v>
      </c>
      <c r="G2873" s="1" t="str">
        <f>IFERROR(__xludf.DUMMYFUNCTION("""COMPUTED_VALUE"""),"3 mos")</f>
        <v>3 mos</v>
      </c>
      <c r="H2873" s="1" t="str">
        <f>IFERROR(__xludf.DUMMYFUNCTION("""COMPUTED_VALUE"""),"reply")</f>
        <v>reply</v>
      </c>
      <c r="I2873" s="2" t="str">
        <f>IFERROR(__xludf.DUMMYFUNCTION("""COMPUTED_VALUE"""),"https://www.facebook.com/rapplerdotcom/photos/a.317154781638645/5594453700575367/")</f>
        <v>https://www.facebook.com/rapplerdotcom/photos/a.317154781638645/5594453700575367/</v>
      </c>
      <c r="J2873" s="1" t="str">
        <f>IFERROR(__xludf.DUMMYFUNCTION("""COMPUTED_VALUE"""),"2022-07-04T15:53:36.546Z")</f>
        <v>2022-07-04T15:53:36.546Z</v>
      </c>
      <c r="K2873" s="1"/>
    </row>
    <row r="2874">
      <c r="A2874" s="2" t="str">
        <f>IFERROR(__xludf.DUMMYFUNCTION("""COMPUTED_VALUE"""),"https://www.facebook.com/jude.romero.14")</f>
        <v>https://www.facebook.com/jude.romero.14</v>
      </c>
      <c r="B2874" s="1" t="str">
        <f>IFERROR(__xludf.DUMMYFUNCTION("""COMPUTED_VALUE"""),"Jude Romero")</f>
        <v>Jude Romero</v>
      </c>
      <c r="C2874" s="1" t="str">
        <f>IFERROR(__xludf.DUMMYFUNCTION("""COMPUTED_VALUE"""),"Jude")</f>
        <v>Jude</v>
      </c>
      <c r="D2874" s="1" t="str">
        <f>IFERROR(__xludf.DUMMYFUNCTION("""COMPUTED_VALUE"""),"Romero")</f>
        <v>Romero</v>
      </c>
      <c r="E2874" s="1" t="str">
        <f>IFERROR(__xludf.DUMMYFUNCTION("""COMPUTED_VALUE"""),"Estelita Ambata-Caluste kakampon")</f>
        <v>Estelita Ambata-Caluste kakampon</v>
      </c>
      <c r="F2874" s="1"/>
      <c r="G2874" s="1" t="str">
        <f>IFERROR(__xludf.DUMMYFUNCTION("""COMPUTED_VALUE"""),"3 mos")</f>
        <v>3 mos</v>
      </c>
      <c r="H2874" s="1" t="str">
        <f>IFERROR(__xludf.DUMMYFUNCTION("""COMPUTED_VALUE"""),"reply")</f>
        <v>reply</v>
      </c>
      <c r="I2874" s="2" t="str">
        <f>IFERROR(__xludf.DUMMYFUNCTION("""COMPUTED_VALUE"""),"https://www.facebook.com/rapplerdotcom/photos/a.317154781638645/5594453700575367/")</f>
        <v>https://www.facebook.com/rapplerdotcom/photos/a.317154781638645/5594453700575367/</v>
      </c>
      <c r="J2874" s="1" t="str">
        <f>IFERROR(__xludf.DUMMYFUNCTION("""COMPUTED_VALUE"""),"2022-07-04T15:53:36.546Z")</f>
        <v>2022-07-04T15:53:36.546Z</v>
      </c>
      <c r="K2874" s="1"/>
    </row>
    <row r="2875">
      <c r="A2875" s="2" t="str">
        <f>IFERROR(__xludf.DUMMYFUNCTION("""COMPUTED_VALUE"""),"https://www.facebook.com/darylalmighty")</f>
        <v>https://www.facebook.com/darylalmighty</v>
      </c>
      <c r="B2875" s="1" t="str">
        <f>IFERROR(__xludf.DUMMYFUNCTION("""COMPUTED_VALUE"""),"Daryl De Castro")</f>
        <v>Daryl De Castro</v>
      </c>
      <c r="C2875" s="1" t="str">
        <f>IFERROR(__xludf.DUMMYFUNCTION("""COMPUTED_VALUE"""),"Daryl")</f>
        <v>Daryl</v>
      </c>
      <c r="D2875" s="1" t="str">
        <f>IFERROR(__xludf.DUMMYFUNCTION("""COMPUTED_VALUE"""),"De Castro")</f>
        <v>De Castro</v>
      </c>
      <c r="E2875" s="1" t="str">
        <f>IFERROR(__xludf.DUMMYFUNCTION("""COMPUTED_VALUE"""),"Luz Clutario Austria Kahit mag nanakaw boboto mo? 😂")</f>
        <v>Luz Clutario Austria Kahit mag nanakaw boboto mo? 😂</v>
      </c>
      <c r="F2875" s="1">
        <f>IFERROR(__xludf.DUMMYFUNCTION("""COMPUTED_VALUE"""),1.0)</f>
        <v>1</v>
      </c>
      <c r="G2875" s="1" t="str">
        <f>IFERROR(__xludf.DUMMYFUNCTION("""COMPUTED_VALUE"""),"3 mos")</f>
        <v>3 mos</v>
      </c>
      <c r="H2875" s="1" t="str">
        <f>IFERROR(__xludf.DUMMYFUNCTION("""COMPUTED_VALUE"""),"reply")</f>
        <v>reply</v>
      </c>
      <c r="I2875" s="2" t="str">
        <f>IFERROR(__xludf.DUMMYFUNCTION("""COMPUTED_VALUE"""),"https://www.facebook.com/rapplerdotcom/photos/a.317154781638645/5594453700575367/")</f>
        <v>https://www.facebook.com/rapplerdotcom/photos/a.317154781638645/5594453700575367/</v>
      </c>
      <c r="J2875" s="1" t="str">
        <f>IFERROR(__xludf.DUMMYFUNCTION("""COMPUTED_VALUE"""),"2022-07-04T15:53:36.546Z")</f>
        <v>2022-07-04T15:53:36.546Z</v>
      </c>
      <c r="K2875" s="1"/>
    </row>
    <row r="2876">
      <c r="A2876" s="2" t="str">
        <f>IFERROR(__xludf.DUMMYFUNCTION("""COMPUTED_VALUE"""),"https://www.facebook.com/melbie.carpentero.7")</f>
        <v>https://www.facebook.com/melbie.carpentero.7</v>
      </c>
      <c r="B2876" s="1" t="str">
        <f>IFERROR(__xludf.DUMMYFUNCTION("""COMPUTED_VALUE"""),"Melbie Carpentero")</f>
        <v>Melbie Carpentero</v>
      </c>
      <c r="C2876" s="1" t="str">
        <f>IFERROR(__xludf.DUMMYFUNCTION("""COMPUTED_VALUE"""),"Melbie")</f>
        <v>Melbie</v>
      </c>
      <c r="D2876" s="1" t="str">
        <f>IFERROR(__xludf.DUMMYFUNCTION("""COMPUTED_VALUE"""),"Carpentero")</f>
        <v>Carpentero</v>
      </c>
      <c r="E2876" s="1" t="str">
        <f>IFERROR(__xludf.DUMMYFUNCTION("""COMPUTED_VALUE"""),"Luz Clutario Austria bkit parabg galit k at a Hindi kanaman pinangalanan ni Mani sinabi lng niya ang totoo.")</f>
        <v>Luz Clutario Austria bkit parabg galit k at a Hindi kanaman pinangalanan ni Mani sinabi lng niya ang totoo.</v>
      </c>
      <c r="F2876" s="1"/>
      <c r="G2876" s="1" t="str">
        <f>IFERROR(__xludf.DUMMYFUNCTION("""COMPUTED_VALUE"""),"3 mos")</f>
        <v>3 mos</v>
      </c>
      <c r="H2876" s="1" t="str">
        <f>IFERROR(__xludf.DUMMYFUNCTION("""COMPUTED_VALUE"""),"reply")</f>
        <v>reply</v>
      </c>
      <c r="I2876" s="2" t="str">
        <f>IFERROR(__xludf.DUMMYFUNCTION("""COMPUTED_VALUE"""),"https://www.facebook.com/rapplerdotcom/photos/a.317154781638645/5594453700575367/")</f>
        <v>https://www.facebook.com/rapplerdotcom/photos/a.317154781638645/5594453700575367/</v>
      </c>
      <c r="J2876" s="1" t="str">
        <f>IFERROR(__xludf.DUMMYFUNCTION("""COMPUTED_VALUE"""),"2022-07-04T15:53:36.546Z")</f>
        <v>2022-07-04T15:53:36.546Z</v>
      </c>
      <c r="K2876" s="1"/>
    </row>
    <row r="2877">
      <c r="A2877" s="2" t="str">
        <f>IFERROR(__xludf.DUMMYFUNCTION("""COMPUTED_VALUE"""),"https://www.facebook.com/profile.php?id=100076416052093")</f>
        <v>https://www.facebook.com/profile.php?id=100076416052093</v>
      </c>
      <c r="B2877" s="1" t="str">
        <f>IFERROR(__xludf.DUMMYFUNCTION("""COMPUTED_VALUE"""),"Saberin Tato")</f>
        <v>Saberin Tato</v>
      </c>
      <c r="C2877" s="1" t="str">
        <f>IFERROR(__xludf.DUMMYFUNCTION("""COMPUTED_VALUE"""),"Saberin")</f>
        <v>Saberin</v>
      </c>
      <c r="D2877" s="1" t="str">
        <f>IFERROR(__xludf.DUMMYFUNCTION("""COMPUTED_VALUE"""),"Tato")</f>
        <v>Tato</v>
      </c>
      <c r="E2877" s="1" t="str">
        <f>IFERROR(__xludf.DUMMYFUNCTION("""COMPUTED_VALUE"""),"Tumigil na kayo sa bangayan nagkakagulo na ang buong mundo just be unite to protect our country against invaders.")</f>
        <v>Tumigil na kayo sa bangayan nagkakagulo na ang buong mundo just be unite to protect our country against invaders.</v>
      </c>
      <c r="F2877" s="1">
        <f>IFERROR(__xludf.DUMMYFUNCTION("""COMPUTED_VALUE"""),1.0)</f>
        <v>1</v>
      </c>
      <c r="G2877" s="1" t="str">
        <f>IFERROR(__xludf.DUMMYFUNCTION("""COMPUTED_VALUE"""),"3 mos")</f>
        <v>3 mos</v>
      </c>
      <c r="H2877" s="1" t="str">
        <f>IFERROR(__xludf.DUMMYFUNCTION("""COMPUTED_VALUE"""),"comment")</f>
        <v>comment</v>
      </c>
      <c r="I2877" s="2" t="str">
        <f>IFERROR(__xludf.DUMMYFUNCTION("""COMPUTED_VALUE"""),"https://www.facebook.com/rapplerdotcom/photos/a.317154781638645/5594453700575367/")</f>
        <v>https://www.facebook.com/rapplerdotcom/photos/a.317154781638645/5594453700575367/</v>
      </c>
      <c r="J2877" s="1" t="str">
        <f>IFERROR(__xludf.DUMMYFUNCTION("""COMPUTED_VALUE"""),"2022-07-04T15:53:36.546Z")</f>
        <v>2022-07-04T15:53:36.546Z</v>
      </c>
      <c r="K2877" s="1"/>
    </row>
    <row r="2878">
      <c r="A2878" s="2" t="str">
        <f>IFERROR(__xludf.DUMMYFUNCTION("""COMPUTED_VALUE"""),"https://www.facebook.com/eva.jimenez.39794895")</f>
        <v>https://www.facebook.com/eva.jimenez.39794895</v>
      </c>
      <c r="B2878" s="1" t="str">
        <f>IFERROR(__xludf.DUMMYFUNCTION("""COMPUTED_VALUE"""),"Eva Jimenez")</f>
        <v>Eva Jimenez</v>
      </c>
      <c r="C2878" s="1" t="str">
        <f>IFERROR(__xludf.DUMMYFUNCTION("""COMPUTED_VALUE"""),"Eva")</f>
        <v>Eva</v>
      </c>
      <c r="D2878" s="1" t="str">
        <f>IFERROR(__xludf.DUMMYFUNCTION("""COMPUTED_VALUE"""),"Jimenez")</f>
        <v>Jimenez</v>
      </c>
      <c r="E2878" s="1" t="str">
        <f>IFERROR(__xludf.DUMMYFUNCTION("""COMPUTED_VALUE"""),"Isa rin itong naninira ng kapwa. Love your enemies")</f>
        <v>Isa rin itong naninira ng kapwa. Love your enemies</v>
      </c>
      <c r="F2878" s="1">
        <f>IFERROR(__xludf.DUMMYFUNCTION("""COMPUTED_VALUE"""),1.0)</f>
        <v>1</v>
      </c>
      <c r="G2878" s="1" t="str">
        <f>IFERROR(__xludf.DUMMYFUNCTION("""COMPUTED_VALUE"""),"3 mos")</f>
        <v>3 mos</v>
      </c>
      <c r="H2878" s="1" t="str">
        <f>IFERROR(__xludf.DUMMYFUNCTION("""COMPUTED_VALUE"""),"comment")</f>
        <v>comment</v>
      </c>
      <c r="I2878" s="2" t="str">
        <f>IFERROR(__xludf.DUMMYFUNCTION("""COMPUTED_VALUE"""),"https://www.facebook.com/rapplerdotcom/photos/a.317154781638645/5594453700575367/")</f>
        <v>https://www.facebook.com/rapplerdotcom/photos/a.317154781638645/5594453700575367/</v>
      </c>
      <c r="J2878" s="1" t="str">
        <f>IFERROR(__xludf.DUMMYFUNCTION("""COMPUTED_VALUE"""),"2022-07-04T15:53:36.546Z")</f>
        <v>2022-07-04T15:53:36.546Z</v>
      </c>
      <c r="K2878" s="1"/>
    </row>
    <row r="2879">
      <c r="A2879" s="2" t="str">
        <f>IFERROR(__xludf.DUMMYFUNCTION("""COMPUTED_VALUE"""),"https://www.facebook.com/blesilda.santiago.7")</f>
        <v>https://www.facebook.com/blesilda.santiago.7</v>
      </c>
      <c r="B2879" s="1" t="str">
        <f>IFERROR(__xludf.DUMMYFUNCTION("""COMPUTED_VALUE"""),"Marble Mullis")</f>
        <v>Marble Mullis</v>
      </c>
      <c r="C2879" s="1" t="str">
        <f>IFERROR(__xludf.DUMMYFUNCTION("""COMPUTED_VALUE"""),"Marble")</f>
        <v>Marble</v>
      </c>
      <c r="D2879" s="1" t="str">
        <f>IFERROR(__xludf.DUMMYFUNCTION("""COMPUTED_VALUE"""),"Mullis")</f>
        <v>Mullis</v>
      </c>
      <c r="E2879" s="1" t="str">
        <f>IFERROR(__xludf.DUMMYFUNCTION("""COMPUTED_VALUE"""),"M mga kanya kanyang kandidato mga taonpabayaan new nalang cla")</f>
        <v>M mga kanya kanyang kandidato mga taonpabayaan new nalang cla</v>
      </c>
      <c r="F2879" s="1"/>
      <c r="G2879" s="1" t="str">
        <f>IFERROR(__xludf.DUMMYFUNCTION("""COMPUTED_VALUE"""),"3 mos")</f>
        <v>3 mos</v>
      </c>
      <c r="H2879" s="1" t="str">
        <f>IFERROR(__xludf.DUMMYFUNCTION("""COMPUTED_VALUE"""),"comment")</f>
        <v>comment</v>
      </c>
      <c r="I2879" s="2" t="str">
        <f>IFERROR(__xludf.DUMMYFUNCTION("""COMPUTED_VALUE"""),"https://www.facebook.com/rapplerdotcom/photos/a.317154781638645/5594453700575367/")</f>
        <v>https://www.facebook.com/rapplerdotcom/photos/a.317154781638645/5594453700575367/</v>
      </c>
      <c r="J2879" s="1" t="str">
        <f>IFERROR(__xludf.DUMMYFUNCTION("""COMPUTED_VALUE"""),"2022-07-04T15:53:36.546Z")</f>
        <v>2022-07-04T15:53:36.546Z</v>
      </c>
      <c r="K2879" s="1"/>
    </row>
    <row r="2880">
      <c r="A2880" s="2" t="str">
        <f>IFERROR(__xludf.DUMMYFUNCTION("""COMPUTED_VALUE"""),"https://www.facebook.com/enrico.valentin")</f>
        <v>https://www.facebook.com/enrico.valentin</v>
      </c>
      <c r="B2880" s="1" t="str">
        <f>IFERROR(__xludf.DUMMYFUNCTION("""COMPUTED_VALUE"""),"Enrico Valentin")</f>
        <v>Enrico Valentin</v>
      </c>
      <c r="C2880" s="1" t="str">
        <f>IFERROR(__xludf.DUMMYFUNCTION("""COMPUTED_VALUE"""),"Enrico")</f>
        <v>Enrico</v>
      </c>
      <c r="D2880" s="1" t="str">
        <f>IFERROR(__xludf.DUMMYFUNCTION("""COMPUTED_VALUE"""),"Valentin")</f>
        <v>Valentin</v>
      </c>
      <c r="E2880" s="1" t="str">
        <f>IFERROR(__xludf.DUMMYFUNCTION("""COMPUTED_VALUE"""),"Bulag at bingi na po sila....🤮🙄😥😥😥🙏🇵🇭🙏🇵🇭")</f>
        <v>Bulag at bingi na po sila....🤮🙄😥😥😥🙏🇵🇭🙏🇵🇭</v>
      </c>
      <c r="F2880" s="1"/>
      <c r="G2880" s="1" t="str">
        <f>IFERROR(__xludf.DUMMYFUNCTION("""COMPUTED_VALUE"""),"3 mos")</f>
        <v>3 mos</v>
      </c>
      <c r="H2880" s="1" t="str">
        <f>IFERROR(__xludf.DUMMYFUNCTION("""COMPUTED_VALUE"""),"comment")</f>
        <v>comment</v>
      </c>
      <c r="I2880" s="2" t="str">
        <f>IFERROR(__xludf.DUMMYFUNCTION("""COMPUTED_VALUE"""),"https://www.facebook.com/rapplerdotcom/photos/a.317154781638645/5594453700575367/")</f>
        <v>https://www.facebook.com/rapplerdotcom/photos/a.317154781638645/5594453700575367/</v>
      </c>
      <c r="J2880" s="1" t="str">
        <f>IFERROR(__xludf.DUMMYFUNCTION("""COMPUTED_VALUE"""),"2022-07-04T15:53:36.546Z")</f>
        <v>2022-07-04T15:53:36.546Z</v>
      </c>
      <c r="K2880" s="1"/>
    </row>
    <row r="2881">
      <c r="A2881" s="2" t="str">
        <f>IFERROR(__xludf.DUMMYFUNCTION("""COMPUTED_VALUE"""),"https://www.facebook.com/antonio.fortes.3150807")</f>
        <v>https://www.facebook.com/antonio.fortes.3150807</v>
      </c>
      <c r="B2881" s="1" t="str">
        <f>IFERROR(__xludf.DUMMYFUNCTION("""COMPUTED_VALUE"""),"Antonio Fortes")</f>
        <v>Antonio Fortes</v>
      </c>
      <c r="C2881" s="1" t="str">
        <f>IFERROR(__xludf.DUMMYFUNCTION("""COMPUTED_VALUE"""),"Antonio")</f>
        <v>Antonio</v>
      </c>
      <c r="D2881" s="1" t="str">
        <f>IFERROR(__xludf.DUMMYFUNCTION("""COMPUTED_VALUE"""),"Fortes")</f>
        <v>Fortes</v>
      </c>
      <c r="E2881" s="1" t="str">
        <f>IFERROR(__xludf.DUMMYFUNCTION("""COMPUTED_VALUE"""),"Gandang Umaga po sen' kau an mananalo pagka presidents* Ng PILIPINAS"" salamat po*09752648139")</f>
        <v>Gandang Umaga po sen' kau an mananalo pagka presidents* Ng PILIPINAS" salamat po*09752648139</v>
      </c>
      <c r="F2881" s="1"/>
      <c r="G2881" s="1" t="str">
        <f>IFERROR(__xludf.DUMMYFUNCTION("""COMPUTED_VALUE"""),"3 mos")</f>
        <v>3 mos</v>
      </c>
      <c r="H2881" s="1" t="str">
        <f>IFERROR(__xludf.DUMMYFUNCTION("""COMPUTED_VALUE"""),"comment")</f>
        <v>comment</v>
      </c>
      <c r="I2881" s="2" t="str">
        <f>IFERROR(__xludf.DUMMYFUNCTION("""COMPUTED_VALUE"""),"https://www.facebook.com/rapplerdotcom/photos/a.317154781638645/5594453700575367/")</f>
        <v>https://www.facebook.com/rapplerdotcom/photos/a.317154781638645/5594453700575367/</v>
      </c>
      <c r="J2881" s="1" t="str">
        <f>IFERROR(__xludf.DUMMYFUNCTION("""COMPUTED_VALUE"""),"2022-07-04T15:53:36.546Z")</f>
        <v>2022-07-04T15:53:36.546Z</v>
      </c>
      <c r="K2881" s="1"/>
    </row>
    <row r="2882">
      <c r="A2882" s="2" t="str">
        <f>IFERROR(__xludf.DUMMYFUNCTION("""COMPUTED_VALUE"""),"https://www.facebook.com/saturnino.m.zamora")</f>
        <v>https://www.facebook.com/saturnino.m.zamora</v>
      </c>
      <c r="B2882" s="1" t="str">
        <f>IFERROR(__xludf.DUMMYFUNCTION("""COMPUTED_VALUE"""),"Saturnino M. Zamora")</f>
        <v>Saturnino M. Zamora</v>
      </c>
      <c r="C2882" s="1" t="str">
        <f>IFERROR(__xludf.DUMMYFUNCTION("""COMPUTED_VALUE"""),"Saturnino")</f>
        <v>Saturnino</v>
      </c>
      <c r="D2882" s="1" t="str">
        <f>IFERROR(__xludf.DUMMYFUNCTION("""COMPUTED_VALUE"""),"M. Zamora")</f>
        <v>M. Zamora</v>
      </c>
      <c r="E2882" s="1" t="str">
        <f>IFERROR(__xludf.DUMMYFUNCTION("""COMPUTED_VALUE"""),"Agree Sen Paquiou wag ibuto mga corrupt mga letsi yan pahirap sa mamayan.")</f>
        <v>Agree Sen Paquiou wag ibuto mga corrupt mga letsi yan pahirap sa mamayan.</v>
      </c>
      <c r="F2882" s="1"/>
      <c r="G2882" s="1" t="str">
        <f>IFERROR(__xludf.DUMMYFUNCTION("""COMPUTED_VALUE"""),"3 mos")</f>
        <v>3 mos</v>
      </c>
      <c r="H2882" s="1" t="str">
        <f>IFERROR(__xludf.DUMMYFUNCTION("""COMPUTED_VALUE"""),"comment")</f>
        <v>comment</v>
      </c>
      <c r="I2882" s="2" t="str">
        <f>IFERROR(__xludf.DUMMYFUNCTION("""COMPUTED_VALUE"""),"https://www.facebook.com/rapplerdotcom/photos/a.317154781638645/5594453700575367/")</f>
        <v>https://www.facebook.com/rapplerdotcom/photos/a.317154781638645/5594453700575367/</v>
      </c>
      <c r="J2882" s="1" t="str">
        <f>IFERROR(__xludf.DUMMYFUNCTION("""COMPUTED_VALUE"""),"2022-07-04T15:53:36.546Z")</f>
        <v>2022-07-04T15:53:36.546Z</v>
      </c>
      <c r="K2882" s="1"/>
    </row>
    <row r="2883">
      <c r="A2883" s="2" t="str">
        <f>IFERROR(__xludf.DUMMYFUNCTION("""COMPUTED_VALUE"""),"https://www.facebook.com/teresita.gonzales.31337")</f>
        <v>https://www.facebook.com/teresita.gonzales.31337</v>
      </c>
      <c r="B2883" s="1" t="str">
        <f>IFERROR(__xludf.DUMMYFUNCTION("""COMPUTED_VALUE"""),"Teresita Gonzales")</f>
        <v>Teresita Gonzales</v>
      </c>
      <c r="C2883" s="1" t="str">
        <f>IFERROR(__xludf.DUMMYFUNCTION("""COMPUTED_VALUE"""),"Teresita")</f>
        <v>Teresita</v>
      </c>
      <c r="D2883" s="1" t="str">
        <f>IFERROR(__xludf.DUMMYFUNCTION("""COMPUTED_VALUE"""),"Gonzales")</f>
        <v>Gonzales</v>
      </c>
      <c r="E2883" s="1" t="str">
        <f>IFERROR(__xludf.DUMMYFUNCTION("""COMPUTED_VALUE"""),"Ambisioso sobra d makontento")</f>
        <v>Ambisioso sobra d makontento</v>
      </c>
      <c r="F2883" s="1">
        <f>IFERROR(__xludf.DUMMYFUNCTION("""COMPUTED_VALUE"""),5.0)</f>
        <v>5</v>
      </c>
      <c r="G2883" s="1" t="str">
        <f>IFERROR(__xludf.DUMMYFUNCTION("""COMPUTED_VALUE"""),"3 mos")</f>
        <v>3 mos</v>
      </c>
      <c r="H2883" s="1" t="str">
        <f>IFERROR(__xludf.DUMMYFUNCTION("""COMPUTED_VALUE"""),"comment")</f>
        <v>comment</v>
      </c>
      <c r="I2883" s="2" t="str">
        <f>IFERROR(__xludf.DUMMYFUNCTION("""COMPUTED_VALUE"""),"https://www.facebook.com/rapplerdotcom/photos/a.317154781638645/5594453700575367/")</f>
        <v>https://www.facebook.com/rapplerdotcom/photos/a.317154781638645/5594453700575367/</v>
      </c>
      <c r="J2883" s="1" t="str">
        <f>IFERROR(__xludf.DUMMYFUNCTION("""COMPUTED_VALUE"""),"2022-07-04T15:53:36.546Z")</f>
        <v>2022-07-04T15:53:36.546Z</v>
      </c>
      <c r="K2883" s="1"/>
    </row>
    <row r="2884">
      <c r="A2884" s="2" t="str">
        <f>IFERROR(__xludf.DUMMYFUNCTION("""COMPUTED_VALUE"""),"https://www.facebook.com/carmelita.panganiban.374")</f>
        <v>https://www.facebook.com/carmelita.panganiban.374</v>
      </c>
      <c r="B2884" s="1" t="str">
        <f>IFERROR(__xludf.DUMMYFUNCTION("""COMPUTED_VALUE"""),"Carmelita Panganiban")</f>
        <v>Carmelita Panganiban</v>
      </c>
      <c r="C2884" s="1" t="str">
        <f>IFERROR(__xludf.DUMMYFUNCTION("""COMPUTED_VALUE"""),"Carmelita")</f>
        <v>Carmelita</v>
      </c>
      <c r="D2884" s="1" t="str">
        <f>IFERROR(__xludf.DUMMYFUNCTION("""COMPUTED_VALUE"""),"Panganiban")</f>
        <v>Panganiban</v>
      </c>
      <c r="E2884" s="1" t="str">
        <f>IFERROR(__xludf.DUMMYFUNCTION("""COMPUTED_VALUE"""),"Well said Manny.! Dapat sabihan tlga ang mga botante. Nadadamay tyong lahat.")</f>
        <v>Well said Manny.! Dapat sabihan tlga ang mga botante. Nadadamay tyong lahat.</v>
      </c>
      <c r="F2884" s="1">
        <f>IFERROR(__xludf.DUMMYFUNCTION("""COMPUTED_VALUE"""),4.0)</f>
        <v>4</v>
      </c>
      <c r="G2884" s="1" t="str">
        <f>IFERROR(__xludf.DUMMYFUNCTION("""COMPUTED_VALUE"""),"3 mos")</f>
        <v>3 mos</v>
      </c>
      <c r="H2884" s="1" t="str">
        <f>IFERROR(__xludf.DUMMYFUNCTION("""COMPUTED_VALUE"""),"comment")</f>
        <v>comment</v>
      </c>
      <c r="I2884" s="2" t="str">
        <f>IFERROR(__xludf.DUMMYFUNCTION("""COMPUTED_VALUE"""),"https://www.facebook.com/rapplerdotcom/photos/a.317154781638645/5594453700575367/")</f>
        <v>https://www.facebook.com/rapplerdotcom/photos/a.317154781638645/5594453700575367/</v>
      </c>
      <c r="J2884" s="1" t="str">
        <f>IFERROR(__xludf.DUMMYFUNCTION("""COMPUTED_VALUE"""),"2022-07-04T15:53:36.546Z")</f>
        <v>2022-07-04T15:53:36.546Z</v>
      </c>
      <c r="K2884" s="1"/>
    </row>
    <row r="2885">
      <c r="A2885" s="2" t="str">
        <f>IFERROR(__xludf.DUMMYFUNCTION("""COMPUTED_VALUE"""),"https://www.facebook.com/mariateresa.camaddo")</f>
        <v>https://www.facebook.com/mariateresa.camaddo</v>
      </c>
      <c r="B2885" s="1" t="str">
        <f>IFERROR(__xludf.DUMMYFUNCTION("""COMPUTED_VALUE"""),"Matet Camaddo")</f>
        <v>Matet Camaddo</v>
      </c>
      <c r="C2885" s="1" t="str">
        <f>IFERROR(__xludf.DUMMYFUNCTION("""COMPUTED_VALUE"""),"Matet")</f>
        <v>Matet</v>
      </c>
      <c r="D2885" s="1" t="str">
        <f>IFERROR(__xludf.DUMMYFUNCTION("""COMPUTED_VALUE"""),"Camaddo")</f>
        <v>Camaddo</v>
      </c>
      <c r="E2885" s="1" t="str">
        <f>IFERROR(__xludf.DUMMYFUNCTION("""COMPUTED_VALUE"""),"kaya nga ayaw namin sau e para hindi kami mag sisi bandang huli puro kau bintang wala namang kau mapatunayan.")</f>
        <v>kaya nga ayaw namin sau e para hindi kami mag sisi bandang huli puro kau bintang wala namang kau mapatunayan.</v>
      </c>
      <c r="F2885" s="1">
        <f>IFERROR(__xludf.DUMMYFUNCTION("""COMPUTED_VALUE"""),3.0)</f>
        <v>3</v>
      </c>
      <c r="G2885" s="1" t="str">
        <f>IFERROR(__xludf.DUMMYFUNCTION("""COMPUTED_VALUE"""),"3 mos")</f>
        <v>3 mos</v>
      </c>
      <c r="H2885" s="1" t="str">
        <f>IFERROR(__xludf.DUMMYFUNCTION("""COMPUTED_VALUE"""),"comment")</f>
        <v>comment</v>
      </c>
      <c r="I2885" s="2" t="str">
        <f>IFERROR(__xludf.DUMMYFUNCTION("""COMPUTED_VALUE"""),"https://www.facebook.com/rapplerdotcom/photos/a.317154781638645/5594453700575367/")</f>
        <v>https://www.facebook.com/rapplerdotcom/photos/a.317154781638645/5594453700575367/</v>
      </c>
      <c r="J2885" s="1" t="str">
        <f>IFERROR(__xludf.DUMMYFUNCTION("""COMPUTED_VALUE"""),"2022-07-04T15:53:36.546Z")</f>
        <v>2022-07-04T15:53:36.546Z</v>
      </c>
      <c r="K2885" s="1"/>
    </row>
    <row r="2886">
      <c r="A2886" s="2" t="str">
        <f>IFERROR(__xludf.DUMMYFUNCTION("""COMPUTED_VALUE"""),"https://www.facebook.com/narciso.santos.980967")</f>
        <v>https://www.facebook.com/narciso.santos.980967</v>
      </c>
      <c r="B2886" s="1" t="str">
        <f>IFERROR(__xludf.DUMMYFUNCTION("""COMPUTED_VALUE"""),"Narciso Santos")</f>
        <v>Narciso Santos</v>
      </c>
      <c r="C2886" s="1" t="str">
        <f>IFERROR(__xludf.DUMMYFUNCTION("""COMPUTED_VALUE"""),"Narciso")</f>
        <v>Narciso</v>
      </c>
      <c r="D2886" s="1" t="str">
        <f>IFERROR(__xludf.DUMMYFUNCTION("""COMPUTED_VALUE"""),"Santos")</f>
        <v>Santos</v>
      </c>
      <c r="E2886" s="1" t="str">
        <f>IFERROR(__xludf.DUMMYFUNCTION("""COMPUTED_VALUE"""),"Bastos.")</f>
        <v>Bastos.</v>
      </c>
      <c r="F2886" s="1"/>
      <c r="G2886" s="1" t="str">
        <f>IFERROR(__xludf.DUMMYFUNCTION("""COMPUTED_VALUE"""),"3 mos")</f>
        <v>3 mos</v>
      </c>
      <c r="H2886" s="1" t="str">
        <f>IFERROR(__xludf.DUMMYFUNCTION("""COMPUTED_VALUE"""),"comment")</f>
        <v>comment</v>
      </c>
      <c r="I2886" s="2" t="str">
        <f>IFERROR(__xludf.DUMMYFUNCTION("""COMPUTED_VALUE"""),"https://www.facebook.com/rapplerdotcom/photos/a.317154781638645/5594453700575367/")</f>
        <v>https://www.facebook.com/rapplerdotcom/photos/a.317154781638645/5594453700575367/</v>
      </c>
      <c r="J2886" s="1" t="str">
        <f>IFERROR(__xludf.DUMMYFUNCTION("""COMPUTED_VALUE"""),"2022-07-04T15:53:36.546Z")</f>
        <v>2022-07-04T15:53:36.546Z</v>
      </c>
      <c r="K2886" s="1"/>
    </row>
    <row r="2887">
      <c r="A2887" s="2" t="str">
        <f>IFERROR(__xludf.DUMMYFUNCTION("""COMPUTED_VALUE"""),"https://www.facebook.com/soledad.mariano.336")</f>
        <v>https://www.facebook.com/soledad.mariano.336</v>
      </c>
      <c r="B2887" s="1" t="str">
        <f>IFERROR(__xludf.DUMMYFUNCTION("""COMPUTED_VALUE"""),"Soledad Mariano")</f>
        <v>Soledad Mariano</v>
      </c>
      <c r="C2887" s="1" t="str">
        <f>IFERROR(__xludf.DUMMYFUNCTION("""COMPUTED_VALUE"""),"Soledad")</f>
        <v>Soledad</v>
      </c>
      <c r="D2887" s="1" t="str">
        <f>IFERROR(__xludf.DUMMYFUNCTION("""COMPUTED_VALUE"""),"Mariano")</f>
        <v>Mariano</v>
      </c>
      <c r="E2887" s="1" t="str">
        <f>IFERROR(__xludf.DUMMYFUNCTION("""COMPUTED_VALUE"""),"Kung sino ang mananalo sa eleksyon un ang tinalaga ng Diyos na maging leader ng bansang pilipinas kung kaya ang dapat nating gawin pag pray na lng natin sya na pangunahan sya ng Diyos sa kanyang mga hakba ng  sabi sa salita ng Diyos sa kawikaan ang Diyos "&amp;"ang nagpaplano ang Tao  ang nagsasagawa ✨😘🙏❤️ God blless po sa lahat,Jesus is loves you all❤️🙏✨🇵🇭👋😇")</f>
        <v>Kung sino ang mananalo sa eleksyon un ang tinalaga ng Diyos na maging leader ng bansang pilipinas kung kaya ang dapat nating gawin pag pray na lng natin sya na pangunahan sya ng Diyos sa kanyang mga hakba ng  sabi sa salita ng Diyos sa kawikaan ang Diyos ang nagpaplano ang Tao  ang nagsasagawa ✨😘🙏❤️ God blless po sa lahat,Jesus is loves you all❤️🙏✨🇵🇭👋😇</v>
      </c>
      <c r="F2887" s="1">
        <f>IFERROR(__xludf.DUMMYFUNCTION("""COMPUTED_VALUE"""),16.0)</f>
        <v>16</v>
      </c>
      <c r="G2887" s="1" t="str">
        <f>IFERROR(__xludf.DUMMYFUNCTION("""COMPUTED_VALUE"""),"3 mos")</f>
        <v>3 mos</v>
      </c>
      <c r="H2887" s="1" t="str">
        <f>IFERROR(__xludf.DUMMYFUNCTION("""COMPUTED_VALUE"""),"comment")</f>
        <v>comment</v>
      </c>
      <c r="I2887" s="2" t="str">
        <f>IFERROR(__xludf.DUMMYFUNCTION("""COMPUTED_VALUE"""),"https://www.facebook.com/rapplerdotcom/photos/a.317154781638645/5594453700575367/")</f>
        <v>https://www.facebook.com/rapplerdotcom/photos/a.317154781638645/5594453700575367/</v>
      </c>
      <c r="J2887" s="1" t="str">
        <f>IFERROR(__xludf.DUMMYFUNCTION("""COMPUTED_VALUE"""),"2022-07-04T15:53:36.546Z")</f>
        <v>2022-07-04T15:53:36.546Z</v>
      </c>
      <c r="K2887" s="1"/>
    </row>
    <row r="2888">
      <c r="A2888" s="2" t="str">
        <f>IFERROR(__xludf.DUMMYFUNCTION("""COMPUTED_VALUE"""),"https://www.facebook.com/profile.php?id=100076414760032")</f>
        <v>https://www.facebook.com/profile.php?id=100076414760032</v>
      </c>
      <c r="B2888" s="1" t="str">
        <f>IFERROR(__xludf.DUMMYFUNCTION("""COMPUTED_VALUE"""),"Gemma G Tamagos")</f>
        <v>Gemma G Tamagos</v>
      </c>
      <c r="C2888" s="1" t="str">
        <f>IFERROR(__xludf.DUMMYFUNCTION("""COMPUTED_VALUE"""),"Gemma")</f>
        <v>Gemma</v>
      </c>
      <c r="D2888" s="1" t="str">
        <f>IFERROR(__xludf.DUMMYFUNCTION("""COMPUTED_VALUE"""),"G Tamagos")</f>
        <v>G Tamagos</v>
      </c>
      <c r="E2888" s="1" t="str">
        <f>IFERROR(__xludf.DUMMYFUNCTION("""COMPUTED_VALUE"""),"Soledad Mariano  true po  kon sino ang manalo sya ang pinagkalooban nang panginoon...")</f>
        <v>Soledad Mariano  true po  kon sino ang manalo sya ang pinagkalooban nang panginoon...</v>
      </c>
      <c r="F2888" s="1"/>
      <c r="G2888" s="1" t="str">
        <f>IFERROR(__xludf.DUMMYFUNCTION("""COMPUTED_VALUE"""),"3 mos")</f>
        <v>3 mos</v>
      </c>
      <c r="H2888" s="1" t="str">
        <f>IFERROR(__xludf.DUMMYFUNCTION("""COMPUTED_VALUE"""),"reply")</f>
        <v>reply</v>
      </c>
      <c r="I2888" s="2" t="str">
        <f>IFERROR(__xludf.DUMMYFUNCTION("""COMPUTED_VALUE"""),"https://www.facebook.com/rapplerdotcom/photos/a.317154781638645/5594453700575367/")</f>
        <v>https://www.facebook.com/rapplerdotcom/photos/a.317154781638645/5594453700575367/</v>
      </c>
      <c r="J2888" s="1" t="str">
        <f>IFERROR(__xludf.DUMMYFUNCTION("""COMPUTED_VALUE"""),"2022-07-04T15:53:36.546Z")</f>
        <v>2022-07-04T15:53:36.546Z</v>
      </c>
      <c r="K2888" s="1"/>
    </row>
    <row r="2889">
      <c r="A2889" s="2" t="str">
        <f>IFERROR(__xludf.DUMMYFUNCTION("""COMPUTED_VALUE"""),"https://www.facebook.com/profile.php?id=100010227300304")</f>
        <v>https://www.facebook.com/profile.php?id=100010227300304</v>
      </c>
      <c r="B2889" s="1" t="str">
        <f>IFERROR(__xludf.DUMMYFUNCTION("""COMPUTED_VALUE"""),"Ador Cabalbag")</f>
        <v>Ador Cabalbag</v>
      </c>
      <c r="C2889" s="1" t="str">
        <f>IFERROR(__xludf.DUMMYFUNCTION("""COMPUTED_VALUE"""),"Ador")</f>
        <v>Ador</v>
      </c>
      <c r="D2889" s="1" t="str">
        <f>IFERROR(__xludf.DUMMYFUNCTION("""COMPUTED_VALUE"""),"Cabalbag")</f>
        <v>Cabalbag</v>
      </c>
      <c r="E2889" s="1" t="str">
        <f>IFERROR(__xludf.DUMMYFUNCTION("""COMPUTED_VALUE"""),"Soledad Mariano hindi po sapat ang prayers, nasa tao din po ang gawa. Paano po pag korap ang nanalo, pinagkaloob din po ba ito ng Diyos? Kaya nga po binigyan tayo ni Lord ng kapasidad na mag-isip at mamili upang tayo mismo ang mamili kung alin ang tama at"&amp;" kung sino ang nararapat. Matuto din po tayong tumidig sa katotohanan at sa reyalidad. God bless din po.")</f>
        <v>Soledad Mariano hindi po sapat ang prayers, nasa tao din po ang gawa. Paano po pag korap ang nanalo, pinagkaloob din po ba ito ng Diyos? Kaya nga po binigyan tayo ni Lord ng kapasidad na mag-isip at mamili upang tayo mismo ang mamili kung alin ang tama at kung sino ang nararapat. Matuto din po tayong tumidig sa katotohanan at sa reyalidad. God bless din po.</v>
      </c>
      <c r="F2889" s="1">
        <f>IFERROR(__xludf.DUMMYFUNCTION("""COMPUTED_VALUE"""),7.0)</f>
        <v>7</v>
      </c>
      <c r="G2889" s="1" t="str">
        <f>IFERROR(__xludf.DUMMYFUNCTION("""COMPUTED_VALUE"""),"3 mos")</f>
        <v>3 mos</v>
      </c>
      <c r="H2889" s="1" t="str">
        <f>IFERROR(__xludf.DUMMYFUNCTION("""COMPUTED_VALUE"""),"reply")</f>
        <v>reply</v>
      </c>
      <c r="I2889" s="2" t="str">
        <f>IFERROR(__xludf.DUMMYFUNCTION("""COMPUTED_VALUE"""),"https://www.facebook.com/rapplerdotcom/photos/a.317154781638645/5594453700575367/")</f>
        <v>https://www.facebook.com/rapplerdotcom/photos/a.317154781638645/5594453700575367/</v>
      </c>
      <c r="J2889" s="1" t="str">
        <f>IFERROR(__xludf.DUMMYFUNCTION("""COMPUTED_VALUE"""),"2022-07-04T15:53:36.546Z")</f>
        <v>2022-07-04T15:53:36.546Z</v>
      </c>
      <c r="K2889" s="1"/>
    </row>
    <row r="2890">
      <c r="A2890" s="2" t="str">
        <f>IFERROR(__xludf.DUMMYFUNCTION("""COMPUTED_VALUE"""),"https://www.facebook.com/bernardo.hermogenes")</f>
        <v>https://www.facebook.com/bernardo.hermogenes</v>
      </c>
      <c r="B2890" s="1" t="str">
        <f>IFERROR(__xludf.DUMMYFUNCTION("""COMPUTED_VALUE"""),"Bernardo Salcedo Hermogenes")</f>
        <v>Bernardo Salcedo Hermogenes</v>
      </c>
      <c r="C2890" s="1" t="str">
        <f>IFERROR(__xludf.DUMMYFUNCTION("""COMPUTED_VALUE"""),"Bernardo")</f>
        <v>Bernardo</v>
      </c>
      <c r="D2890" s="1" t="str">
        <f>IFERROR(__xludf.DUMMYFUNCTION("""COMPUTED_VALUE"""),"Salcedo Hermogenes")</f>
        <v>Salcedo Hermogenes</v>
      </c>
      <c r="E2890" s="1" t="str">
        <f>IFERROR(__xludf.DUMMYFUNCTION("""COMPUTED_VALUE"""),"Soledad Mariano tao po ang boboto hindi ang po ang God...tao po ang may gusto kung sino ang mananalo...maaawa lang c God atin pag maling tao ang binoto nating..kaya pag isipan suriin kung sino ang dapat iboto ang may mabuting kalooban at sumusond sa batas"&amp;" ng pilipinas...wag mong sabihin c God ang kagustuhan yan kung sino mananalo...baka pag mali ang pangulong nanalo sisihin pa natin c God..tao ang bomoto tao rin ang sisihin hindi c God")</f>
        <v>Soledad Mariano tao po ang boboto hindi ang po ang God...tao po ang may gusto kung sino ang mananalo...maaawa lang c God atin pag maling tao ang binoto nating..kaya pag isipan suriin kung sino ang dapat iboto ang may mabuting kalooban at sumusond sa batas ng pilipinas...wag mong sabihin c God ang kagustuhan yan kung sino mananalo...baka pag mali ang pangulong nanalo sisihin pa natin c God..tao ang bomoto tao rin ang sisihin hindi c God</v>
      </c>
      <c r="F2890" s="1">
        <f>IFERROR(__xludf.DUMMYFUNCTION("""COMPUTED_VALUE"""),5.0)</f>
        <v>5</v>
      </c>
      <c r="G2890" s="1" t="str">
        <f>IFERROR(__xludf.DUMMYFUNCTION("""COMPUTED_VALUE"""),"3 mos")</f>
        <v>3 mos</v>
      </c>
      <c r="H2890" s="1" t="str">
        <f>IFERROR(__xludf.DUMMYFUNCTION("""COMPUTED_VALUE"""),"reply")</f>
        <v>reply</v>
      </c>
      <c r="I2890" s="2" t="str">
        <f>IFERROR(__xludf.DUMMYFUNCTION("""COMPUTED_VALUE"""),"https://www.facebook.com/rapplerdotcom/photos/a.317154781638645/5594453700575367/")</f>
        <v>https://www.facebook.com/rapplerdotcom/photos/a.317154781638645/5594453700575367/</v>
      </c>
      <c r="J2890" s="1" t="str">
        <f>IFERROR(__xludf.DUMMYFUNCTION("""COMPUTED_VALUE"""),"2022-07-04T15:53:36.546Z")</f>
        <v>2022-07-04T15:53:36.546Z</v>
      </c>
      <c r="K2890" s="1"/>
    </row>
    <row r="2891">
      <c r="A2891" s="2" t="str">
        <f>IFERROR(__xludf.DUMMYFUNCTION("""COMPUTED_VALUE"""),"https://www.facebook.com/profile.php?id=100040002892951")</f>
        <v>https://www.facebook.com/profile.php?id=100040002892951</v>
      </c>
      <c r="B2891" s="1" t="str">
        <f>IFERROR(__xludf.DUMMYFUNCTION("""COMPUTED_VALUE"""),"Peter Santos")</f>
        <v>Peter Santos</v>
      </c>
      <c r="C2891" s="1" t="str">
        <f>IFERROR(__xludf.DUMMYFUNCTION("""COMPUTED_VALUE"""),"Peter")</f>
        <v>Peter</v>
      </c>
      <c r="D2891" s="1" t="str">
        <f>IFERROR(__xludf.DUMMYFUNCTION("""COMPUTED_VALUE"""),"Santos")</f>
        <v>Santos</v>
      </c>
      <c r="E2891" s="1" t="str">
        <f>IFERROR(__xludf.DUMMYFUNCTION("""COMPUTED_VALUE"""),"Soledad Mariano  Isa sa sampung utos ng Diyos ang Huwag Kang magnakaw.")</f>
        <v>Soledad Mariano  Isa sa sampung utos ng Diyos ang Huwag Kang magnakaw.</v>
      </c>
      <c r="F2891" s="1"/>
      <c r="G2891" s="1" t="str">
        <f>IFERROR(__xludf.DUMMYFUNCTION("""COMPUTED_VALUE"""),"3 mos")</f>
        <v>3 mos</v>
      </c>
      <c r="H2891" s="1" t="str">
        <f>IFERROR(__xludf.DUMMYFUNCTION("""COMPUTED_VALUE"""),"reply")</f>
        <v>reply</v>
      </c>
      <c r="I2891" s="2" t="str">
        <f>IFERROR(__xludf.DUMMYFUNCTION("""COMPUTED_VALUE"""),"https://www.facebook.com/rapplerdotcom/photos/a.317154781638645/5594453700575367/")</f>
        <v>https://www.facebook.com/rapplerdotcom/photos/a.317154781638645/5594453700575367/</v>
      </c>
      <c r="J2891" s="1" t="str">
        <f>IFERROR(__xludf.DUMMYFUNCTION("""COMPUTED_VALUE"""),"2022-07-04T15:53:36.546Z")</f>
        <v>2022-07-04T15:53:36.546Z</v>
      </c>
      <c r="K2891" s="1"/>
    </row>
    <row r="2892">
      <c r="A2892" s="2" t="str">
        <f>IFERROR(__xludf.DUMMYFUNCTION("""COMPUTED_VALUE"""),"https://www.facebook.com/anecia.comandantepore")</f>
        <v>https://www.facebook.com/anecia.comandantepore</v>
      </c>
      <c r="B2892" s="1" t="str">
        <f>IFERROR(__xludf.DUMMYFUNCTION("""COMPUTED_VALUE"""),"Anecia Comandante Pore")</f>
        <v>Anecia Comandante Pore</v>
      </c>
      <c r="C2892" s="1" t="str">
        <f>IFERROR(__xludf.DUMMYFUNCTION("""COMPUTED_VALUE"""),"Anecia")</f>
        <v>Anecia</v>
      </c>
      <c r="D2892" s="1" t="str">
        <f>IFERROR(__xludf.DUMMYFUNCTION("""COMPUTED_VALUE"""),"Comandante Pore")</f>
        <v>Comandante Pore</v>
      </c>
      <c r="E2892" s="1" t="str">
        <f>IFERROR(__xludf.DUMMYFUNCTION("""COMPUTED_VALUE"""),"Soledad Mariano KAYA MAGTUTULUNGAN TAYO SA PAGPAPALAGANAP NG WASTO AT KATUTOHANAN LAMANG. HINDI SAPAT ANG PAGDADASAL PAGKAT MAY KASABIHAN TAYO: ""NASA TAO ANG GAWA AT NASA DIOS ANG AWS"".")</f>
        <v>Soledad Mariano KAYA MAGTUTULUNGAN TAYO SA PAGPAPALAGANAP NG WASTO AT KATUTOHANAN LAMANG. HINDI SAPAT ANG PAGDADASAL PAGKAT MAY KASABIHAN TAYO: "NASA TAO ANG GAWA AT NASA DIOS ANG AWS".</v>
      </c>
      <c r="F2892" s="1">
        <f>IFERROR(__xludf.DUMMYFUNCTION("""COMPUTED_VALUE"""),2.0)</f>
        <v>2</v>
      </c>
      <c r="G2892" s="1" t="str">
        <f>IFERROR(__xludf.DUMMYFUNCTION("""COMPUTED_VALUE"""),"3 mos")</f>
        <v>3 mos</v>
      </c>
      <c r="H2892" s="1" t="str">
        <f>IFERROR(__xludf.DUMMYFUNCTION("""COMPUTED_VALUE"""),"reply")</f>
        <v>reply</v>
      </c>
      <c r="I2892" s="2" t="str">
        <f>IFERROR(__xludf.DUMMYFUNCTION("""COMPUTED_VALUE"""),"https://www.facebook.com/rapplerdotcom/photos/a.317154781638645/5594453700575367/")</f>
        <v>https://www.facebook.com/rapplerdotcom/photos/a.317154781638645/5594453700575367/</v>
      </c>
      <c r="J2892" s="1" t="str">
        <f>IFERROR(__xludf.DUMMYFUNCTION("""COMPUTED_VALUE"""),"2022-07-04T15:53:36.546Z")</f>
        <v>2022-07-04T15:53:36.546Z</v>
      </c>
      <c r="K2892" s="1"/>
    </row>
    <row r="2893">
      <c r="A2893" s="2" t="str">
        <f>IFERROR(__xludf.DUMMYFUNCTION("""COMPUTED_VALUE"""),"https://www.facebook.com/lesdicen")</f>
        <v>https://www.facebook.com/lesdicen</v>
      </c>
      <c r="B2893" s="1" t="str">
        <f>IFERROR(__xludf.DUMMYFUNCTION("""COMPUTED_VALUE"""),"Liz Bon")</f>
        <v>Liz Bon</v>
      </c>
      <c r="C2893" s="1" t="str">
        <f>IFERROR(__xludf.DUMMYFUNCTION("""COMPUTED_VALUE"""),"Liz")</f>
        <v>Liz</v>
      </c>
      <c r="D2893" s="1" t="str">
        <f>IFERROR(__xludf.DUMMYFUNCTION("""COMPUTED_VALUE"""),"Bon")</f>
        <v>Bon</v>
      </c>
      <c r="E2893" s="1" t="str">
        <f>IFERROR(__xludf.DUMMYFUNCTION("""COMPUTED_VALUE"""),"Tama po ang mgdasal, pro binigyan tyo ng Dios ng sapat na pagisiip pra matutong pumili at mgdesisyon ng tama. Nsa Dios ang awa nsa tao ang gawa. At sbi pa nga nsa huli ang pgsisisi.")</f>
        <v>Tama po ang mgdasal, pro binigyan tyo ng Dios ng sapat na pagisiip pra matutong pumili at mgdesisyon ng tama. Nsa Dios ang awa nsa tao ang gawa. At sbi pa nga nsa huli ang pgsisisi.</v>
      </c>
      <c r="F2893" s="1">
        <f>IFERROR(__xludf.DUMMYFUNCTION("""COMPUTED_VALUE"""),3.0)</f>
        <v>3</v>
      </c>
      <c r="G2893" s="1" t="str">
        <f>IFERROR(__xludf.DUMMYFUNCTION("""COMPUTED_VALUE"""),"3 mos")</f>
        <v>3 mos</v>
      </c>
      <c r="H2893" s="1" t="str">
        <f>IFERROR(__xludf.DUMMYFUNCTION("""COMPUTED_VALUE"""),"reply")</f>
        <v>reply</v>
      </c>
      <c r="I2893" s="2" t="str">
        <f>IFERROR(__xludf.DUMMYFUNCTION("""COMPUTED_VALUE"""),"https://www.facebook.com/rapplerdotcom/photos/a.317154781638645/5594453700575367/")</f>
        <v>https://www.facebook.com/rapplerdotcom/photos/a.317154781638645/5594453700575367/</v>
      </c>
      <c r="J2893" s="1" t="str">
        <f>IFERROR(__xludf.DUMMYFUNCTION("""COMPUTED_VALUE"""),"2022-07-04T15:53:36.546Z")</f>
        <v>2022-07-04T15:53:36.546Z</v>
      </c>
      <c r="K2893" s="1"/>
    </row>
    <row r="2894">
      <c r="A2894" s="2" t="str">
        <f>IFERROR(__xludf.DUMMYFUNCTION("""COMPUTED_VALUE"""),"https://www.facebook.com/pjp021055")</f>
        <v>https://www.facebook.com/pjp021055</v>
      </c>
      <c r="B2894" s="1" t="str">
        <f>IFERROR(__xludf.DUMMYFUNCTION("""COMPUTED_VALUE"""),"Ruficacion Jimenez")</f>
        <v>Ruficacion Jimenez</v>
      </c>
      <c r="C2894" s="1" t="str">
        <f>IFERROR(__xludf.DUMMYFUNCTION("""COMPUTED_VALUE"""),"Ruficacion")</f>
        <v>Ruficacion</v>
      </c>
      <c r="D2894" s="1" t="str">
        <f>IFERROR(__xludf.DUMMYFUNCTION("""COMPUTED_VALUE"""),"Jimenez")</f>
        <v>Jimenez</v>
      </c>
      <c r="E2894" s="1" t="str">
        <f>IFERROR(__xludf.DUMMYFUNCTION("""COMPUTED_VALUE"""),"Soledad Mariano tama ho")</f>
        <v>Soledad Mariano tama ho</v>
      </c>
      <c r="F2894" s="1"/>
      <c r="G2894" s="1" t="str">
        <f>IFERROR(__xludf.DUMMYFUNCTION("""COMPUTED_VALUE"""),"3 mos")</f>
        <v>3 mos</v>
      </c>
      <c r="H2894" s="1" t="str">
        <f>IFERROR(__xludf.DUMMYFUNCTION("""COMPUTED_VALUE"""),"reply")</f>
        <v>reply</v>
      </c>
      <c r="I2894" s="2" t="str">
        <f>IFERROR(__xludf.DUMMYFUNCTION("""COMPUTED_VALUE"""),"https://www.facebook.com/rapplerdotcom/photos/a.317154781638645/5594453700575367/")</f>
        <v>https://www.facebook.com/rapplerdotcom/photos/a.317154781638645/5594453700575367/</v>
      </c>
      <c r="J2894" s="1" t="str">
        <f>IFERROR(__xludf.DUMMYFUNCTION("""COMPUTED_VALUE"""),"2022-07-04T15:53:36.546Z")</f>
        <v>2022-07-04T15:53:36.546Z</v>
      </c>
      <c r="K2894" s="1"/>
    </row>
    <row r="2895">
      <c r="A2895" s="2" t="str">
        <f>IFERROR(__xludf.DUMMYFUNCTION("""COMPUTED_VALUE"""),"https://www.facebook.com/MiLjenN25")</f>
        <v>https://www.facebook.com/MiLjenN25</v>
      </c>
      <c r="B2895" s="1" t="str">
        <f>IFERROR(__xludf.DUMMYFUNCTION("""COMPUTED_VALUE"""),"Manapsal Mil Castro")</f>
        <v>Manapsal Mil Castro</v>
      </c>
      <c r="C2895" s="1" t="str">
        <f>IFERROR(__xludf.DUMMYFUNCTION("""COMPUTED_VALUE"""),"Manapsal")</f>
        <v>Manapsal</v>
      </c>
      <c r="D2895" s="1" t="str">
        <f>IFERROR(__xludf.DUMMYFUNCTION("""COMPUTED_VALUE"""),"Mil Castro")</f>
        <v>Mil Castro</v>
      </c>
      <c r="E2895" s="1" t="str">
        <f>IFERROR(__xludf.DUMMYFUNCTION("""COMPUTED_VALUE"""),"bakit sa tingin ba ninyo ung mga tumatakbo ngaun walang mga kanya kanyang agenda🤣😂 halos ng tumatakbong pangulo ngaun iisa lng ang hangarin makuha ung 203 billion kuno🤣😅 uu nga malaking pera un malaking kupitan🤣😂")</f>
        <v>bakit sa tingin ba ninyo ung mga tumatakbo ngaun walang mga kanya kanyang agenda🤣😂 halos ng tumatakbong pangulo ngaun iisa lng ang hangarin makuha ung 203 billion kuno🤣😅 uu nga malaking pera un malaking kupitan🤣😂</v>
      </c>
      <c r="F2895" s="1">
        <f>IFERROR(__xludf.DUMMYFUNCTION("""COMPUTED_VALUE"""),1.0)</f>
        <v>1</v>
      </c>
      <c r="G2895" s="1" t="str">
        <f>IFERROR(__xludf.DUMMYFUNCTION("""COMPUTED_VALUE"""),"3 mos")</f>
        <v>3 mos</v>
      </c>
      <c r="H2895" s="1" t="str">
        <f>IFERROR(__xludf.DUMMYFUNCTION("""COMPUTED_VALUE"""),"reply")</f>
        <v>reply</v>
      </c>
      <c r="I2895" s="2" t="str">
        <f>IFERROR(__xludf.DUMMYFUNCTION("""COMPUTED_VALUE"""),"https://www.facebook.com/rapplerdotcom/photos/a.317154781638645/5594453700575367/")</f>
        <v>https://www.facebook.com/rapplerdotcom/photos/a.317154781638645/5594453700575367/</v>
      </c>
      <c r="J2895" s="1" t="str">
        <f>IFERROR(__xludf.DUMMYFUNCTION("""COMPUTED_VALUE"""),"2022-07-04T15:53:36.546Z")</f>
        <v>2022-07-04T15:53:36.546Z</v>
      </c>
      <c r="K2895" s="1"/>
    </row>
    <row r="2896">
      <c r="A2896" s="2" t="str">
        <f>IFERROR(__xludf.DUMMYFUNCTION("""COMPUTED_VALUE"""),"https://www.facebook.com/rudy.ricafrente.10")</f>
        <v>https://www.facebook.com/rudy.ricafrente.10</v>
      </c>
      <c r="B2896" s="1" t="str">
        <f>IFERROR(__xludf.DUMMYFUNCTION("""COMPUTED_VALUE"""),"Rudy Ricafrente")</f>
        <v>Rudy Ricafrente</v>
      </c>
      <c r="C2896" s="1" t="str">
        <f>IFERROR(__xludf.DUMMYFUNCTION("""COMPUTED_VALUE"""),"Rudy")</f>
        <v>Rudy</v>
      </c>
      <c r="D2896" s="1" t="str">
        <f>IFERROR(__xludf.DUMMYFUNCTION("""COMPUTED_VALUE"""),"Ricafrente")</f>
        <v>Ricafrente</v>
      </c>
      <c r="E2896" s="1" t="str">
        <f>IFERROR(__xludf.DUMMYFUNCTION("""COMPUTED_VALUE"""),"Ibig sabihin pakyaw ikaww iboto hindi na sigurado ka bang d ka rin mag nakaw babawiin mo lahat mg ginastos mo")</f>
        <v>Ibig sabihin pakyaw ikaww iboto hindi na sigurado ka bang d ka rin mag nakaw babawiin mo lahat mg ginastos mo</v>
      </c>
      <c r="F2896" s="1">
        <f>IFERROR(__xludf.DUMMYFUNCTION("""COMPUTED_VALUE"""),6.0)</f>
        <v>6</v>
      </c>
      <c r="G2896" s="1" t="str">
        <f>IFERROR(__xludf.DUMMYFUNCTION("""COMPUTED_VALUE"""),"3 mos")</f>
        <v>3 mos</v>
      </c>
      <c r="H2896" s="1" t="str">
        <f>IFERROR(__xludf.DUMMYFUNCTION("""COMPUTED_VALUE"""),"comment")</f>
        <v>comment</v>
      </c>
      <c r="I2896" s="2" t="str">
        <f>IFERROR(__xludf.DUMMYFUNCTION("""COMPUTED_VALUE"""),"https://www.facebook.com/rapplerdotcom/photos/a.317154781638645/5594453700575367/")</f>
        <v>https://www.facebook.com/rapplerdotcom/photos/a.317154781638645/5594453700575367/</v>
      </c>
      <c r="J2896" s="1" t="str">
        <f>IFERROR(__xludf.DUMMYFUNCTION("""COMPUTED_VALUE"""),"2022-07-04T15:53:36.546Z")</f>
        <v>2022-07-04T15:53:36.546Z</v>
      </c>
      <c r="K2896" s="1"/>
    </row>
    <row r="2897">
      <c r="A2897" s="2" t="str">
        <f>IFERROR(__xludf.DUMMYFUNCTION("""COMPUTED_VALUE"""),"https://www.facebook.com/profile.php?id=100005240507812")</f>
        <v>https://www.facebook.com/profile.php?id=100005240507812</v>
      </c>
      <c r="B2897" s="1" t="str">
        <f>IFERROR(__xludf.DUMMYFUNCTION("""COMPUTED_VALUE"""),"Teodoro Murillo")</f>
        <v>Teodoro Murillo</v>
      </c>
      <c r="C2897" s="1" t="str">
        <f>IFERROR(__xludf.DUMMYFUNCTION("""COMPUTED_VALUE"""),"Teodoro")</f>
        <v>Teodoro</v>
      </c>
      <c r="D2897" s="1" t="str">
        <f>IFERROR(__xludf.DUMMYFUNCTION("""COMPUTED_VALUE"""),"Murillo")</f>
        <v>Murillo</v>
      </c>
      <c r="E2897" s="1" t="str">
        <f>IFERROR(__xludf.DUMMYFUNCTION("""COMPUTED_VALUE"""),"Tama ka jn insan cegurado lahat atakawin nyan")</f>
        <v>Tama ka jn insan cegurado lahat atakawin nyan</v>
      </c>
      <c r="F2897" s="1">
        <f>IFERROR(__xludf.DUMMYFUNCTION("""COMPUTED_VALUE"""),1.0)</f>
        <v>1</v>
      </c>
      <c r="G2897" s="1" t="str">
        <f>IFERROR(__xludf.DUMMYFUNCTION("""COMPUTED_VALUE"""),"3 mos")</f>
        <v>3 mos</v>
      </c>
      <c r="H2897" s="1" t="str">
        <f>IFERROR(__xludf.DUMMYFUNCTION("""COMPUTED_VALUE"""),"reply")</f>
        <v>reply</v>
      </c>
      <c r="I2897" s="2" t="str">
        <f>IFERROR(__xludf.DUMMYFUNCTION("""COMPUTED_VALUE"""),"https://www.facebook.com/rapplerdotcom/photos/a.317154781638645/5594453700575367/")</f>
        <v>https://www.facebook.com/rapplerdotcom/photos/a.317154781638645/5594453700575367/</v>
      </c>
      <c r="J2897" s="1" t="str">
        <f>IFERROR(__xludf.DUMMYFUNCTION("""COMPUTED_VALUE"""),"2022-07-04T15:53:36.546Z")</f>
        <v>2022-07-04T15:53:36.546Z</v>
      </c>
      <c r="K2897" s="1"/>
    </row>
    <row r="2898">
      <c r="A2898" s="2" t="str">
        <f>IFERROR(__xludf.DUMMYFUNCTION("""COMPUTED_VALUE"""),"https://www.facebook.com/rafaelito.ballesteros.90")</f>
        <v>https://www.facebook.com/rafaelito.ballesteros.90</v>
      </c>
      <c r="B2898" s="1" t="str">
        <f>IFERROR(__xludf.DUMMYFUNCTION("""COMPUTED_VALUE"""),"Rafaelito Ballesteros")</f>
        <v>Rafaelito Ballesteros</v>
      </c>
      <c r="C2898" s="1" t="str">
        <f>IFERROR(__xludf.DUMMYFUNCTION("""COMPUTED_VALUE"""),"Rafaelito")</f>
        <v>Rafaelito</v>
      </c>
      <c r="D2898" s="1" t="str">
        <f>IFERROR(__xludf.DUMMYFUNCTION("""COMPUTED_VALUE"""),"Ballesteros")</f>
        <v>Ballesteros</v>
      </c>
      <c r="E2898" s="1" t="str">
        <f>IFERROR(__xludf.DUMMYFUNCTION("""COMPUTED_VALUE"""),"Rudy Ricafrente Bullseye Bro !!!!")</f>
        <v>Rudy Ricafrente Bullseye Bro !!!!</v>
      </c>
      <c r="F2898" s="1"/>
      <c r="G2898" s="1" t="str">
        <f>IFERROR(__xludf.DUMMYFUNCTION("""COMPUTED_VALUE"""),"3 mos")</f>
        <v>3 mos</v>
      </c>
      <c r="H2898" s="1" t="str">
        <f>IFERROR(__xludf.DUMMYFUNCTION("""COMPUTED_VALUE"""),"reply")</f>
        <v>reply</v>
      </c>
      <c r="I2898" s="2" t="str">
        <f>IFERROR(__xludf.DUMMYFUNCTION("""COMPUTED_VALUE"""),"https://www.facebook.com/rapplerdotcom/photos/a.317154781638645/5594453700575367/")</f>
        <v>https://www.facebook.com/rapplerdotcom/photos/a.317154781638645/5594453700575367/</v>
      </c>
      <c r="J2898" s="1" t="str">
        <f>IFERROR(__xludf.DUMMYFUNCTION("""COMPUTED_VALUE"""),"2022-07-04T15:53:36.546Z")</f>
        <v>2022-07-04T15:53:36.546Z</v>
      </c>
      <c r="K2898" s="1"/>
    </row>
    <row r="2899">
      <c r="A2899" s="2" t="str">
        <f>IFERROR(__xludf.DUMMYFUNCTION("""COMPUTED_VALUE"""),"https://www.facebook.com/jude.romero.14")</f>
        <v>https://www.facebook.com/jude.romero.14</v>
      </c>
      <c r="B2899" s="1" t="str">
        <f>IFERROR(__xludf.DUMMYFUNCTION("""COMPUTED_VALUE"""),"Jude Romero")</f>
        <v>Jude Romero</v>
      </c>
      <c r="C2899" s="1" t="str">
        <f>IFERROR(__xludf.DUMMYFUNCTION("""COMPUTED_VALUE"""),"Jude")</f>
        <v>Jude</v>
      </c>
      <c r="D2899" s="1" t="str">
        <f>IFERROR(__xludf.DUMMYFUNCTION("""COMPUTED_VALUE"""),"Romero")</f>
        <v>Romero</v>
      </c>
      <c r="E2899" s="1" t="str">
        <f>IFERROR(__xludf.DUMMYFUNCTION("""COMPUTED_VALUE"""),"Rudy Ricafrente ubusin niya kaban ng bayan para patayuan ng bahay ang lahat ng mahihirap")</f>
        <v>Rudy Ricafrente ubusin niya kaban ng bayan para patayuan ng bahay ang lahat ng mahihirap</v>
      </c>
      <c r="F2899" s="1"/>
      <c r="G2899" s="1" t="str">
        <f>IFERROR(__xludf.DUMMYFUNCTION("""COMPUTED_VALUE"""),"3 mos")</f>
        <v>3 mos</v>
      </c>
      <c r="H2899" s="1" t="str">
        <f>IFERROR(__xludf.DUMMYFUNCTION("""COMPUTED_VALUE"""),"reply")</f>
        <v>reply</v>
      </c>
      <c r="I2899" s="2" t="str">
        <f>IFERROR(__xludf.DUMMYFUNCTION("""COMPUTED_VALUE"""),"https://www.facebook.com/rapplerdotcom/photos/a.317154781638645/5594453700575367/")</f>
        <v>https://www.facebook.com/rapplerdotcom/photos/a.317154781638645/5594453700575367/</v>
      </c>
      <c r="J2899" s="1" t="str">
        <f>IFERROR(__xludf.DUMMYFUNCTION("""COMPUTED_VALUE"""),"2022-07-04T15:53:36.546Z")</f>
        <v>2022-07-04T15:53:36.546Z</v>
      </c>
      <c r="K2899" s="1"/>
    </row>
    <row r="2900">
      <c r="A2900" s="2" t="str">
        <f>IFERROR(__xludf.DUMMYFUNCTION("""COMPUTED_VALUE"""),"https://www.facebook.com/merly.mesuga")</f>
        <v>https://www.facebook.com/merly.mesuga</v>
      </c>
      <c r="B2900" s="1" t="str">
        <f>IFERROR(__xludf.DUMMYFUNCTION("""COMPUTED_VALUE"""),"Merly Añover Robin")</f>
        <v>Merly Añover Robin</v>
      </c>
      <c r="C2900" s="1" t="str">
        <f>IFERROR(__xludf.DUMMYFUNCTION("""COMPUTED_VALUE"""),"Merly")</f>
        <v>Merly</v>
      </c>
      <c r="D2900" s="1" t="str">
        <f>IFERROR(__xludf.DUMMYFUNCTION("""COMPUTED_VALUE"""),"Añover Robin")</f>
        <v>Añover Robin</v>
      </c>
      <c r="E2900" s="1" t="str">
        <f>IFERROR(__xludf.DUMMYFUNCTION("""COMPUTED_VALUE"""),"Maraming guilty react dto hindi nman nagbanggit ng pangalan😁")</f>
        <v>Maraming guilty react dto hindi nman nagbanggit ng pangalan😁</v>
      </c>
      <c r="F2900" s="1">
        <f>IFERROR(__xludf.DUMMYFUNCTION("""COMPUTED_VALUE"""),1.0)</f>
        <v>1</v>
      </c>
      <c r="G2900" s="1" t="str">
        <f>IFERROR(__xludf.DUMMYFUNCTION("""COMPUTED_VALUE"""),"3 mos")</f>
        <v>3 mos</v>
      </c>
      <c r="H2900" s="1" t="str">
        <f>IFERROR(__xludf.DUMMYFUNCTION("""COMPUTED_VALUE"""),"comment")</f>
        <v>comment</v>
      </c>
      <c r="I2900" s="2" t="str">
        <f>IFERROR(__xludf.DUMMYFUNCTION("""COMPUTED_VALUE"""),"https://www.facebook.com/rapplerdotcom/photos/a.317154781638645/5594453700575367/")</f>
        <v>https://www.facebook.com/rapplerdotcom/photos/a.317154781638645/5594453700575367/</v>
      </c>
      <c r="J2900" s="1" t="str">
        <f>IFERROR(__xludf.DUMMYFUNCTION("""COMPUTED_VALUE"""),"2022-07-04T15:53:36.546Z")</f>
        <v>2022-07-04T15:53:36.546Z</v>
      </c>
      <c r="K2900" s="1"/>
    </row>
    <row r="2901">
      <c r="A2901" s="2" t="str">
        <f>IFERROR(__xludf.DUMMYFUNCTION("""COMPUTED_VALUE"""),"https://www.facebook.com/jimmy.pascua.5")</f>
        <v>https://www.facebook.com/jimmy.pascua.5</v>
      </c>
      <c r="B2901" s="1" t="str">
        <f>IFERROR(__xludf.DUMMYFUNCTION("""COMPUTED_VALUE"""),"Jimmy Navidad")</f>
        <v>Jimmy Navidad</v>
      </c>
      <c r="C2901" s="1" t="str">
        <f>IFERROR(__xludf.DUMMYFUNCTION("""COMPUTED_VALUE"""),"Jimmy")</f>
        <v>Jimmy</v>
      </c>
      <c r="D2901" s="1" t="str">
        <f>IFERROR(__xludf.DUMMYFUNCTION("""COMPUTED_VALUE"""),"Navidad")</f>
        <v>Navidad</v>
      </c>
      <c r="E2901" s="1" t="str">
        <f>IFERROR(__xludf.DUMMYFUNCTION("""COMPUTED_VALUE"""),"minsan na kaming naloko ng sinasabi nyong pagbabago pero me nabago nga bah o lalong lumala ang kahirapan sa ating bansa... mulat at natauhan na kami... kaya let see on May 09, 2022 na lang... salamuch...")</f>
        <v>minsan na kaming naloko ng sinasabi nyong pagbabago pero me nabago nga bah o lalong lumala ang kahirapan sa ating bansa... mulat at natauhan na kami... kaya let see on May 09, 2022 na lang... salamuch...</v>
      </c>
      <c r="F2901" s="1">
        <f>IFERROR(__xludf.DUMMYFUNCTION("""COMPUTED_VALUE"""),4.0)</f>
        <v>4</v>
      </c>
      <c r="G2901" s="1" t="str">
        <f>IFERROR(__xludf.DUMMYFUNCTION("""COMPUTED_VALUE"""),"3 mos")</f>
        <v>3 mos</v>
      </c>
      <c r="H2901" s="1" t="str">
        <f>IFERROR(__xludf.DUMMYFUNCTION("""COMPUTED_VALUE"""),"comment")</f>
        <v>comment</v>
      </c>
      <c r="I2901" s="2" t="str">
        <f>IFERROR(__xludf.DUMMYFUNCTION("""COMPUTED_VALUE"""),"https://www.facebook.com/rapplerdotcom/photos/a.317154781638645/5594453700575367/")</f>
        <v>https://www.facebook.com/rapplerdotcom/photos/a.317154781638645/5594453700575367/</v>
      </c>
      <c r="J2901" s="1" t="str">
        <f>IFERROR(__xludf.DUMMYFUNCTION("""COMPUTED_VALUE"""),"2022-07-04T15:53:36.546Z")</f>
        <v>2022-07-04T15:53:36.546Z</v>
      </c>
      <c r="K2901" s="1"/>
    </row>
    <row r="2902">
      <c r="A2902" s="2" t="str">
        <f>IFERROR(__xludf.DUMMYFUNCTION("""COMPUTED_VALUE"""),"https://www.facebook.com/ogie.fernandez.731")</f>
        <v>https://www.facebook.com/ogie.fernandez.731</v>
      </c>
      <c r="B2902" s="1" t="str">
        <f>IFERROR(__xludf.DUMMYFUNCTION("""COMPUTED_VALUE"""),"Ogie Fernandez")</f>
        <v>Ogie Fernandez</v>
      </c>
      <c r="C2902" s="1" t="str">
        <f>IFERROR(__xludf.DUMMYFUNCTION("""COMPUTED_VALUE"""),"Ogie")</f>
        <v>Ogie</v>
      </c>
      <c r="D2902" s="1" t="str">
        <f>IFERROR(__xludf.DUMMYFUNCTION("""COMPUTED_VALUE"""),"Fernandez")</f>
        <v>Fernandez</v>
      </c>
      <c r="E2902" s="1" t="str">
        <f>IFERROR(__xludf.DUMMYFUNCTION("""COMPUTED_VALUE"""),"Pahinga muna wala kanang pag asa talo kana")</f>
        <v>Pahinga muna wala kanang pag asa talo kana</v>
      </c>
      <c r="F2902" s="1">
        <f>IFERROR(__xludf.DUMMYFUNCTION("""COMPUTED_VALUE"""),2.0)</f>
        <v>2</v>
      </c>
      <c r="G2902" s="1" t="str">
        <f>IFERROR(__xludf.DUMMYFUNCTION("""COMPUTED_VALUE"""),"3 mos")</f>
        <v>3 mos</v>
      </c>
      <c r="H2902" s="1" t="str">
        <f>IFERROR(__xludf.DUMMYFUNCTION("""COMPUTED_VALUE"""),"comment")</f>
        <v>comment</v>
      </c>
      <c r="I2902" s="2" t="str">
        <f>IFERROR(__xludf.DUMMYFUNCTION("""COMPUTED_VALUE"""),"https://www.facebook.com/rapplerdotcom/photos/a.317154781638645/5594453700575367/")</f>
        <v>https://www.facebook.com/rapplerdotcom/photos/a.317154781638645/5594453700575367/</v>
      </c>
      <c r="J2902" s="1" t="str">
        <f>IFERROR(__xludf.DUMMYFUNCTION("""COMPUTED_VALUE"""),"2022-07-04T15:53:36.546Z")</f>
        <v>2022-07-04T15:53:36.546Z</v>
      </c>
      <c r="K2902" s="1"/>
    </row>
    <row r="2903">
      <c r="A2903" s="2" t="str">
        <f>IFERROR(__xludf.DUMMYFUNCTION("""COMPUTED_VALUE"""),"https://www.facebook.com/profile.php?id=1300557137")</f>
        <v>https://www.facebook.com/profile.php?id=1300557137</v>
      </c>
      <c r="B2903" s="1" t="str">
        <f>IFERROR(__xludf.DUMMYFUNCTION("""COMPUTED_VALUE"""),"PJ Rosal Briagas")</f>
        <v>PJ Rosal Briagas</v>
      </c>
      <c r="C2903" s="1" t="str">
        <f>IFERROR(__xludf.DUMMYFUNCTION("""COMPUTED_VALUE"""),"PJ")</f>
        <v>PJ</v>
      </c>
      <c r="D2903" s="1" t="str">
        <f>IFERROR(__xludf.DUMMYFUNCTION("""COMPUTED_VALUE"""),"Rosal Briagas")</f>
        <v>Rosal Briagas</v>
      </c>
      <c r="E2903" s="1" t="str">
        <f>IFERROR(__xludf.DUMMYFUNCTION("""COMPUTED_VALUE"""),"Daming pikit bulag diyan.")</f>
        <v>Daming pikit bulag diyan.</v>
      </c>
      <c r="F2903" s="1">
        <f>IFERROR(__xludf.DUMMYFUNCTION("""COMPUTED_VALUE"""),1.0)</f>
        <v>1</v>
      </c>
      <c r="G2903" s="1" t="str">
        <f>IFERROR(__xludf.DUMMYFUNCTION("""COMPUTED_VALUE"""),"3 mos")</f>
        <v>3 mos</v>
      </c>
      <c r="H2903" s="1" t="str">
        <f>IFERROR(__xludf.DUMMYFUNCTION("""COMPUTED_VALUE"""),"comment")</f>
        <v>comment</v>
      </c>
      <c r="I2903" s="2" t="str">
        <f>IFERROR(__xludf.DUMMYFUNCTION("""COMPUTED_VALUE"""),"https://www.facebook.com/rapplerdotcom/photos/a.317154781638645/5594453700575367/")</f>
        <v>https://www.facebook.com/rapplerdotcom/photos/a.317154781638645/5594453700575367/</v>
      </c>
      <c r="J2903" s="1" t="str">
        <f>IFERROR(__xludf.DUMMYFUNCTION("""COMPUTED_VALUE"""),"2022-07-04T15:53:36.546Z")</f>
        <v>2022-07-04T15:53:36.546Z</v>
      </c>
      <c r="K2903" s="1"/>
    </row>
    <row r="2904">
      <c r="A2904" s="2" t="str">
        <f>IFERROR(__xludf.DUMMYFUNCTION("""COMPUTED_VALUE"""),"https://www.facebook.com/profile.php?id=100076456402720")</f>
        <v>https://www.facebook.com/profile.php?id=100076456402720</v>
      </c>
      <c r="B2904" s="1" t="str">
        <f>IFERROR(__xludf.DUMMYFUNCTION("""COMPUTED_VALUE"""),"Erika Salazar")</f>
        <v>Erika Salazar</v>
      </c>
      <c r="C2904" s="1" t="str">
        <f>IFERROR(__xludf.DUMMYFUNCTION("""COMPUTED_VALUE"""),"Erika")</f>
        <v>Erika</v>
      </c>
      <c r="D2904" s="1" t="str">
        <f>IFERROR(__xludf.DUMMYFUNCTION("""COMPUTED_VALUE"""),"Salazar")</f>
        <v>Salazar</v>
      </c>
      <c r="E2904" s="1" t="str">
        <f>IFERROR(__xludf.DUMMYFUNCTION("""COMPUTED_VALUE"""),"Admit it. He's got a point. 😅")</f>
        <v>Admit it. He's got a point. 😅</v>
      </c>
      <c r="F2904" s="1"/>
      <c r="G2904" s="1" t="str">
        <f>IFERROR(__xludf.DUMMYFUNCTION("""COMPUTED_VALUE"""),"3 mos")</f>
        <v>3 mos</v>
      </c>
      <c r="H2904" s="1" t="str">
        <f>IFERROR(__xludf.DUMMYFUNCTION("""COMPUTED_VALUE"""),"comment")</f>
        <v>comment</v>
      </c>
      <c r="I2904" s="2" t="str">
        <f>IFERROR(__xludf.DUMMYFUNCTION("""COMPUTED_VALUE"""),"https://www.facebook.com/rapplerdotcom/photos/a.317154781638645/5594453700575367/")</f>
        <v>https://www.facebook.com/rapplerdotcom/photos/a.317154781638645/5594453700575367/</v>
      </c>
      <c r="J2904" s="1" t="str">
        <f>IFERROR(__xludf.DUMMYFUNCTION("""COMPUTED_VALUE"""),"2022-07-04T15:53:36.546Z")</f>
        <v>2022-07-04T15:53:36.546Z</v>
      </c>
      <c r="K2904" s="1"/>
    </row>
    <row r="2905">
      <c r="A2905" s="2" t="str">
        <f>IFERROR(__xludf.DUMMYFUNCTION("""COMPUTED_VALUE"""),"https://www.facebook.com/johannis.dihayco")</f>
        <v>https://www.facebook.com/johannis.dihayco</v>
      </c>
      <c r="B2905" s="1" t="str">
        <f>IFERROR(__xludf.DUMMYFUNCTION("""COMPUTED_VALUE"""),"Johannis Dihayco")</f>
        <v>Johannis Dihayco</v>
      </c>
      <c r="C2905" s="1" t="str">
        <f>IFERROR(__xludf.DUMMYFUNCTION("""COMPUTED_VALUE"""),"Johannis")</f>
        <v>Johannis</v>
      </c>
      <c r="D2905" s="1" t="str">
        <f>IFERROR(__xludf.DUMMYFUNCTION("""COMPUTED_VALUE"""),"Dihayco")</f>
        <v>Dihayco</v>
      </c>
      <c r="E2905" s="1" t="str">
        <f>IFERROR(__xludf.DUMMYFUNCTION("""COMPUTED_VALUE"""),"TAMANG-TAMA ang sinabi ni Pambansang Kamao Sen. Manny Pacquiao dito:  “Kung boboto tayo sa NAGNANAKAW, NAGSASAMANTALA sa ‘tin, sino sisihin natin?”    Di ba ang SARILING KATANGAHAN din?  Mas tama pa siyang mag-isip kaysa isang kandidato na panay iwas sa d"&amp;"ebate.")</f>
        <v>TAMANG-TAMA ang sinabi ni Pambansang Kamao Sen. Manny Pacquiao dito:  “Kung boboto tayo sa NAGNANAKAW, NAGSASAMANTALA sa ‘tin, sino sisihin natin?”    Di ba ang SARILING KATANGAHAN din?  Mas tama pa siyang mag-isip kaysa isang kandidato na panay iwas sa debate.</v>
      </c>
      <c r="F2905" s="1">
        <f>IFERROR(__xludf.DUMMYFUNCTION("""COMPUTED_VALUE"""),4.0)</f>
        <v>4</v>
      </c>
      <c r="G2905" s="1" t="str">
        <f>IFERROR(__xludf.DUMMYFUNCTION("""COMPUTED_VALUE"""),"3 mos")</f>
        <v>3 mos</v>
      </c>
      <c r="H2905" s="1" t="str">
        <f>IFERROR(__xludf.DUMMYFUNCTION("""COMPUTED_VALUE"""),"comment")</f>
        <v>comment</v>
      </c>
      <c r="I2905" s="2" t="str">
        <f>IFERROR(__xludf.DUMMYFUNCTION("""COMPUTED_VALUE"""),"https://www.facebook.com/rapplerdotcom/photos/a.317154781638645/5594453700575367/")</f>
        <v>https://www.facebook.com/rapplerdotcom/photos/a.317154781638645/5594453700575367/</v>
      </c>
      <c r="J2905" s="1" t="str">
        <f>IFERROR(__xludf.DUMMYFUNCTION("""COMPUTED_VALUE"""),"2022-07-04T15:53:36.546Z")</f>
        <v>2022-07-04T15:53:36.546Z</v>
      </c>
      <c r="K2905" s="1"/>
    </row>
    <row r="2906">
      <c r="A2906" s="2" t="str">
        <f>IFERROR(__xludf.DUMMYFUNCTION("""COMPUTED_VALUE"""),"https://www.facebook.com/emmanuel.bernardino.391")</f>
        <v>https://www.facebook.com/emmanuel.bernardino.391</v>
      </c>
      <c r="B2906" s="1" t="str">
        <f>IFERROR(__xludf.DUMMYFUNCTION("""COMPUTED_VALUE"""),"Manny Bernardino")</f>
        <v>Manny Bernardino</v>
      </c>
      <c r="C2906" s="1" t="str">
        <f>IFERROR(__xludf.DUMMYFUNCTION("""COMPUTED_VALUE"""),"Manny")</f>
        <v>Manny</v>
      </c>
      <c r="D2906" s="1" t="str">
        <f>IFERROR(__xludf.DUMMYFUNCTION("""COMPUTED_VALUE"""),"Bernardino")</f>
        <v>Bernardino</v>
      </c>
      <c r="E2906" s="1" t="str">
        <f>IFERROR(__xludf.DUMMYFUNCTION("""COMPUTED_VALUE"""),"Dati ng ngsisi ang tao wla kpa pera nun..")</f>
        <v>Dati ng ngsisi ang tao wla kpa pera nun..</v>
      </c>
      <c r="F2906" s="1"/>
      <c r="G2906" s="1" t="str">
        <f>IFERROR(__xludf.DUMMYFUNCTION("""COMPUTED_VALUE"""),"3 mos")</f>
        <v>3 mos</v>
      </c>
      <c r="H2906" s="1" t="str">
        <f>IFERROR(__xludf.DUMMYFUNCTION("""COMPUTED_VALUE"""),"comment")</f>
        <v>comment</v>
      </c>
      <c r="I2906" s="2" t="str">
        <f>IFERROR(__xludf.DUMMYFUNCTION("""COMPUTED_VALUE"""),"https://www.facebook.com/rapplerdotcom/photos/a.317154781638645/5594453700575367/")</f>
        <v>https://www.facebook.com/rapplerdotcom/photos/a.317154781638645/5594453700575367/</v>
      </c>
      <c r="J2906" s="1" t="str">
        <f>IFERROR(__xludf.DUMMYFUNCTION("""COMPUTED_VALUE"""),"2022-07-04T15:53:36.546Z")</f>
        <v>2022-07-04T15:53:36.546Z</v>
      </c>
      <c r="K2906" s="1"/>
    </row>
    <row r="2907">
      <c r="A2907" s="2" t="str">
        <f>IFERROR(__xludf.DUMMYFUNCTION("""COMPUTED_VALUE"""),"https://www.facebook.com/jessie.villagracia.37")</f>
        <v>https://www.facebook.com/jessie.villagracia.37</v>
      </c>
      <c r="B2907" s="1" t="str">
        <f>IFERROR(__xludf.DUMMYFUNCTION("""COMPUTED_VALUE"""),"Jessie Villagracia")</f>
        <v>Jessie Villagracia</v>
      </c>
      <c r="C2907" s="1" t="str">
        <f>IFERROR(__xludf.DUMMYFUNCTION("""COMPUTED_VALUE"""),"Jessie")</f>
        <v>Jessie</v>
      </c>
      <c r="D2907" s="1" t="str">
        <f>IFERROR(__xludf.DUMMYFUNCTION("""COMPUTED_VALUE"""),"Villagracia")</f>
        <v>Villagracia</v>
      </c>
      <c r="E2907" s="1" t="str">
        <f>IFERROR(__xludf.DUMMYFUNCTION("""COMPUTED_VALUE"""),"Masyado nag mamagaling wala naman iba msabi kondi nakaw3 e wala naman ninakaw sa kanya dahil noon ay mahirap ka rin ano ninakaw sayo ?kailan ka lang ba lumitaw sa mondo ?wala kapang alam ,ngayon kong mag dal2 ka parang confermado mo na lahat ,dalhin mo sa"&amp;"korte doon mo patunayan yan mga bintang nyo doon kato mag tagisan ng talino")</f>
        <v>Masyado nag mamagaling wala naman iba msabi kondi nakaw3 e wala naman ninakaw sa kanya dahil noon ay mahirap ka rin ano ninakaw sayo ?kailan ka lang ba lumitaw sa mondo ?wala kapang alam ,ngayon kong mag dal2 ka parang confermado mo na lahat ,dalhin mo sakorte doon mo patunayan yan mga bintang nyo doon kato mag tagisan ng talino</v>
      </c>
      <c r="F2907" s="1"/>
      <c r="G2907" s="1" t="str">
        <f>IFERROR(__xludf.DUMMYFUNCTION("""COMPUTED_VALUE"""),"3 mos")</f>
        <v>3 mos</v>
      </c>
      <c r="H2907" s="1" t="str">
        <f>IFERROR(__xludf.DUMMYFUNCTION("""COMPUTED_VALUE"""),"comment")</f>
        <v>comment</v>
      </c>
      <c r="I2907" s="2" t="str">
        <f>IFERROR(__xludf.DUMMYFUNCTION("""COMPUTED_VALUE"""),"https://www.facebook.com/rapplerdotcom/photos/a.317154781638645/5594453700575367/")</f>
        <v>https://www.facebook.com/rapplerdotcom/photos/a.317154781638645/5594453700575367/</v>
      </c>
      <c r="J2907" s="1" t="str">
        <f>IFERROR(__xludf.DUMMYFUNCTION("""COMPUTED_VALUE"""),"2022-07-04T15:53:36.547Z")</f>
        <v>2022-07-04T15:53:36.547Z</v>
      </c>
      <c r="K2907" s="1"/>
    </row>
    <row r="2908">
      <c r="A2908" s="2" t="str">
        <f>IFERROR(__xludf.DUMMYFUNCTION("""COMPUTED_VALUE"""),"https://www.facebook.com/jocelyn.a.diaz.58")</f>
        <v>https://www.facebook.com/jocelyn.a.diaz.58</v>
      </c>
      <c r="B2908" s="1" t="str">
        <f>IFERROR(__xludf.DUMMYFUNCTION("""COMPUTED_VALUE"""),"Jocelyn A Santos Diaz")</f>
        <v>Jocelyn A Santos Diaz</v>
      </c>
      <c r="C2908" s="1" t="str">
        <f>IFERROR(__xludf.DUMMYFUNCTION("""COMPUTED_VALUE"""),"Jocelyn")</f>
        <v>Jocelyn</v>
      </c>
      <c r="D2908" s="1" t="str">
        <f>IFERROR(__xludf.DUMMYFUNCTION("""COMPUTED_VALUE"""),"A Santos Diaz")</f>
        <v>A Santos Diaz</v>
      </c>
      <c r="E2908" s="1" t="str">
        <f>IFERROR(__xludf.DUMMYFUNCTION("""COMPUTED_VALUE"""),"Para walang problema kapag may bahid yong tao hindi kamag anak nag nakaw na napatunayan pag apply pa lang ng puwesto para kumandidato disqualified na hehehe")</f>
        <v>Para walang problema kapag may bahid yong tao hindi kamag anak nag nakaw na napatunayan pag apply pa lang ng puwesto para kumandidato disqualified na hehehe</v>
      </c>
      <c r="F2908" s="1"/>
      <c r="G2908" s="1" t="str">
        <f>IFERROR(__xludf.DUMMYFUNCTION("""COMPUTED_VALUE"""),"3 mos")</f>
        <v>3 mos</v>
      </c>
      <c r="H2908" s="1" t="str">
        <f>IFERROR(__xludf.DUMMYFUNCTION("""COMPUTED_VALUE"""),"comment")</f>
        <v>comment</v>
      </c>
      <c r="I2908" s="2" t="str">
        <f>IFERROR(__xludf.DUMMYFUNCTION("""COMPUTED_VALUE"""),"https://www.facebook.com/rapplerdotcom/photos/a.317154781638645/5594453700575367/")</f>
        <v>https://www.facebook.com/rapplerdotcom/photos/a.317154781638645/5594453700575367/</v>
      </c>
      <c r="J2908" s="1" t="str">
        <f>IFERROR(__xludf.DUMMYFUNCTION("""COMPUTED_VALUE"""),"2022-07-04T15:53:36.547Z")</f>
        <v>2022-07-04T15:53:36.547Z</v>
      </c>
      <c r="K2908" s="1"/>
    </row>
    <row r="2909">
      <c r="A2909" s="2" t="str">
        <f>IFERROR(__xludf.DUMMYFUNCTION("""COMPUTED_VALUE"""),"https://www.facebook.com/teresa.plamor")</f>
        <v>https://www.facebook.com/teresa.plamor</v>
      </c>
      <c r="B2909" s="1" t="str">
        <f>IFERROR(__xludf.DUMMYFUNCTION("""COMPUTED_VALUE"""),"Terry Recto")</f>
        <v>Terry Recto</v>
      </c>
      <c r="C2909" s="1" t="str">
        <f>IFERROR(__xludf.DUMMYFUNCTION("""COMPUTED_VALUE"""),"Terry")</f>
        <v>Terry</v>
      </c>
      <c r="D2909" s="1" t="str">
        <f>IFERROR(__xludf.DUMMYFUNCTION("""COMPUTED_VALUE"""),"Recto")</f>
        <v>Recto</v>
      </c>
      <c r="E2909" s="1" t="str">
        <f>IFERROR(__xludf.DUMMYFUNCTION("""COMPUTED_VALUE"""),"Tama si sen,manny mahirap nga naman pag ang mka upo na pres. Corrupt, i agree")</f>
        <v>Tama si sen,manny mahirap nga naman pag ang mka upo na pres. Corrupt, i agree</v>
      </c>
      <c r="F2909" s="1">
        <f>IFERROR(__xludf.DUMMYFUNCTION("""COMPUTED_VALUE"""),7.0)</f>
        <v>7</v>
      </c>
      <c r="G2909" s="1" t="str">
        <f>IFERROR(__xludf.DUMMYFUNCTION("""COMPUTED_VALUE"""),"3 mos")</f>
        <v>3 mos</v>
      </c>
      <c r="H2909" s="1" t="str">
        <f>IFERROR(__xludf.DUMMYFUNCTION("""COMPUTED_VALUE"""),"comment")</f>
        <v>comment</v>
      </c>
      <c r="I2909" s="2" t="str">
        <f>IFERROR(__xludf.DUMMYFUNCTION("""COMPUTED_VALUE"""),"https://www.facebook.com/rapplerdotcom/photos/a.317154781638645/5594453700575367/")</f>
        <v>https://www.facebook.com/rapplerdotcom/photos/a.317154781638645/5594453700575367/</v>
      </c>
      <c r="J2909" s="1" t="str">
        <f>IFERROR(__xludf.DUMMYFUNCTION("""COMPUTED_VALUE"""),"2022-07-04T15:53:36.547Z")</f>
        <v>2022-07-04T15:53:36.547Z</v>
      </c>
      <c r="K2909" s="1"/>
    </row>
    <row r="2910">
      <c r="A2910" s="2" t="str">
        <f>IFERROR(__xludf.DUMMYFUNCTION("""COMPUTED_VALUE"""),"https://www.facebook.com/janicebalicoco2485")</f>
        <v>https://www.facebook.com/janicebalicoco2485</v>
      </c>
      <c r="B2910" s="1" t="str">
        <f>IFERROR(__xludf.DUMMYFUNCTION("""COMPUTED_VALUE"""),"Icenhaj MB")</f>
        <v>Icenhaj MB</v>
      </c>
      <c r="C2910" s="1" t="str">
        <f>IFERROR(__xludf.DUMMYFUNCTION("""COMPUTED_VALUE"""),"Icenhaj")</f>
        <v>Icenhaj</v>
      </c>
      <c r="D2910" s="1" t="str">
        <f>IFERROR(__xludf.DUMMYFUNCTION("""COMPUTED_VALUE"""),"MB")</f>
        <v>MB</v>
      </c>
      <c r="E2910" s="1" t="str">
        <f>IFERROR(__xludf.DUMMYFUNCTION("""COMPUTED_VALUE"""),"Terry Recto kinsa man pod daw kuno ang pulitician mam di corrupt daw be?")</f>
        <v>Terry Recto kinsa man pod daw kuno ang pulitician mam di corrupt daw be?</v>
      </c>
      <c r="F2910" s="1"/>
      <c r="G2910" s="1" t="str">
        <f>IFERROR(__xludf.DUMMYFUNCTION("""COMPUTED_VALUE"""),"3 mos")</f>
        <v>3 mos</v>
      </c>
      <c r="H2910" s="1" t="str">
        <f>IFERROR(__xludf.DUMMYFUNCTION("""COMPUTED_VALUE"""),"reply")</f>
        <v>reply</v>
      </c>
      <c r="I2910" s="2" t="str">
        <f>IFERROR(__xludf.DUMMYFUNCTION("""COMPUTED_VALUE"""),"https://www.facebook.com/rapplerdotcom/photos/a.317154781638645/5594453700575367/")</f>
        <v>https://www.facebook.com/rapplerdotcom/photos/a.317154781638645/5594453700575367/</v>
      </c>
      <c r="J2910" s="1" t="str">
        <f>IFERROR(__xludf.DUMMYFUNCTION("""COMPUTED_VALUE"""),"2022-07-04T15:53:36.547Z")</f>
        <v>2022-07-04T15:53:36.547Z</v>
      </c>
      <c r="K2910" s="1"/>
    </row>
    <row r="2911">
      <c r="A2911" s="2" t="str">
        <f>IFERROR(__xludf.DUMMYFUNCTION("""COMPUTED_VALUE"""),"https://www.facebook.com/juan.tajanlangit.5")</f>
        <v>https://www.facebook.com/juan.tajanlangit.5</v>
      </c>
      <c r="B2911" s="1" t="str">
        <f>IFERROR(__xludf.DUMMYFUNCTION("""COMPUTED_VALUE"""),"Juan Tajanlangit")</f>
        <v>Juan Tajanlangit</v>
      </c>
      <c r="C2911" s="1" t="str">
        <f>IFERROR(__xludf.DUMMYFUNCTION("""COMPUTED_VALUE"""),"Juan")</f>
        <v>Juan</v>
      </c>
      <c r="D2911" s="1" t="str">
        <f>IFERROR(__xludf.DUMMYFUNCTION("""COMPUTED_VALUE"""),"Tajanlangit")</f>
        <v>Tajanlangit</v>
      </c>
      <c r="E2911" s="1" t="str">
        <f>IFERROR(__xludf.DUMMYFUNCTION("""COMPUTED_VALUE"""),"Terry Recto tama kau")</f>
        <v>Terry Recto tama kau</v>
      </c>
      <c r="F2911" s="1"/>
      <c r="G2911" s="1" t="str">
        <f>IFERROR(__xludf.DUMMYFUNCTION("""COMPUTED_VALUE"""),"3 mos")</f>
        <v>3 mos</v>
      </c>
      <c r="H2911" s="1" t="str">
        <f>IFERROR(__xludf.DUMMYFUNCTION("""COMPUTED_VALUE"""),"reply")</f>
        <v>reply</v>
      </c>
      <c r="I2911" s="2" t="str">
        <f>IFERROR(__xludf.DUMMYFUNCTION("""COMPUTED_VALUE"""),"https://www.facebook.com/rapplerdotcom/photos/a.317154781638645/5594453700575367/")</f>
        <v>https://www.facebook.com/rapplerdotcom/photos/a.317154781638645/5594453700575367/</v>
      </c>
      <c r="J2911" s="1" t="str">
        <f>IFERROR(__xludf.DUMMYFUNCTION("""COMPUTED_VALUE"""),"2022-07-04T15:53:36.547Z")</f>
        <v>2022-07-04T15:53:36.547Z</v>
      </c>
      <c r="K2911" s="1"/>
    </row>
    <row r="2912">
      <c r="A2912" s="2" t="str">
        <f>IFERROR(__xludf.DUMMYFUNCTION("""COMPUTED_VALUE"""),"https://www.facebook.com/martin.orsal.1")</f>
        <v>https://www.facebook.com/martin.orsal.1</v>
      </c>
      <c r="B2912" s="1" t="str">
        <f>IFERROR(__xludf.DUMMYFUNCTION("""COMPUTED_VALUE"""),"Martin Orsal")</f>
        <v>Martin Orsal</v>
      </c>
      <c r="C2912" s="1" t="str">
        <f>IFERROR(__xludf.DUMMYFUNCTION("""COMPUTED_VALUE"""),"Martin")</f>
        <v>Martin</v>
      </c>
      <c r="D2912" s="1" t="str">
        <f>IFERROR(__xludf.DUMMYFUNCTION("""COMPUTED_VALUE"""),"Orsal")</f>
        <v>Orsal</v>
      </c>
      <c r="E2912" s="1" t="str">
        <f>IFERROR(__xludf.DUMMYFUNCTION("""COMPUTED_VALUE"""),"Terry Recto sapalagay mo nd yn mag nanakaw c pacquiao nd pa presidente nag nakaw na yn Ng 3,5 bilion kyo na Ang humosga")</f>
        <v>Terry Recto sapalagay mo nd yn mag nanakaw c pacquiao nd pa presidente nag nakaw na yn Ng 3,5 bilion kyo na Ang humosga</v>
      </c>
      <c r="F2912" s="1">
        <f>IFERROR(__xludf.DUMMYFUNCTION("""COMPUTED_VALUE"""),2.0)</f>
        <v>2</v>
      </c>
      <c r="G2912" s="1" t="str">
        <f>IFERROR(__xludf.DUMMYFUNCTION("""COMPUTED_VALUE"""),"3 mos")</f>
        <v>3 mos</v>
      </c>
      <c r="H2912" s="1" t="str">
        <f>IFERROR(__xludf.DUMMYFUNCTION("""COMPUTED_VALUE"""),"reply")</f>
        <v>reply</v>
      </c>
      <c r="I2912" s="2" t="str">
        <f>IFERROR(__xludf.DUMMYFUNCTION("""COMPUTED_VALUE"""),"https://www.facebook.com/rapplerdotcom/photos/a.317154781638645/5594453700575367/")</f>
        <v>https://www.facebook.com/rapplerdotcom/photos/a.317154781638645/5594453700575367/</v>
      </c>
      <c r="J2912" s="1" t="str">
        <f>IFERROR(__xludf.DUMMYFUNCTION("""COMPUTED_VALUE"""),"2022-07-04T15:53:36.547Z")</f>
        <v>2022-07-04T15:53:36.547Z</v>
      </c>
      <c r="K2912" s="1"/>
    </row>
    <row r="2913">
      <c r="A2913" s="2" t="str">
        <f>IFERROR(__xludf.DUMMYFUNCTION("""COMPUTED_VALUE"""),"https://www.facebook.com/jessie.villagracia.37")</f>
        <v>https://www.facebook.com/jessie.villagracia.37</v>
      </c>
      <c r="B2913" s="1" t="str">
        <f>IFERROR(__xludf.DUMMYFUNCTION("""COMPUTED_VALUE"""),"Jessie Villagracia")</f>
        <v>Jessie Villagracia</v>
      </c>
      <c r="C2913" s="1" t="str">
        <f>IFERROR(__xludf.DUMMYFUNCTION("""COMPUTED_VALUE"""),"Jessie")</f>
        <v>Jessie</v>
      </c>
      <c r="D2913" s="1" t="str">
        <f>IFERROR(__xludf.DUMMYFUNCTION("""COMPUTED_VALUE"""),"Villagracia")</f>
        <v>Villagracia</v>
      </c>
      <c r="E2913" s="1" t="str">
        <f>IFERROR(__xludf.DUMMYFUNCTION("""COMPUTED_VALUE"""),"Terry Recto lahat  kayo mgaling nd lang ikaw may kanya2 kayong kagalingan  wag mong ipilit na mas magaling ka ,sa bgay magaling ka mag boxing may kanya2 kayongexpertice ikaw magaling maghusga daig mo pa hukom umay na kami  pag kain nga kahit anong sarap p"&amp;"ag lagi2 na lang nakakasaw rin")</f>
        <v>Terry Recto lahat  kayo mgaling nd lang ikaw may kanya2 kayong kagalingan  wag mong ipilit na mas magaling ka ,sa bgay magaling ka mag boxing may kanya2 kayongexpertice ikaw magaling maghusga daig mo pa hukom umay na kami  pag kain nga kahit anong sarap pag lagi2 na lang nakakasaw rin</v>
      </c>
      <c r="F2913" s="1"/>
      <c r="G2913" s="1" t="str">
        <f>IFERROR(__xludf.DUMMYFUNCTION("""COMPUTED_VALUE"""),"3 mos")</f>
        <v>3 mos</v>
      </c>
      <c r="H2913" s="1" t="str">
        <f>IFERROR(__xludf.DUMMYFUNCTION("""COMPUTED_VALUE"""),"reply")</f>
        <v>reply</v>
      </c>
      <c r="I2913" s="2" t="str">
        <f>IFERROR(__xludf.DUMMYFUNCTION("""COMPUTED_VALUE"""),"https://www.facebook.com/rapplerdotcom/photos/a.317154781638645/5594453700575367/")</f>
        <v>https://www.facebook.com/rapplerdotcom/photos/a.317154781638645/5594453700575367/</v>
      </c>
      <c r="J2913" s="1" t="str">
        <f>IFERROR(__xludf.DUMMYFUNCTION("""COMPUTED_VALUE"""),"2022-07-04T15:53:36.547Z")</f>
        <v>2022-07-04T15:53:36.547Z</v>
      </c>
      <c r="K2913" s="1"/>
    </row>
    <row r="2914">
      <c r="A2914" s="2" t="str">
        <f>IFERROR(__xludf.DUMMYFUNCTION("""COMPUTED_VALUE"""),"https://www.facebook.com/johnny.collantes.37")</f>
        <v>https://www.facebook.com/johnny.collantes.37</v>
      </c>
      <c r="B2914" s="1" t="str">
        <f>IFERROR(__xludf.DUMMYFUNCTION("""COMPUTED_VALUE"""),"Johnny Collantes")</f>
        <v>Johnny Collantes</v>
      </c>
      <c r="C2914" s="1" t="str">
        <f>IFERROR(__xludf.DUMMYFUNCTION("""COMPUTED_VALUE"""),"Johnny")</f>
        <v>Johnny</v>
      </c>
      <c r="D2914" s="1" t="str">
        <f>IFERROR(__xludf.DUMMYFUNCTION("""COMPUTED_VALUE"""),"Collantes")</f>
        <v>Collantes</v>
      </c>
      <c r="E2914" s="1" t="str">
        <f>IFERROR(__xludf.DUMMYFUNCTION("""COMPUTED_VALUE"""),"Tama! mahirap nga naman makaupo na pres. Corrupt kaya hindi ko iboboto si Manny")</f>
        <v>Tama! mahirap nga naman makaupo na pres. Corrupt kaya hindi ko iboboto si Manny</v>
      </c>
      <c r="F2914" s="1"/>
      <c r="G2914" s="1" t="str">
        <f>IFERROR(__xludf.DUMMYFUNCTION("""COMPUTED_VALUE"""),"3 mos")</f>
        <v>3 mos</v>
      </c>
      <c r="H2914" s="1" t="str">
        <f>IFERROR(__xludf.DUMMYFUNCTION("""COMPUTED_VALUE"""),"reply")</f>
        <v>reply</v>
      </c>
      <c r="I2914" s="2" t="str">
        <f>IFERROR(__xludf.DUMMYFUNCTION("""COMPUTED_VALUE"""),"https://www.facebook.com/rapplerdotcom/photos/a.317154781638645/5594453700575367/")</f>
        <v>https://www.facebook.com/rapplerdotcom/photos/a.317154781638645/5594453700575367/</v>
      </c>
      <c r="J2914" s="1" t="str">
        <f>IFERROR(__xludf.DUMMYFUNCTION("""COMPUTED_VALUE"""),"2022-07-04T15:53:36.547Z")</f>
        <v>2022-07-04T15:53:36.547Z</v>
      </c>
      <c r="K2914" s="1"/>
    </row>
    <row r="2915">
      <c r="A2915" s="2" t="str">
        <f>IFERROR(__xludf.DUMMYFUNCTION("""COMPUTED_VALUE"""),"https://www.facebook.com/daijing.dizon")</f>
        <v>https://www.facebook.com/daijing.dizon</v>
      </c>
      <c r="B2915" s="1" t="str">
        <f>IFERROR(__xludf.DUMMYFUNCTION("""COMPUTED_VALUE"""),"Dai-Jing Ganaden Dizon")</f>
        <v>Dai-Jing Ganaden Dizon</v>
      </c>
      <c r="C2915" s="1" t="str">
        <f>IFERROR(__xludf.DUMMYFUNCTION("""COMPUTED_VALUE"""),"Dai-Jing")</f>
        <v>Dai-Jing</v>
      </c>
      <c r="D2915" s="1" t="str">
        <f>IFERROR(__xludf.DUMMYFUNCTION("""COMPUTED_VALUE"""),"Ganaden Dizon")</f>
        <v>Ganaden Dizon</v>
      </c>
      <c r="E2915" s="1" t="str">
        <f>IFERROR(__xludf.DUMMYFUNCTION("""COMPUTED_VALUE"""),"Maka Diyos pero garaveh manghusga ng tao")</f>
        <v>Maka Diyos pero garaveh manghusga ng tao</v>
      </c>
      <c r="F2915" s="1"/>
      <c r="G2915" s="1" t="str">
        <f>IFERROR(__xludf.DUMMYFUNCTION("""COMPUTED_VALUE"""),"3 mos")</f>
        <v>3 mos</v>
      </c>
      <c r="H2915" s="1" t="str">
        <f>IFERROR(__xludf.DUMMYFUNCTION("""COMPUTED_VALUE"""),"comment")</f>
        <v>comment</v>
      </c>
      <c r="I2915" s="2" t="str">
        <f>IFERROR(__xludf.DUMMYFUNCTION("""COMPUTED_VALUE"""),"https://www.facebook.com/rapplerdotcom/photos/a.317154781638645/5594453700575367/")</f>
        <v>https://www.facebook.com/rapplerdotcom/photos/a.317154781638645/5594453700575367/</v>
      </c>
      <c r="J2915" s="1" t="str">
        <f>IFERROR(__xludf.DUMMYFUNCTION("""COMPUTED_VALUE"""),"2022-07-04T15:53:36.547Z")</f>
        <v>2022-07-04T15:53:36.547Z</v>
      </c>
      <c r="K2915" s="1"/>
    </row>
    <row r="2916">
      <c r="A2916" s="2" t="str">
        <f>IFERROR(__xludf.DUMMYFUNCTION("""COMPUTED_VALUE"""),"https://www.facebook.com/lilia.aquino.3367")</f>
        <v>https://www.facebook.com/lilia.aquino.3367</v>
      </c>
      <c r="B2916" s="1" t="str">
        <f>IFERROR(__xludf.DUMMYFUNCTION("""COMPUTED_VALUE"""),"Lilia Aquino")</f>
        <v>Lilia Aquino</v>
      </c>
      <c r="C2916" s="1" t="str">
        <f>IFERROR(__xludf.DUMMYFUNCTION("""COMPUTED_VALUE"""),"Lilia")</f>
        <v>Lilia</v>
      </c>
      <c r="D2916" s="1" t="str">
        <f>IFERROR(__xludf.DUMMYFUNCTION("""COMPUTED_VALUE"""),"Aquino")</f>
        <v>Aquino</v>
      </c>
      <c r="E2916" s="1" t="str">
        <f>IFERROR(__xludf.DUMMYFUNCTION("""COMPUTED_VALUE"""),"Manny kung wala ka ng sasabihin tumigil kana paulitulit  na yan na issue hayaan mo kaming pimili  ang karapatdapat na maging  presidente  sa ating bansa,huwag mo kang mangarap na maging presidente dahil hindi mo deserve yan na posisyon 👎👎👎")</f>
        <v>Manny kung wala ka ng sasabihin tumigil kana paulitulit  na yan na issue hayaan mo kaming pimili  ang karapatdapat na maging  presidente  sa ating bansa,huwag mo kang mangarap na maging presidente dahil hindi mo deserve yan na posisyon 👎👎👎</v>
      </c>
      <c r="F2916" s="1">
        <f>IFERROR(__xludf.DUMMYFUNCTION("""COMPUTED_VALUE"""),2.0)</f>
        <v>2</v>
      </c>
      <c r="G2916" s="1" t="str">
        <f>IFERROR(__xludf.DUMMYFUNCTION("""COMPUTED_VALUE"""),"3 mos")</f>
        <v>3 mos</v>
      </c>
      <c r="H2916" s="1" t="str">
        <f>IFERROR(__xludf.DUMMYFUNCTION("""COMPUTED_VALUE"""),"comment")</f>
        <v>comment</v>
      </c>
      <c r="I2916" s="2" t="str">
        <f>IFERROR(__xludf.DUMMYFUNCTION("""COMPUTED_VALUE"""),"https://www.facebook.com/rapplerdotcom/photos/a.317154781638645/5594453700575367/")</f>
        <v>https://www.facebook.com/rapplerdotcom/photos/a.317154781638645/5594453700575367/</v>
      </c>
      <c r="J2916" s="1" t="str">
        <f>IFERROR(__xludf.DUMMYFUNCTION("""COMPUTED_VALUE"""),"2022-07-04T15:53:36.547Z")</f>
        <v>2022-07-04T15:53:36.547Z</v>
      </c>
      <c r="K2916" s="1"/>
    </row>
    <row r="2917">
      <c r="A2917" s="2" t="str">
        <f>IFERROR(__xludf.DUMMYFUNCTION("""COMPUTED_VALUE"""),"https://www.facebook.com/profile.php?id=100071338364446")</f>
        <v>https://www.facebook.com/profile.php?id=100071338364446</v>
      </c>
      <c r="B2917" s="1" t="str">
        <f>IFERROR(__xludf.DUMMYFUNCTION("""COMPUTED_VALUE"""),"Venancio Ylar")</f>
        <v>Venancio Ylar</v>
      </c>
      <c r="C2917" s="1" t="str">
        <f>IFERROR(__xludf.DUMMYFUNCTION("""COMPUTED_VALUE"""),"Venancio")</f>
        <v>Venancio</v>
      </c>
      <c r="D2917" s="1" t="str">
        <f>IFERROR(__xludf.DUMMYFUNCTION("""COMPUTED_VALUE"""),"Ylar")</f>
        <v>Ylar</v>
      </c>
      <c r="E2917" s="1" t="str">
        <f>IFERROR(__xludf.DUMMYFUNCTION("""COMPUTED_VALUE"""),"Nagbabasa ka ba ng biblia  Manny? Akala ko ikaw ay isang born again christian. Dapat binago mo ang maling pagsasalita mo sa kapwa mo kandidato.")</f>
        <v>Nagbabasa ka ba ng biblia  Manny? Akala ko ikaw ay isang born again christian. Dapat binago mo ang maling pagsasalita mo sa kapwa mo kandidato.</v>
      </c>
      <c r="F2917" s="1"/>
      <c r="G2917" s="1" t="str">
        <f>IFERROR(__xludf.DUMMYFUNCTION("""COMPUTED_VALUE"""),"3 mos")</f>
        <v>3 mos</v>
      </c>
      <c r="H2917" s="1" t="str">
        <f>IFERROR(__xludf.DUMMYFUNCTION("""COMPUTED_VALUE"""),"comment")</f>
        <v>comment</v>
      </c>
      <c r="I2917" s="2" t="str">
        <f>IFERROR(__xludf.DUMMYFUNCTION("""COMPUTED_VALUE"""),"https://www.facebook.com/rapplerdotcom/photos/a.317154781638645/5594453700575367/")</f>
        <v>https://www.facebook.com/rapplerdotcom/photos/a.317154781638645/5594453700575367/</v>
      </c>
      <c r="J2917" s="1" t="str">
        <f>IFERROR(__xludf.DUMMYFUNCTION("""COMPUTED_VALUE"""),"2022-07-04T15:53:36.547Z")</f>
        <v>2022-07-04T15:53:36.547Z</v>
      </c>
      <c r="K2917" s="1"/>
    </row>
    <row r="2918">
      <c r="A2918" s="2" t="str">
        <f>IFERROR(__xludf.DUMMYFUNCTION("""COMPUTED_VALUE"""),"https://www.facebook.com/zeny.gallatiera")</f>
        <v>https://www.facebook.com/zeny.gallatiera</v>
      </c>
      <c r="B2918" s="1" t="str">
        <f>IFERROR(__xludf.DUMMYFUNCTION("""COMPUTED_VALUE"""),"Zeny Gallatiera")</f>
        <v>Zeny Gallatiera</v>
      </c>
      <c r="C2918" s="1" t="str">
        <f>IFERROR(__xludf.DUMMYFUNCTION("""COMPUTED_VALUE"""),"Zeny")</f>
        <v>Zeny</v>
      </c>
      <c r="D2918" s="1" t="str">
        <f>IFERROR(__xludf.DUMMYFUNCTION("""COMPUTED_VALUE"""),"Gallatiera")</f>
        <v>Gallatiera</v>
      </c>
      <c r="E2918" s="1" t="str">
        <f>IFERROR(__xludf.DUMMYFUNCTION("""COMPUTED_VALUE"""),"Totoo po yan kaya sana support na lang kayo sa may pinaka mataas ang boto para matupad pangarap nyo")</f>
        <v>Totoo po yan kaya sana support na lang kayo sa may pinaka mataas ang boto para matupad pangarap nyo</v>
      </c>
      <c r="F2918" s="1"/>
      <c r="G2918" s="1" t="str">
        <f>IFERROR(__xludf.DUMMYFUNCTION("""COMPUTED_VALUE"""),"3 mos")</f>
        <v>3 mos</v>
      </c>
      <c r="H2918" s="1" t="str">
        <f>IFERROR(__xludf.DUMMYFUNCTION("""COMPUTED_VALUE"""),"comment")</f>
        <v>comment</v>
      </c>
      <c r="I2918" s="2" t="str">
        <f>IFERROR(__xludf.DUMMYFUNCTION("""COMPUTED_VALUE"""),"https://www.facebook.com/rapplerdotcom/photos/a.317154781638645/5594453700575367/")</f>
        <v>https://www.facebook.com/rapplerdotcom/photos/a.317154781638645/5594453700575367/</v>
      </c>
      <c r="J2918" s="1" t="str">
        <f>IFERROR(__xludf.DUMMYFUNCTION("""COMPUTED_VALUE"""),"2022-07-04T15:53:36.547Z")</f>
        <v>2022-07-04T15:53:36.547Z</v>
      </c>
      <c r="K2918" s="1"/>
    </row>
    <row r="2919">
      <c r="A2919" s="2" t="str">
        <f>IFERROR(__xludf.DUMMYFUNCTION("""COMPUTED_VALUE"""),"https://www.facebook.com/oscar.sibal")</f>
        <v>https://www.facebook.com/oscar.sibal</v>
      </c>
      <c r="B2919" s="1" t="str">
        <f>IFERROR(__xludf.DUMMYFUNCTION("""COMPUTED_VALUE"""),"Oscar V Sibal")</f>
        <v>Oscar V Sibal</v>
      </c>
      <c r="C2919" s="1" t="str">
        <f>IFERROR(__xludf.DUMMYFUNCTION("""COMPUTED_VALUE"""),"Oscar")</f>
        <v>Oscar</v>
      </c>
      <c r="D2919" s="1" t="str">
        <f>IFERROR(__xludf.DUMMYFUNCTION("""COMPUTED_VALUE"""),"V Sibal")</f>
        <v>V Sibal</v>
      </c>
      <c r="E2919" s="1" t="str">
        <f>IFERROR(__xludf.DUMMYFUNCTION("""COMPUTED_VALUE"""),"Tama ka champ!!")</f>
        <v>Tama ka champ!!</v>
      </c>
      <c r="F2919" s="1">
        <f>IFERROR(__xludf.DUMMYFUNCTION("""COMPUTED_VALUE"""),1.0)</f>
        <v>1</v>
      </c>
      <c r="G2919" s="1" t="str">
        <f>IFERROR(__xludf.DUMMYFUNCTION("""COMPUTED_VALUE"""),"3 mos")</f>
        <v>3 mos</v>
      </c>
      <c r="H2919" s="1" t="str">
        <f>IFERROR(__xludf.DUMMYFUNCTION("""COMPUTED_VALUE"""),"comment")</f>
        <v>comment</v>
      </c>
      <c r="I2919" s="2" t="str">
        <f>IFERROR(__xludf.DUMMYFUNCTION("""COMPUTED_VALUE"""),"https://www.facebook.com/rapplerdotcom/photos/a.317154781638645/5594453700575367/")</f>
        <v>https://www.facebook.com/rapplerdotcom/photos/a.317154781638645/5594453700575367/</v>
      </c>
      <c r="J2919" s="1" t="str">
        <f>IFERROR(__xludf.DUMMYFUNCTION("""COMPUTED_VALUE"""),"2022-07-04T15:53:36.547Z")</f>
        <v>2022-07-04T15:53:36.547Z</v>
      </c>
      <c r="K2919" s="1"/>
    </row>
    <row r="2920">
      <c r="A2920" s="2" t="str">
        <f>IFERROR(__xludf.DUMMYFUNCTION("""COMPUTED_VALUE"""),"https://www.facebook.com/irma.rubio.735")</f>
        <v>https://www.facebook.com/irma.rubio.735</v>
      </c>
      <c r="B2920" s="1" t="str">
        <f>IFERROR(__xludf.DUMMYFUNCTION("""COMPUTED_VALUE"""),"Irma Ramos Rubio")</f>
        <v>Irma Ramos Rubio</v>
      </c>
      <c r="C2920" s="1" t="str">
        <f>IFERROR(__xludf.DUMMYFUNCTION("""COMPUTED_VALUE"""),"Irma")</f>
        <v>Irma</v>
      </c>
      <c r="D2920" s="1" t="str">
        <f>IFERROR(__xludf.DUMMYFUNCTION("""COMPUTED_VALUE"""),"Ramos Rubio")</f>
        <v>Ramos Rubio</v>
      </c>
      <c r="E2920" s="1" t="str">
        <f>IFERROR(__xludf.DUMMYFUNCTION("""COMPUTED_VALUE"""),"Correct! Ka dyan Manny kc alm ny may bahid na ay binoto pa, kasalanan na ikw na mismo nagtulak pra gwin uli ng kandidato mo ang nagawa ny dati.....ang pag corrupt")</f>
        <v>Correct! Ka dyan Manny kc alm ny may bahid na ay binoto pa, kasalanan na ikw na mismo nagtulak pra gwin uli ng kandidato mo ang nagawa ny dati.....ang pag corrupt</v>
      </c>
      <c r="F2920" s="1">
        <f>IFERROR(__xludf.DUMMYFUNCTION("""COMPUTED_VALUE"""),2.0)</f>
        <v>2</v>
      </c>
      <c r="G2920" s="1" t="str">
        <f>IFERROR(__xludf.DUMMYFUNCTION("""COMPUTED_VALUE"""),"3 mos")</f>
        <v>3 mos</v>
      </c>
      <c r="H2920" s="1" t="str">
        <f>IFERROR(__xludf.DUMMYFUNCTION("""COMPUTED_VALUE"""),"comment")</f>
        <v>comment</v>
      </c>
      <c r="I2920" s="2" t="str">
        <f>IFERROR(__xludf.DUMMYFUNCTION("""COMPUTED_VALUE"""),"https://www.facebook.com/rapplerdotcom/photos/a.317154781638645/5594453700575367/")</f>
        <v>https://www.facebook.com/rapplerdotcom/photos/a.317154781638645/5594453700575367/</v>
      </c>
      <c r="J2920" s="1" t="str">
        <f>IFERROR(__xludf.DUMMYFUNCTION("""COMPUTED_VALUE"""),"2022-07-04T15:53:36.547Z")</f>
        <v>2022-07-04T15:53:36.547Z</v>
      </c>
      <c r="K2920" s="1"/>
    </row>
    <row r="2921">
      <c r="A2921" s="2" t="str">
        <f>IFERROR(__xludf.DUMMYFUNCTION("""COMPUTED_VALUE"""),"https://www.facebook.com/beth.n.luna")</f>
        <v>https://www.facebook.com/beth.n.luna</v>
      </c>
      <c r="B2921" s="1" t="str">
        <f>IFERROR(__xludf.DUMMYFUNCTION("""COMPUTED_VALUE"""),"Beth Nolan Luna")</f>
        <v>Beth Nolan Luna</v>
      </c>
      <c r="C2921" s="1" t="str">
        <f>IFERROR(__xludf.DUMMYFUNCTION("""COMPUTED_VALUE"""),"Beth")</f>
        <v>Beth</v>
      </c>
      <c r="D2921" s="1" t="str">
        <f>IFERROR(__xludf.DUMMYFUNCTION("""COMPUTED_VALUE"""),"Nolan Luna")</f>
        <v>Nolan Luna</v>
      </c>
      <c r="E2921" s="1" t="str">
        <f>IFERROR(__xludf.DUMMYFUNCTION("""COMPUTED_VALUE"""),"Tumpak!")</f>
        <v>Tumpak!</v>
      </c>
      <c r="F2921" s="1">
        <f>IFERROR(__xludf.DUMMYFUNCTION("""COMPUTED_VALUE"""),14.0)</f>
        <v>14</v>
      </c>
      <c r="G2921" s="1" t="str">
        <f>IFERROR(__xludf.DUMMYFUNCTION("""COMPUTED_VALUE"""),"3 mos")</f>
        <v>3 mos</v>
      </c>
      <c r="H2921" s="1" t="str">
        <f>IFERROR(__xludf.DUMMYFUNCTION("""COMPUTED_VALUE"""),"comment")</f>
        <v>comment</v>
      </c>
      <c r="I2921" s="2" t="str">
        <f>IFERROR(__xludf.DUMMYFUNCTION("""COMPUTED_VALUE"""),"https://www.facebook.com/rapplerdotcom/photos/a.317154781638645/5594453700575367/")</f>
        <v>https://www.facebook.com/rapplerdotcom/photos/a.317154781638645/5594453700575367/</v>
      </c>
      <c r="J2921" s="1" t="str">
        <f>IFERROR(__xludf.DUMMYFUNCTION("""COMPUTED_VALUE"""),"2022-07-04T15:53:36.547Z")</f>
        <v>2022-07-04T15:53:36.547Z</v>
      </c>
      <c r="K2921" s="1"/>
    </row>
    <row r="2922">
      <c r="A2922" s="2" t="str">
        <f>IFERROR(__xludf.DUMMYFUNCTION("""COMPUTED_VALUE"""),"https://www.facebook.com/virgilio.r.cruz.5")</f>
        <v>https://www.facebook.com/virgilio.r.cruz.5</v>
      </c>
      <c r="B2922" s="1" t="str">
        <f>IFERROR(__xludf.DUMMYFUNCTION("""COMPUTED_VALUE"""),"Virgilio R. Cruz")</f>
        <v>Virgilio R. Cruz</v>
      </c>
      <c r="C2922" s="1" t="str">
        <f>IFERROR(__xludf.DUMMYFUNCTION("""COMPUTED_VALUE"""),"Virgilio")</f>
        <v>Virgilio</v>
      </c>
      <c r="D2922" s="1" t="str">
        <f>IFERROR(__xludf.DUMMYFUNCTION("""COMPUTED_VALUE"""),"R. Cruz")</f>
        <v>R. Cruz</v>
      </c>
      <c r="E2922" s="1" t="str">
        <f>IFERROR(__xludf.DUMMYFUNCTION("""COMPUTED_VALUE"""),"Tumpak!")</f>
        <v>Tumpak!</v>
      </c>
      <c r="F2922" s="1"/>
      <c r="G2922" s="1" t="str">
        <f>IFERROR(__xludf.DUMMYFUNCTION("""COMPUTED_VALUE"""),"3 mos")</f>
        <v>3 mos</v>
      </c>
      <c r="H2922" s="1" t="str">
        <f>IFERROR(__xludf.DUMMYFUNCTION("""COMPUTED_VALUE"""),"comment")</f>
        <v>comment</v>
      </c>
      <c r="I2922" s="2" t="str">
        <f>IFERROR(__xludf.DUMMYFUNCTION("""COMPUTED_VALUE"""),"https://www.facebook.com/rapplerdotcom/photos/a.317154781638645/5594453700575367/")</f>
        <v>https://www.facebook.com/rapplerdotcom/photos/a.317154781638645/5594453700575367/</v>
      </c>
      <c r="J2922" s="1" t="str">
        <f>IFERROR(__xludf.DUMMYFUNCTION("""COMPUTED_VALUE"""),"2022-07-04T15:53:36.547Z")</f>
        <v>2022-07-04T15:53:36.547Z</v>
      </c>
      <c r="K2922" s="1"/>
    </row>
    <row r="2923">
      <c r="A2923" s="2" t="str">
        <f>IFERROR(__xludf.DUMMYFUNCTION("""COMPUTED_VALUE"""),"https://www.facebook.com/nessmark.altar")</f>
        <v>https://www.facebook.com/nessmark.altar</v>
      </c>
      <c r="B2923" s="1" t="str">
        <f>IFERROR(__xludf.DUMMYFUNCTION("""COMPUTED_VALUE"""),"Carl Arellano Mandi")</f>
        <v>Carl Arellano Mandi</v>
      </c>
      <c r="C2923" s="1" t="str">
        <f>IFERROR(__xludf.DUMMYFUNCTION("""COMPUTED_VALUE"""),"Carl")</f>
        <v>Carl</v>
      </c>
      <c r="D2923" s="1" t="str">
        <f>IFERROR(__xludf.DUMMYFUNCTION("""COMPUTED_VALUE"""),"Arellano Mandi")</f>
        <v>Arellano Mandi</v>
      </c>
      <c r="E2923" s="1" t="str">
        <f>IFERROR(__xludf.DUMMYFUNCTION("""COMPUTED_VALUE"""),"antayin u na lang na suntukan ang gawing botohan bago ka tumakbo sa pagkapangulo..")</f>
        <v>antayin u na lang na suntukan ang gawing botohan bago ka tumakbo sa pagkapangulo..</v>
      </c>
      <c r="F2923" s="1">
        <f>IFERROR(__xludf.DUMMYFUNCTION("""COMPUTED_VALUE"""),3.0)</f>
        <v>3</v>
      </c>
      <c r="G2923" s="1" t="str">
        <f>IFERROR(__xludf.DUMMYFUNCTION("""COMPUTED_VALUE"""),"3 mos")</f>
        <v>3 mos</v>
      </c>
      <c r="H2923" s="1" t="str">
        <f>IFERROR(__xludf.DUMMYFUNCTION("""COMPUTED_VALUE"""),"comment")</f>
        <v>comment</v>
      </c>
      <c r="I2923" s="2" t="str">
        <f>IFERROR(__xludf.DUMMYFUNCTION("""COMPUTED_VALUE"""),"https://www.facebook.com/rapplerdotcom/photos/a.317154781638645/5594453700575367/")</f>
        <v>https://www.facebook.com/rapplerdotcom/photos/a.317154781638645/5594453700575367/</v>
      </c>
      <c r="J2923" s="1" t="str">
        <f>IFERROR(__xludf.DUMMYFUNCTION("""COMPUTED_VALUE"""),"2022-07-04T15:53:36.547Z")</f>
        <v>2022-07-04T15:53:36.547Z</v>
      </c>
      <c r="K2923" s="1"/>
    </row>
    <row r="2924">
      <c r="A2924" s="2" t="str">
        <f>IFERROR(__xludf.DUMMYFUNCTION("""COMPUTED_VALUE"""),"https://www.facebook.com/profile.php?id=100008034378748")</f>
        <v>https://www.facebook.com/profile.php?id=100008034378748</v>
      </c>
      <c r="B2924" s="1" t="str">
        <f>IFERROR(__xludf.DUMMYFUNCTION("""COMPUTED_VALUE"""),"James Ancheta Cabuguas")</f>
        <v>James Ancheta Cabuguas</v>
      </c>
      <c r="C2924" s="1" t="str">
        <f>IFERROR(__xludf.DUMMYFUNCTION("""COMPUTED_VALUE"""),"James")</f>
        <v>James</v>
      </c>
      <c r="D2924" s="1" t="str">
        <f>IFERROR(__xludf.DUMMYFUNCTION("""COMPUTED_VALUE"""),"Ancheta Cabuguas")</f>
        <v>Ancheta Cabuguas</v>
      </c>
      <c r="E2924" s="1" t="str">
        <f>IFERROR(__xludf.DUMMYFUNCTION("""COMPUTED_VALUE"""),"Carl Arellano Mandi  awit pre kay pacquio tlaga ako bboto pre sama kona mga tropa pag suntukan ang basihan sa pagkapangulo")</f>
        <v>Carl Arellano Mandi  awit pre kay pacquio tlaga ako bboto pre sama kona mga tropa pag suntukan ang basihan sa pagkapangulo</v>
      </c>
      <c r="F2924" s="1"/>
      <c r="G2924" s="1" t="str">
        <f>IFERROR(__xludf.DUMMYFUNCTION("""COMPUTED_VALUE"""),"3 mos")</f>
        <v>3 mos</v>
      </c>
      <c r="H2924" s="1" t="str">
        <f>IFERROR(__xludf.DUMMYFUNCTION("""COMPUTED_VALUE"""),"reply")</f>
        <v>reply</v>
      </c>
      <c r="I2924" s="2" t="str">
        <f>IFERROR(__xludf.DUMMYFUNCTION("""COMPUTED_VALUE"""),"https://www.facebook.com/rapplerdotcom/photos/a.317154781638645/5594453700575367/")</f>
        <v>https://www.facebook.com/rapplerdotcom/photos/a.317154781638645/5594453700575367/</v>
      </c>
      <c r="J2924" s="1" t="str">
        <f>IFERROR(__xludf.DUMMYFUNCTION("""COMPUTED_VALUE"""),"2022-07-04T15:53:36.547Z")</f>
        <v>2022-07-04T15:53:36.547Z</v>
      </c>
      <c r="K2924" s="1"/>
    </row>
    <row r="2925">
      <c r="A2925" s="2" t="str">
        <f>IFERROR(__xludf.DUMMYFUNCTION("""COMPUTED_VALUE"""),"https://www.facebook.com/nessmark.altar")</f>
        <v>https://www.facebook.com/nessmark.altar</v>
      </c>
      <c r="B2925" s="1" t="str">
        <f>IFERROR(__xludf.DUMMYFUNCTION("""COMPUTED_VALUE"""),"Carl Arellano Mandi")</f>
        <v>Carl Arellano Mandi</v>
      </c>
      <c r="C2925" s="1" t="str">
        <f>IFERROR(__xludf.DUMMYFUNCTION("""COMPUTED_VALUE"""),"Carl")</f>
        <v>Carl</v>
      </c>
      <c r="D2925" s="1" t="str">
        <f>IFERROR(__xludf.DUMMYFUNCTION("""COMPUTED_VALUE"""),"Arellano Mandi")</f>
        <v>Arellano Mandi</v>
      </c>
      <c r="E2925" s="1" t="str">
        <f>IFERROR(__xludf.DUMMYFUNCTION("""COMPUTED_VALUE"""),"James Ancheta Cabuguas landslide yan pre surewin na,haha")</f>
        <v>James Ancheta Cabuguas landslide yan pre surewin na,haha</v>
      </c>
      <c r="F2925" s="1"/>
      <c r="G2925" s="1" t="str">
        <f>IFERROR(__xludf.DUMMYFUNCTION("""COMPUTED_VALUE"""),"3 mos")</f>
        <v>3 mos</v>
      </c>
      <c r="H2925" s="1" t="str">
        <f>IFERROR(__xludf.DUMMYFUNCTION("""COMPUTED_VALUE"""),"reply")</f>
        <v>reply</v>
      </c>
      <c r="I2925" s="2" t="str">
        <f>IFERROR(__xludf.DUMMYFUNCTION("""COMPUTED_VALUE"""),"https://www.facebook.com/rapplerdotcom/photos/a.317154781638645/5594453700575367/")</f>
        <v>https://www.facebook.com/rapplerdotcom/photos/a.317154781638645/5594453700575367/</v>
      </c>
      <c r="J2925" s="1" t="str">
        <f>IFERROR(__xludf.DUMMYFUNCTION("""COMPUTED_VALUE"""),"2022-07-04T15:53:36.547Z")</f>
        <v>2022-07-04T15:53:36.547Z</v>
      </c>
      <c r="K2925" s="1"/>
    </row>
    <row r="2926">
      <c r="A2926" s="2" t="str">
        <f>IFERROR(__xludf.DUMMYFUNCTION("""COMPUTED_VALUE"""),"https://www.facebook.com/jessie.villagracia.37")</f>
        <v>https://www.facebook.com/jessie.villagracia.37</v>
      </c>
      <c r="B2926" s="1" t="str">
        <f>IFERROR(__xludf.DUMMYFUNCTION("""COMPUTED_VALUE"""),"Jessie Villagracia")</f>
        <v>Jessie Villagracia</v>
      </c>
      <c r="C2926" s="1" t="str">
        <f>IFERROR(__xludf.DUMMYFUNCTION("""COMPUTED_VALUE"""),"Jessie")</f>
        <v>Jessie</v>
      </c>
      <c r="D2926" s="1" t="str">
        <f>IFERROR(__xludf.DUMMYFUNCTION("""COMPUTED_VALUE"""),"Villagracia")</f>
        <v>Villagracia</v>
      </c>
      <c r="E2926" s="1" t="str">
        <f>IFERROR(__xludf.DUMMYFUNCTION("""COMPUTED_VALUE"""),"sabi kon")</f>
        <v>sabi kon</v>
      </c>
      <c r="F2926" s="1"/>
      <c r="G2926" s="1" t="str">
        <f>IFERROR(__xludf.DUMMYFUNCTION("""COMPUTED_VALUE"""),"3 mos")</f>
        <v>3 mos</v>
      </c>
      <c r="H2926" s="1" t="str">
        <f>IFERROR(__xludf.DUMMYFUNCTION("""COMPUTED_VALUE"""),"comment")</f>
        <v>comment</v>
      </c>
      <c r="I2926" s="2" t="str">
        <f>IFERROR(__xludf.DUMMYFUNCTION("""COMPUTED_VALUE"""),"https://www.facebook.com/rapplerdotcom/photos/a.317154781638645/5594453700575367/")</f>
        <v>https://www.facebook.com/rapplerdotcom/photos/a.317154781638645/5594453700575367/</v>
      </c>
      <c r="J2926" s="1" t="str">
        <f>IFERROR(__xludf.DUMMYFUNCTION("""COMPUTED_VALUE"""),"2022-07-04T15:53:36.547Z")</f>
        <v>2022-07-04T15:53:36.547Z</v>
      </c>
      <c r="K2926" s="1"/>
    </row>
    <row r="2927">
      <c r="A2927" s="2" t="str">
        <f>IFERROR(__xludf.DUMMYFUNCTION("""COMPUTED_VALUE"""),"https://www.facebook.com/julie.arenas143")</f>
        <v>https://www.facebook.com/julie.arenas143</v>
      </c>
      <c r="B2927" s="1" t="str">
        <f>IFERROR(__xludf.DUMMYFUNCTION("""COMPUTED_VALUE"""),"Juliane Arenas")</f>
        <v>Juliane Arenas</v>
      </c>
      <c r="C2927" s="1" t="str">
        <f>IFERROR(__xludf.DUMMYFUNCTION("""COMPUTED_VALUE"""),"Juliane")</f>
        <v>Juliane</v>
      </c>
      <c r="D2927" s="1" t="str">
        <f>IFERROR(__xludf.DUMMYFUNCTION("""COMPUTED_VALUE"""),"Arenas")</f>
        <v>Arenas</v>
      </c>
      <c r="E2927" s="1" t="str">
        <f>IFERROR(__xludf.DUMMYFUNCTION("""COMPUTED_VALUE"""),"Ambisyuso")</f>
        <v>Ambisyuso</v>
      </c>
      <c r="F2927" s="1"/>
      <c r="G2927" s="1" t="str">
        <f>IFERROR(__xludf.DUMMYFUNCTION("""COMPUTED_VALUE"""),"3 mos")</f>
        <v>3 mos</v>
      </c>
      <c r="H2927" s="1" t="str">
        <f>IFERROR(__xludf.DUMMYFUNCTION("""COMPUTED_VALUE"""),"comment")</f>
        <v>comment</v>
      </c>
      <c r="I2927" s="2" t="str">
        <f>IFERROR(__xludf.DUMMYFUNCTION("""COMPUTED_VALUE"""),"https://www.facebook.com/rapplerdotcom/photos/a.317154781638645/5594453700575367/")</f>
        <v>https://www.facebook.com/rapplerdotcom/photos/a.317154781638645/5594453700575367/</v>
      </c>
      <c r="J2927" s="1" t="str">
        <f>IFERROR(__xludf.DUMMYFUNCTION("""COMPUTED_VALUE"""),"2022-07-04T15:53:36.547Z")</f>
        <v>2022-07-04T15:53:36.547Z</v>
      </c>
      <c r="K2927" s="1"/>
    </row>
    <row r="2928">
      <c r="A2928" s="2" t="str">
        <f>IFERROR(__xludf.DUMMYFUNCTION("""COMPUTED_VALUE"""),"https://www.facebook.com/cecilia.bucong")</f>
        <v>https://www.facebook.com/cecilia.bucong</v>
      </c>
      <c r="B2928" s="1" t="str">
        <f>IFERROR(__xludf.DUMMYFUNCTION("""COMPUTED_VALUE"""),"Cecilia Suyman Estose-Bucong")</f>
        <v>Cecilia Suyman Estose-Bucong</v>
      </c>
      <c r="C2928" s="1" t="str">
        <f>IFERROR(__xludf.DUMMYFUNCTION("""COMPUTED_VALUE"""),"Cecilia")</f>
        <v>Cecilia</v>
      </c>
      <c r="D2928" s="1" t="str">
        <f>IFERROR(__xludf.DUMMYFUNCTION("""COMPUTED_VALUE"""),"Suyman Estose-Bucong")</f>
        <v>Suyman Estose-Bucong</v>
      </c>
      <c r="E2928" s="1" t="str">
        <f>IFERROR(__xludf.DUMMYFUNCTION("""COMPUTED_VALUE"""),"Korek ka manny")</f>
        <v>Korek ka manny</v>
      </c>
      <c r="F2928" s="1"/>
      <c r="G2928" s="1" t="str">
        <f>IFERROR(__xludf.DUMMYFUNCTION("""COMPUTED_VALUE"""),"3 mos")</f>
        <v>3 mos</v>
      </c>
      <c r="H2928" s="1" t="str">
        <f>IFERROR(__xludf.DUMMYFUNCTION("""COMPUTED_VALUE"""),"comment")</f>
        <v>comment</v>
      </c>
      <c r="I2928" s="2" t="str">
        <f>IFERROR(__xludf.DUMMYFUNCTION("""COMPUTED_VALUE"""),"https://www.facebook.com/rapplerdotcom/photos/a.317154781638645/5594453700575367/")</f>
        <v>https://www.facebook.com/rapplerdotcom/photos/a.317154781638645/5594453700575367/</v>
      </c>
      <c r="J2928" s="1" t="str">
        <f>IFERROR(__xludf.DUMMYFUNCTION("""COMPUTED_VALUE"""),"2022-07-04T15:53:36.547Z")</f>
        <v>2022-07-04T15:53:36.547Z</v>
      </c>
      <c r="K2928" s="1"/>
    </row>
    <row r="2929">
      <c r="A2929" s="2" t="str">
        <f>IFERROR(__xludf.DUMMYFUNCTION("""COMPUTED_VALUE"""),"https://www.facebook.com/profile.php?id=100074886289403")</f>
        <v>https://www.facebook.com/profile.php?id=100074886289403</v>
      </c>
      <c r="B2929" s="1" t="str">
        <f>IFERROR(__xludf.DUMMYFUNCTION("""COMPUTED_VALUE"""),"Teo Tolio")</f>
        <v>Teo Tolio</v>
      </c>
      <c r="C2929" s="1" t="str">
        <f>IFERROR(__xludf.DUMMYFUNCTION("""COMPUTED_VALUE"""),"Teo")</f>
        <v>Teo</v>
      </c>
      <c r="D2929" s="1" t="str">
        <f>IFERROR(__xludf.DUMMYFUNCTION("""COMPUTED_VALUE"""),"Tolio")</f>
        <v>Tolio</v>
      </c>
      <c r="E2929" s="1" t="str">
        <f>IFERROR(__xludf.DUMMYFUNCTION("""COMPUTED_VALUE"""),"Napakalaki talaga ng pag kakaiba  ni sen pacman dun sa isang kandidato laging may nilalaman ang kanyang sinasabi samantalang yung isa bukod sa di mo na maintindihan ay wala pang sustansiya pinagsasabi, PAG ISIPAN PO NIYO NG MABUTI ANG IBOBOTO NIYO")</f>
        <v>Napakalaki talaga ng pag kakaiba  ni sen pacman dun sa isang kandidato laging may nilalaman ang kanyang sinasabi samantalang yung isa bukod sa di mo na maintindihan ay wala pang sustansiya pinagsasabi, PAG ISIPAN PO NIYO NG MABUTI ANG IBOBOTO NIYO</v>
      </c>
      <c r="F2929" s="1"/>
      <c r="G2929" s="1" t="str">
        <f>IFERROR(__xludf.DUMMYFUNCTION("""COMPUTED_VALUE"""),"3 mos")</f>
        <v>3 mos</v>
      </c>
      <c r="H2929" s="1" t="str">
        <f>IFERROR(__xludf.DUMMYFUNCTION("""COMPUTED_VALUE"""),"comment")</f>
        <v>comment</v>
      </c>
      <c r="I2929" s="2" t="str">
        <f>IFERROR(__xludf.DUMMYFUNCTION("""COMPUTED_VALUE"""),"https://www.facebook.com/rapplerdotcom/photos/a.317154781638645/5594453700575367/")</f>
        <v>https://www.facebook.com/rapplerdotcom/photos/a.317154781638645/5594453700575367/</v>
      </c>
      <c r="J2929" s="1" t="str">
        <f>IFERROR(__xludf.DUMMYFUNCTION("""COMPUTED_VALUE"""),"2022-07-04T15:53:36.547Z")</f>
        <v>2022-07-04T15:53:36.547Z</v>
      </c>
      <c r="K2929" s="1"/>
    </row>
    <row r="2930">
      <c r="A2930" s="2" t="str">
        <f>IFERROR(__xludf.DUMMYFUNCTION("""COMPUTED_VALUE"""),"https://www.facebook.com/rnld29")</f>
        <v>https://www.facebook.com/rnld29</v>
      </c>
      <c r="B2930" s="1" t="str">
        <f>IFERROR(__xludf.DUMMYFUNCTION("""COMPUTED_VALUE"""),"Ron Nald")</f>
        <v>Ron Nald</v>
      </c>
      <c r="C2930" s="1" t="str">
        <f>IFERROR(__xludf.DUMMYFUNCTION("""COMPUTED_VALUE"""),"Ron")</f>
        <v>Ron</v>
      </c>
      <c r="D2930" s="1" t="str">
        <f>IFERROR(__xludf.DUMMYFUNCTION("""COMPUTED_VALUE"""),"Nald")</f>
        <v>Nald</v>
      </c>
      <c r="E2930" s="1" t="str">
        <f>IFERROR(__xludf.DUMMYFUNCTION("""COMPUTED_VALUE"""),"Tama naman... Kapag pinili ng tao ay mali, edi pagtiisan, pero kapag tama ang pinili ng tao ay magdiwang ang lahat...")</f>
        <v>Tama naman... Kapag pinili ng tao ay mali, edi pagtiisan, pero kapag tama ang pinili ng tao ay magdiwang ang lahat...</v>
      </c>
      <c r="F2930" s="1"/>
      <c r="G2930" s="1" t="str">
        <f>IFERROR(__xludf.DUMMYFUNCTION("""COMPUTED_VALUE"""),"3 mos")</f>
        <v>3 mos</v>
      </c>
      <c r="H2930" s="1" t="str">
        <f>IFERROR(__xludf.DUMMYFUNCTION("""COMPUTED_VALUE"""),"comment")</f>
        <v>comment</v>
      </c>
      <c r="I2930" s="2" t="str">
        <f>IFERROR(__xludf.DUMMYFUNCTION("""COMPUTED_VALUE"""),"https://www.facebook.com/rapplerdotcom/photos/a.317154781638645/5594453700575367/")</f>
        <v>https://www.facebook.com/rapplerdotcom/photos/a.317154781638645/5594453700575367/</v>
      </c>
      <c r="J2930" s="1" t="str">
        <f>IFERROR(__xludf.DUMMYFUNCTION("""COMPUTED_VALUE"""),"2022-07-04T15:53:36.547Z")</f>
        <v>2022-07-04T15:53:36.547Z</v>
      </c>
      <c r="K2930" s="1"/>
    </row>
    <row r="2931">
      <c r="A2931" s="2" t="str">
        <f>IFERROR(__xludf.DUMMYFUNCTION("""COMPUTED_VALUE"""),"https://www.facebook.com/oyette.calanog")</f>
        <v>https://www.facebook.com/oyette.calanog</v>
      </c>
      <c r="B2931" s="1" t="str">
        <f>IFERROR(__xludf.DUMMYFUNCTION("""COMPUTED_VALUE"""),"Oyette Calanog")</f>
        <v>Oyette Calanog</v>
      </c>
      <c r="C2931" s="1" t="str">
        <f>IFERROR(__xludf.DUMMYFUNCTION("""COMPUTED_VALUE"""),"Oyette")</f>
        <v>Oyette</v>
      </c>
      <c r="D2931" s="1" t="str">
        <f>IFERROR(__xludf.DUMMYFUNCTION("""COMPUTED_VALUE"""),"Calanog")</f>
        <v>Calanog</v>
      </c>
      <c r="E2931" s="1" t="str">
        <f>IFERROR(__xludf.DUMMYFUNCTION("""COMPUTED_VALUE"""),"Agree din ako dyan... mas  may isip pa ito kesa sa ibang botante... ang mga pulitikong corrupt ayaw nilang umunlad ang Pilipinas dahil mas maraming mahirap na nagbebenta ng boto mas mananatili sila sa posisyon...")</f>
        <v>Agree din ako dyan... mas  may isip pa ito kesa sa ibang botante... ang mga pulitikong corrupt ayaw nilang umunlad ang Pilipinas dahil mas maraming mahirap na nagbebenta ng boto mas mananatili sila sa posisyon...</v>
      </c>
      <c r="F2931" s="1"/>
      <c r="G2931" s="1" t="str">
        <f>IFERROR(__xludf.DUMMYFUNCTION("""COMPUTED_VALUE"""),"3 mos")</f>
        <v>3 mos</v>
      </c>
      <c r="H2931" s="1" t="str">
        <f>IFERROR(__xludf.DUMMYFUNCTION("""COMPUTED_VALUE"""),"comment")</f>
        <v>comment</v>
      </c>
      <c r="I2931" s="2" t="str">
        <f>IFERROR(__xludf.DUMMYFUNCTION("""COMPUTED_VALUE"""),"https://www.facebook.com/rapplerdotcom/photos/a.317154781638645/5594453700575367/")</f>
        <v>https://www.facebook.com/rapplerdotcom/photos/a.317154781638645/5594453700575367/</v>
      </c>
      <c r="J2931" s="1" t="str">
        <f>IFERROR(__xludf.DUMMYFUNCTION("""COMPUTED_VALUE"""),"2022-07-04T15:53:36.547Z")</f>
        <v>2022-07-04T15:53:36.547Z</v>
      </c>
      <c r="K2931" s="1"/>
    </row>
    <row r="2932">
      <c r="A2932" s="2" t="str">
        <f>IFERROR(__xludf.DUMMYFUNCTION("""COMPUTED_VALUE"""),"https://www.facebook.com/charlie.viejon.5")</f>
        <v>https://www.facebook.com/charlie.viejon.5</v>
      </c>
      <c r="B2932" s="1" t="str">
        <f>IFERROR(__xludf.DUMMYFUNCTION("""COMPUTED_VALUE"""),"Charlie Viejon")</f>
        <v>Charlie Viejon</v>
      </c>
      <c r="C2932" s="1" t="str">
        <f>IFERROR(__xludf.DUMMYFUNCTION("""COMPUTED_VALUE"""),"Charlie")</f>
        <v>Charlie</v>
      </c>
      <c r="D2932" s="1" t="str">
        <f>IFERROR(__xludf.DUMMYFUNCTION("""COMPUTED_VALUE"""),"Viejon")</f>
        <v>Viejon</v>
      </c>
      <c r="E2932" s="1" t="str">
        <f>IFERROR(__xludf.DUMMYFUNCTION("""COMPUTED_VALUE"""),"Kawawang manny nagpaloko na ng husto.tulong mo na lng yan sa mga kalugar mo sa saranggani.")</f>
        <v>Kawawang manny nagpaloko na ng husto.tulong mo na lng yan sa mga kalugar mo sa saranggani.</v>
      </c>
      <c r="F2932" s="1">
        <f>IFERROR(__xludf.DUMMYFUNCTION("""COMPUTED_VALUE"""),1.0)</f>
        <v>1</v>
      </c>
      <c r="G2932" s="1" t="str">
        <f>IFERROR(__xludf.DUMMYFUNCTION("""COMPUTED_VALUE"""),"3 mos")</f>
        <v>3 mos</v>
      </c>
      <c r="H2932" s="1" t="str">
        <f>IFERROR(__xludf.DUMMYFUNCTION("""COMPUTED_VALUE"""),"comment")</f>
        <v>comment</v>
      </c>
      <c r="I2932" s="2" t="str">
        <f>IFERROR(__xludf.DUMMYFUNCTION("""COMPUTED_VALUE"""),"https://www.facebook.com/rapplerdotcom/photos/a.317154781638645/5594453700575367/")</f>
        <v>https://www.facebook.com/rapplerdotcom/photos/a.317154781638645/5594453700575367/</v>
      </c>
      <c r="J2932" s="1" t="str">
        <f>IFERROR(__xludf.DUMMYFUNCTION("""COMPUTED_VALUE"""),"2022-07-04T15:53:36.547Z")</f>
        <v>2022-07-04T15:53:36.547Z</v>
      </c>
      <c r="K2932" s="1"/>
    </row>
    <row r="2933">
      <c r="A2933" s="2" t="str">
        <f>IFERROR(__xludf.DUMMYFUNCTION("""COMPUTED_VALUE"""),"https://www.facebook.com/yumika.mikay")</f>
        <v>https://www.facebook.com/yumika.mikay</v>
      </c>
      <c r="B2933" s="1" t="str">
        <f>IFERROR(__xludf.DUMMYFUNCTION("""COMPUTED_VALUE"""),"Maiah CM")</f>
        <v>Maiah CM</v>
      </c>
      <c r="C2933" s="1" t="str">
        <f>IFERROR(__xludf.DUMMYFUNCTION("""COMPUTED_VALUE"""),"Maiah")</f>
        <v>Maiah</v>
      </c>
      <c r="D2933" s="1" t="str">
        <f>IFERROR(__xludf.DUMMYFUNCTION("""COMPUTED_VALUE"""),"CM")</f>
        <v>CM</v>
      </c>
      <c r="E2933" s="1" t="str">
        <f>IFERROR(__xludf.DUMMYFUNCTION("""COMPUTED_VALUE"""),"💯 TRUEEE ! Lalo na yung bumoto para sa 500 🙄 haaynaku mandadamay pa ng kapwa pilipino ! May panahon pa para mag isip isip! HUUUYYY GISING 🇵🇭")</f>
        <v>💯 TRUEEE ! Lalo na yung bumoto para sa 500 🙄 haaynaku mandadamay pa ng kapwa pilipino ! May panahon pa para mag isip isip! HUUUYYY GISING 🇵🇭</v>
      </c>
      <c r="F2933" s="1">
        <f>IFERROR(__xludf.DUMMYFUNCTION("""COMPUTED_VALUE"""),5.0)</f>
        <v>5</v>
      </c>
      <c r="G2933" s="1" t="str">
        <f>IFERROR(__xludf.DUMMYFUNCTION("""COMPUTED_VALUE"""),"3 mos")</f>
        <v>3 mos</v>
      </c>
      <c r="H2933" s="1" t="str">
        <f>IFERROR(__xludf.DUMMYFUNCTION("""COMPUTED_VALUE"""),"comment")</f>
        <v>comment</v>
      </c>
      <c r="I2933" s="2" t="str">
        <f>IFERROR(__xludf.DUMMYFUNCTION("""COMPUTED_VALUE"""),"https://www.facebook.com/rapplerdotcom/photos/a.317154781638645/5594453700575367/")</f>
        <v>https://www.facebook.com/rapplerdotcom/photos/a.317154781638645/5594453700575367/</v>
      </c>
      <c r="J2933" s="1" t="str">
        <f>IFERROR(__xludf.DUMMYFUNCTION("""COMPUTED_VALUE"""),"2022-07-04T15:53:36.547Z")</f>
        <v>2022-07-04T15:53:36.547Z</v>
      </c>
      <c r="K2933" s="1"/>
    </row>
    <row r="2934">
      <c r="A2934" s="2" t="str">
        <f>IFERROR(__xludf.DUMMYFUNCTION("""COMPUTED_VALUE"""),"https://www.facebook.com/santiago.meneses.31542")</f>
        <v>https://www.facebook.com/santiago.meneses.31542</v>
      </c>
      <c r="B2934" s="1" t="str">
        <f>IFERROR(__xludf.DUMMYFUNCTION("""COMPUTED_VALUE"""),"Santiago Meneses")</f>
        <v>Santiago Meneses</v>
      </c>
      <c r="C2934" s="1" t="str">
        <f>IFERROR(__xludf.DUMMYFUNCTION("""COMPUTED_VALUE"""),"Santiago")</f>
        <v>Santiago</v>
      </c>
      <c r="D2934" s="1" t="str">
        <f>IFERROR(__xludf.DUMMYFUNCTION("""COMPUTED_VALUE"""),"Meneses")</f>
        <v>Meneses</v>
      </c>
      <c r="E2934" s="1" t="str">
        <f>IFERROR(__xludf.DUMMYFUNCTION("""COMPUTED_VALUE"""),"Tama nga nman kaya walang sisihan ah")</f>
        <v>Tama nga nman kaya walang sisihan ah</v>
      </c>
      <c r="F2934" s="1">
        <f>IFERROR(__xludf.DUMMYFUNCTION("""COMPUTED_VALUE"""),3.0)</f>
        <v>3</v>
      </c>
      <c r="G2934" s="1" t="str">
        <f>IFERROR(__xludf.DUMMYFUNCTION("""COMPUTED_VALUE"""),"3 mos")</f>
        <v>3 mos</v>
      </c>
      <c r="H2934" s="1" t="str">
        <f>IFERROR(__xludf.DUMMYFUNCTION("""COMPUTED_VALUE"""),"comment")</f>
        <v>comment</v>
      </c>
      <c r="I2934" s="2" t="str">
        <f>IFERROR(__xludf.DUMMYFUNCTION("""COMPUTED_VALUE"""),"https://www.facebook.com/rapplerdotcom/photos/a.317154781638645/5594453700575367/")</f>
        <v>https://www.facebook.com/rapplerdotcom/photos/a.317154781638645/5594453700575367/</v>
      </c>
      <c r="J2934" s="1" t="str">
        <f>IFERROR(__xludf.DUMMYFUNCTION("""COMPUTED_VALUE"""),"2022-07-04T15:53:36.547Z")</f>
        <v>2022-07-04T15:53:36.547Z</v>
      </c>
      <c r="K2934" s="1"/>
    </row>
    <row r="2935">
      <c r="A2935" s="2" t="str">
        <f>IFERROR(__xludf.DUMMYFUNCTION("""COMPUTED_VALUE"""),"https://www.facebook.com/rogelio.lapuz.5055")</f>
        <v>https://www.facebook.com/rogelio.lapuz.5055</v>
      </c>
      <c r="B2935" s="1" t="str">
        <f>IFERROR(__xludf.DUMMYFUNCTION("""COMPUTED_VALUE"""),"Rogelio Lapuz")</f>
        <v>Rogelio Lapuz</v>
      </c>
      <c r="C2935" s="1" t="str">
        <f>IFERROR(__xludf.DUMMYFUNCTION("""COMPUTED_VALUE"""),"Rogelio")</f>
        <v>Rogelio</v>
      </c>
      <c r="D2935" s="1" t="str">
        <f>IFERROR(__xludf.DUMMYFUNCTION("""COMPUTED_VALUE"""),"Lapuz")</f>
        <v>Lapuz</v>
      </c>
      <c r="E2935" s="1" t="str">
        <f>IFERROR(__xludf.DUMMYFUNCTION("""COMPUTED_VALUE"""),"Pakyaw # 7 shade sa baluta for frididint")</f>
        <v>Pakyaw # 7 shade sa baluta for frididint</v>
      </c>
      <c r="F2935" s="1">
        <f>IFERROR(__xludf.DUMMYFUNCTION("""COMPUTED_VALUE"""),1.0)</f>
        <v>1</v>
      </c>
      <c r="G2935" s="1" t="str">
        <f>IFERROR(__xludf.DUMMYFUNCTION("""COMPUTED_VALUE"""),"3 mos")</f>
        <v>3 mos</v>
      </c>
      <c r="H2935" s="1" t="str">
        <f>IFERROR(__xludf.DUMMYFUNCTION("""COMPUTED_VALUE"""),"comment")</f>
        <v>comment</v>
      </c>
      <c r="I2935" s="2" t="str">
        <f>IFERROR(__xludf.DUMMYFUNCTION("""COMPUTED_VALUE"""),"https://www.facebook.com/rapplerdotcom/photos/a.317154781638645/5594453700575367/")</f>
        <v>https://www.facebook.com/rapplerdotcom/photos/a.317154781638645/5594453700575367/</v>
      </c>
      <c r="J2935" s="1" t="str">
        <f>IFERROR(__xludf.DUMMYFUNCTION("""COMPUTED_VALUE"""),"2022-07-04T15:53:36.549Z")</f>
        <v>2022-07-04T15:53:36.549Z</v>
      </c>
      <c r="K2935" s="1"/>
    </row>
    <row r="2936">
      <c r="A2936" s="2" t="str">
        <f>IFERROR(__xludf.DUMMYFUNCTION("""COMPUTED_VALUE"""),"https://www.facebook.com/mariaana.fontamillas")</f>
        <v>https://www.facebook.com/mariaana.fontamillas</v>
      </c>
      <c r="B2936" s="1" t="str">
        <f>IFERROR(__xludf.DUMMYFUNCTION("""COMPUTED_VALUE"""),"Maria Ana Fontamillas")</f>
        <v>Maria Ana Fontamillas</v>
      </c>
      <c r="C2936" s="1" t="str">
        <f>IFERROR(__xludf.DUMMYFUNCTION("""COMPUTED_VALUE"""),"Maria")</f>
        <v>Maria</v>
      </c>
      <c r="D2936" s="1" t="str">
        <f>IFERROR(__xludf.DUMMYFUNCTION("""COMPUTED_VALUE"""),"Ana Fontamillas")</f>
        <v>Ana Fontamillas</v>
      </c>
      <c r="E2936" s="1" t="str">
        <f>IFERROR(__xludf.DUMMYFUNCTION("""COMPUTED_VALUE"""),"Maria Ana Fontamillas")</f>
        <v>Maria Ana Fontamillas</v>
      </c>
      <c r="F2936" s="1">
        <f>IFERROR(__xludf.DUMMYFUNCTION("""COMPUTED_VALUE"""),2.0)</f>
        <v>2</v>
      </c>
      <c r="G2936" s="1" t="str">
        <f>IFERROR(__xludf.DUMMYFUNCTION("""COMPUTED_VALUE"""),"3 mos")</f>
        <v>3 mos</v>
      </c>
      <c r="H2936" s="1" t="str">
        <f>IFERROR(__xludf.DUMMYFUNCTION("""COMPUTED_VALUE"""),"comment")</f>
        <v>comment</v>
      </c>
      <c r="I2936"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36" s="1" t="str">
        <f>IFERROR(__xludf.DUMMYFUNCTION("""COMPUTED_VALUE"""),"2022-07-04T15:53:56.374Z")</f>
        <v>2022-07-04T15:53:56.374Z</v>
      </c>
      <c r="K2936" s="1"/>
    </row>
    <row r="2937">
      <c r="A2937" s="2" t="str">
        <f>IFERROR(__xludf.DUMMYFUNCTION("""COMPUTED_VALUE"""),"https://www.facebook.com/tintin.f.asis")</f>
        <v>https://www.facebook.com/tintin.f.asis</v>
      </c>
      <c r="B2937" s="1" t="str">
        <f>IFERROR(__xludf.DUMMYFUNCTION("""COMPUTED_VALUE"""),"Tintin Faustino-Asis")</f>
        <v>Tintin Faustino-Asis</v>
      </c>
      <c r="C2937" s="1" t="str">
        <f>IFERROR(__xludf.DUMMYFUNCTION("""COMPUTED_VALUE"""),"Tintin")</f>
        <v>Tintin</v>
      </c>
      <c r="D2937" s="1" t="str">
        <f>IFERROR(__xludf.DUMMYFUNCTION("""COMPUTED_VALUE"""),"Faustino-Asis")</f>
        <v>Faustino-Asis</v>
      </c>
      <c r="E2937" s="1" t="str">
        <f>IFERROR(__xludf.DUMMYFUNCTION("""COMPUTED_VALUE"""),"#7KikoPangilinanVicePresident 💕🇵🇭💕#KikoAngManokKo #HelloPagkainGoodbyeGutom  #AngatBuhayLahat #LabanLeniKiko2022")</f>
        <v>#7KikoPangilinanVicePresident 💕🇵🇭💕#KikoAngManokKo #HelloPagkainGoodbyeGutom  #AngatBuhayLahat #LabanLeniKiko2022</v>
      </c>
      <c r="F2937" s="1"/>
      <c r="G2937" s="1" t="str">
        <f>IFERROR(__xludf.DUMMYFUNCTION("""COMPUTED_VALUE"""),"3 mos")</f>
        <v>3 mos</v>
      </c>
      <c r="H2937" s="1" t="str">
        <f>IFERROR(__xludf.DUMMYFUNCTION("""COMPUTED_VALUE"""),"comment")</f>
        <v>comment</v>
      </c>
      <c r="I2937"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37" s="1" t="str">
        <f>IFERROR(__xludf.DUMMYFUNCTION("""COMPUTED_VALUE"""),"2022-07-04T15:53:56.374Z")</f>
        <v>2022-07-04T15:53:56.374Z</v>
      </c>
      <c r="K2937" s="1"/>
    </row>
    <row r="2938">
      <c r="A2938" s="2" t="str">
        <f>IFERROR(__xludf.DUMMYFUNCTION("""COMPUTED_VALUE"""),"https://www.facebook.com/regine.tamayo1")</f>
        <v>https://www.facebook.com/regine.tamayo1</v>
      </c>
      <c r="B2938" s="1" t="str">
        <f>IFERROR(__xludf.DUMMYFUNCTION("""COMPUTED_VALUE"""),"Regine Baluyut Tamayo")</f>
        <v>Regine Baluyut Tamayo</v>
      </c>
      <c r="C2938" s="1" t="str">
        <f>IFERROR(__xludf.DUMMYFUNCTION("""COMPUTED_VALUE"""),"Regine")</f>
        <v>Regine</v>
      </c>
      <c r="D2938" s="1" t="str">
        <f>IFERROR(__xludf.DUMMYFUNCTION("""COMPUTED_VALUE"""),"Baluyut Tamayo")</f>
        <v>Baluyut Tamayo</v>
      </c>
      <c r="E2938" s="1" t="str">
        <f>IFERROR(__xludf.DUMMYFUNCTION("""COMPUTED_VALUE"""),"#LeniKikoForTheWin🌸🌸 #IpanaloNa10To 🌸🌸 #GobyernongTapat 🌸🌸 #AngatBuhayLahat🌸🌸")</f>
        <v>#LeniKikoForTheWin🌸🌸 #IpanaloNa10To 🌸🌸 #GobyernongTapat 🌸🌸 #AngatBuhayLahat🌸🌸</v>
      </c>
      <c r="F2938" s="1">
        <f>IFERROR(__xludf.DUMMYFUNCTION("""COMPUTED_VALUE"""),6.0)</f>
        <v>6</v>
      </c>
      <c r="G2938" s="1" t="str">
        <f>IFERROR(__xludf.DUMMYFUNCTION("""COMPUTED_VALUE"""),"3 mos")</f>
        <v>3 mos</v>
      </c>
      <c r="H2938" s="1" t="str">
        <f>IFERROR(__xludf.DUMMYFUNCTION("""COMPUTED_VALUE"""),"comment")</f>
        <v>comment</v>
      </c>
      <c r="I2938"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38" s="1" t="str">
        <f>IFERROR(__xludf.DUMMYFUNCTION("""COMPUTED_VALUE"""),"2022-07-04T15:53:56.374Z")</f>
        <v>2022-07-04T15:53:56.374Z</v>
      </c>
      <c r="K2938" s="1"/>
    </row>
    <row r="2939">
      <c r="A2939" s="2" t="str">
        <f>IFERROR(__xludf.DUMMYFUNCTION("""COMPUTED_VALUE"""),"https://www.facebook.com/jcaramirez")</f>
        <v>https://www.facebook.com/jcaramirez</v>
      </c>
      <c r="B2939" s="1" t="str">
        <f>IFERROR(__xludf.DUMMYFUNCTION("""COMPUTED_VALUE"""),"Carlos A. Ramirez")</f>
        <v>Carlos A. Ramirez</v>
      </c>
      <c r="C2939" s="1" t="str">
        <f>IFERROR(__xludf.DUMMYFUNCTION("""COMPUTED_VALUE"""),"Carlos")</f>
        <v>Carlos</v>
      </c>
      <c r="D2939" s="1" t="str">
        <f>IFERROR(__xludf.DUMMYFUNCTION("""COMPUTED_VALUE"""),"A. Ramirez")</f>
        <v>A. Ramirez</v>
      </c>
      <c r="E2939" s="1" t="str">
        <f>IFERROR(__xludf.DUMMYFUNCTION("""COMPUTED_VALUE"""),"#LeniKikoAllTheWay #LeniKiko2022 ✊🏼✊🏼✊🏼")</f>
        <v>#LeniKikoAllTheWay #LeniKiko2022 ✊🏼✊🏼✊🏼</v>
      </c>
      <c r="F2939" s="1">
        <f>IFERROR(__xludf.DUMMYFUNCTION("""COMPUTED_VALUE"""),2.0)</f>
        <v>2</v>
      </c>
      <c r="G2939" s="1" t="str">
        <f>IFERROR(__xludf.DUMMYFUNCTION("""COMPUTED_VALUE"""),"3 mos")</f>
        <v>3 mos</v>
      </c>
      <c r="H2939" s="1" t="str">
        <f>IFERROR(__xludf.DUMMYFUNCTION("""COMPUTED_VALUE"""),"comment")</f>
        <v>comment</v>
      </c>
      <c r="I2939"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39" s="1" t="str">
        <f>IFERROR(__xludf.DUMMYFUNCTION("""COMPUTED_VALUE"""),"2022-07-04T15:53:56.374Z")</f>
        <v>2022-07-04T15:53:56.374Z</v>
      </c>
      <c r="K2939" s="1"/>
    </row>
    <row r="2940">
      <c r="A2940" s="2" t="str">
        <f>IFERROR(__xludf.DUMMYFUNCTION("""COMPUTED_VALUE"""),"https://www.facebook.com/majecelruby.barnido.507")</f>
        <v>https://www.facebook.com/majecelruby.barnido.507</v>
      </c>
      <c r="B2940" s="1" t="str">
        <f>IFERROR(__xludf.DUMMYFUNCTION("""COMPUTED_VALUE"""),"Majecel Ruby Barnido")</f>
        <v>Majecel Ruby Barnido</v>
      </c>
      <c r="C2940" s="1" t="str">
        <f>IFERROR(__xludf.DUMMYFUNCTION("""COMPUTED_VALUE"""),"Majecel")</f>
        <v>Majecel</v>
      </c>
      <c r="D2940" s="1" t="str">
        <f>IFERROR(__xludf.DUMMYFUNCTION("""COMPUTED_VALUE"""),"Ruby Barnido")</f>
        <v>Ruby Barnido</v>
      </c>
      <c r="E2940" s="1" t="str">
        <f>IFERROR(__xludf.DUMMYFUNCTION("""COMPUTED_VALUE"""),"#LeniKiko2022  #GobyernongTapatAngatBuhayLahat  #KulayRosasAngBukas")</f>
        <v>#LeniKiko2022  #GobyernongTapatAngatBuhayLahat  #KulayRosasAngBukas</v>
      </c>
      <c r="F2940" s="1">
        <f>IFERROR(__xludf.DUMMYFUNCTION("""COMPUTED_VALUE"""),2.0)</f>
        <v>2</v>
      </c>
      <c r="G2940" s="1" t="str">
        <f>IFERROR(__xludf.DUMMYFUNCTION("""COMPUTED_VALUE"""),"3 mos")</f>
        <v>3 mos</v>
      </c>
      <c r="H2940" s="1" t="str">
        <f>IFERROR(__xludf.DUMMYFUNCTION("""COMPUTED_VALUE"""),"comment")</f>
        <v>comment</v>
      </c>
      <c r="I2940"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40" s="1" t="str">
        <f>IFERROR(__xludf.DUMMYFUNCTION("""COMPUTED_VALUE"""),"2022-07-04T15:53:56.374Z")</f>
        <v>2022-07-04T15:53:56.374Z</v>
      </c>
      <c r="K2940" s="1"/>
    </row>
    <row r="2941">
      <c r="A2941" s="2" t="str">
        <f>IFERROR(__xludf.DUMMYFUNCTION("""COMPUTED_VALUE"""),"https://www.facebook.com/janarvy.parr")</f>
        <v>https://www.facebook.com/janarvy.parr</v>
      </c>
      <c r="B2941" s="1" t="str">
        <f>IFERROR(__xludf.DUMMYFUNCTION("""COMPUTED_VALUE"""),"Arvy Parr")</f>
        <v>Arvy Parr</v>
      </c>
      <c r="C2941" s="1" t="str">
        <f>IFERROR(__xludf.DUMMYFUNCTION("""COMPUTED_VALUE"""),"Arvy")</f>
        <v>Arvy</v>
      </c>
      <c r="D2941" s="1" t="str">
        <f>IFERROR(__xludf.DUMMYFUNCTION("""COMPUTED_VALUE"""),"Parr")</f>
        <v>Parr</v>
      </c>
      <c r="E2941" s="1" t="str">
        <f>IFERROR(__xludf.DUMMYFUNCTION("""COMPUTED_VALUE"""),"Laban Kiko solid LP here")</f>
        <v>Laban Kiko solid LP here</v>
      </c>
      <c r="F2941" s="1">
        <f>IFERROR(__xludf.DUMMYFUNCTION("""COMPUTED_VALUE"""),2.0)</f>
        <v>2</v>
      </c>
      <c r="G2941" s="1" t="str">
        <f>IFERROR(__xludf.DUMMYFUNCTION("""COMPUTED_VALUE"""),"3 mos")</f>
        <v>3 mos</v>
      </c>
      <c r="H2941" s="1" t="str">
        <f>IFERROR(__xludf.DUMMYFUNCTION("""COMPUTED_VALUE"""),"comment")</f>
        <v>comment</v>
      </c>
      <c r="I2941"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41" s="1" t="str">
        <f>IFERROR(__xludf.DUMMYFUNCTION("""COMPUTED_VALUE"""),"2022-07-04T15:53:56.374Z")</f>
        <v>2022-07-04T15:53:56.374Z</v>
      </c>
      <c r="K2941" s="1"/>
    </row>
    <row r="2942">
      <c r="A2942" s="2" t="str">
        <f>IFERROR(__xludf.DUMMYFUNCTION("""COMPUTED_VALUE"""),"https://www.facebook.com/champoybulletelbow")</f>
        <v>https://www.facebook.com/champoybulletelbow</v>
      </c>
      <c r="B2942" s="1" t="str">
        <f>IFERROR(__xludf.DUMMYFUNCTION("""COMPUTED_VALUE"""),"March NJ")</f>
        <v>March NJ</v>
      </c>
      <c r="C2942" s="1" t="str">
        <f>IFERROR(__xludf.DUMMYFUNCTION("""COMPUTED_VALUE"""),"March")</f>
        <v>March</v>
      </c>
      <c r="D2942" s="1" t="str">
        <f>IFERROR(__xludf.DUMMYFUNCTION("""COMPUTED_VALUE"""),"NJ")</f>
        <v>NJ</v>
      </c>
      <c r="E2942" s="1" t="str">
        <f>IFERROR(__xludf.DUMMYFUNCTION("""COMPUTED_VALUE"""),"#LeniKiko2022 #TeamRObredoPAngilinan2022  #GobyernongTapatAngatBuhayLahat  🙏🌷🌱🙏")</f>
        <v>#LeniKiko2022 #TeamRObredoPAngilinan2022  #GobyernongTapatAngatBuhayLahat  🙏🌷🌱🙏</v>
      </c>
      <c r="F2942" s="1"/>
      <c r="G2942" s="1" t="str">
        <f>IFERROR(__xludf.DUMMYFUNCTION("""COMPUTED_VALUE"""),"3 mos")</f>
        <v>3 mos</v>
      </c>
      <c r="H2942" s="1" t="str">
        <f>IFERROR(__xludf.DUMMYFUNCTION("""COMPUTED_VALUE"""),"comment")</f>
        <v>comment</v>
      </c>
      <c r="I2942"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42" s="1" t="str">
        <f>IFERROR(__xludf.DUMMYFUNCTION("""COMPUTED_VALUE"""),"2022-07-04T15:53:56.374Z")</f>
        <v>2022-07-04T15:53:56.374Z</v>
      </c>
      <c r="K2942" s="1"/>
    </row>
    <row r="2943">
      <c r="A2943" s="2" t="str">
        <f>IFERROR(__xludf.DUMMYFUNCTION("""COMPUTED_VALUE"""),"https://www.facebook.com/profile.php?id=100013349808064")</f>
        <v>https://www.facebook.com/profile.php?id=100013349808064</v>
      </c>
      <c r="B2943" s="1" t="str">
        <f>IFERROR(__xludf.DUMMYFUNCTION("""COMPUTED_VALUE"""),"Eugene Pintac")</f>
        <v>Eugene Pintac</v>
      </c>
      <c r="C2943" s="1" t="str">
        <f>IFERROR(__xludf.DUMMYFUNCTION("""COMPUTED_VALUE"""),"Eugene")</f>
        <v>Eugene</v>
      </c>
      <c r="D2943" s="1" t="str">
        <f>IFERROR(__xludf.DUMMYFUNCTION("""COMPUTED_VALUE"""),"Pintac")</f>
        <v>Pintac</v>
      </c>
      <c r="E2943" s="1" t="str">
        <f>IFERROR(__xludf.DUMMYFUNCTION("""COMPUTED_VALUE"""),"#kahit pa e house to house campaign,  mulat na ang mga pilipino, sa mga politikong trapo walang matibay at kungkretong nagawa sa BANSA,")</f>
        <v>#kahit pa e house to house campaign,  mulat na ang mga pilipino, sa mga politikong trapo walang matibay at kungkretong nagawa sa BANSA,</v>
      </c>
      <c r="F2943" s="1">
        <f>IFERROR(__xludf.DUMMYFUNCTION("""COMPUTED_VALUE"""),3.0)</f>
        <v>3</v>
      </c>
      <c r="G2943" s="1" t="str">
        <f>IFERROR(__xludf.DUMMYFUNCTION("""COMPUTED_VALUE"""),"3 mos")</f>
        <v>3 mos</v>
      </c>
      <c r="H2943" s="1" t="str">
        <f>IFERROR(__xludf.DUMMYFUNCTION("""COMPUTED_VALUE"""),"comment")</f>
        <v>comment</v>
      </c>
      <c r="I2943"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43" s="1" t="str">
        <f>IFERROR(__xludf.DUMMYFUNCTION("""COMPUTED_VALUE"""),"2022-07-04T15:53:56.375Z")</f>
        <v>2022-07-04T15:53:56.375Z</v>
      </c>
      <c r="K2943" s="1"/>
    </row>
    <row r="2944">
      <c r="A2944" s="2" t="str">
        <f>IFERROR(__xludf.DUMMYFUNCTION("""COMPUTED_VALUE"""),"https://www.facebook.com/wengnyssa.wengnyssa")</f>
        <v>https://www.facebook.com/wengnyssa.wengnyssa</v>
      </c>
      <c r="B2944" s="1" t="str">
        <f>IFERROR(__xludf.DUMMYFUNCTION("""COMPUTED_VALUE"""),"Weng Nys")</f>
        <v>Weng Nys</v>
      </c>
      <c r="C2944" s="1" t="str">
        <f>IFERROR(__xludf.DUMMYFUNCTION("""COMPUTED_VALUE"""),"Weng")</f>
        <v>Weng</v>
      </c>
      <c r="D2944" s="1" t="str">
        <f>IFERROR(__xludf.DUMMYFUNCTION("""COMPUTED_VALUE"""),"Nys")</f>
        <v>Nys</v>
      </c>
      <c r="E2944" s="1" t="str">
        <f>IFERROR(__xludf.DUMMYFUNCTION("""COMPUTED_VALUE"""),"💗💗💗💗🌸🌸🌸🌸")</f>
        <v>💗💗💗💗🌸🌸🌸🌸</v>
      </c>
      <c r="F2944" s="1">
        <f>IFERROR(__xludf.DUMMYFUNCTION("""COMPUTED_VALUE"""),1.0)</f>
        <v>1</v>
      </c>
      <c r="G2944" s="1" t="str">
        <f>IFERROR(__xludf.DUMMYFUNCTION("""COMPUTED_VALUE"""),"3 mos")</f>
        <v>3 mos</v>
      </c>
      <c r="H2944" s="1" t="str">
        <f>IFERROR(__xludf.DUMMYFUNCTION("""COMPUTED_VALUE"""),"comment")</f>
        <v>comment</v>
      </c>
      <c r="I2944"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44" s="1" t="str">
        <f>IFERROR(__xludf.DUMMYFUNCTION("""COMPUTED_VALUE"""),"2022-07-04T15:53:56.375Z")</f>
        <v>2022-07-04T15:53:56.375Z</v>
      </c>
      <c r="K2944" s="1"/>
    </row>
    <row r="2945">
      <c r="A2945" s="2" t="str">
        <f>IFERROR(__xludf.DUMMYFUNCTION("""COMPUTED_VALUE"""),"https://www.facebook.com/profile.php?id=100071312860980")</f>
        <v>https://www.facebook.com/profile.php?id=100071312860980</v>
      </c>
      <c r="B2945" s="1" t="str">
        <f>IFERROR(__xludf.DUMMYFUNCTION("""COMPUTED_VALUE"""),"Angel Abubakar")</f>
        <v>Angel Abubakar</v>
      </c>
      <c r="C2945" s="1" t="str">
        <f>IFERROR(__xludf.DUMMYFUNCTION("""COMPUTED_VALUE"""),"Angel")</f>
        <v>Angel</v>
      </c>
      <c r="D2945" s="1" t="str">
        <f>IFERROR(__xludf.DUMMYFUNCTION("""COMPUTED_VALUE"""),"Abubakar")</f>
        <v>Abubakar</v>
      </c>
      <c r="E2945" s="1" t="str">
        <f>IFERROR(__xludf.DUMMYFUNCTION("""COMPUTED_VALUE"""),"Angel Abubakar")</f>
        <v>Angel Abubakar</v>
      </c>
      <c r="F2945" s="1">
        <f>IFERROR(__xludf.DUMMYFUNCTION("""COMPUTED_VALUE"""),3.0)</f>
        <v>3</v>
      </c>
      <c r="G2945" s="1" t="str">
        <f>IFERROR(__xludf.DUMMYFUNCTION("""COMPUTED_VALUE"""),"3 mos")</f>
        <v>3 mos</v>
      </c>
      <c r="H2945" s="1" t="str">
        <f>IFERROR(__xludf.DUMMYFUNCTION("""COMPUTED_VALUE"""),"comment")</f>
        <v>comment</v>
      </c>
      <c r="I2945" s="2" t="str">
        <f>IFERROR(__xludf.DUMMYFUNCTION("""COMPUTED_VALUE"""),"https://www.facebook.com/rapplerdotcom/posts/pfbid0Kg1RoVj1WsJryHzrsA3oSrLQ6DJc4g1o3yMhcNHB9BrPu7fZV7ugtw1hYVefEPE9l")</f>
        <v>https://www.facebook.com/rapplerdotcom/posts/pfbid0Kg1RoVj1WsJryHzrsA3oSrLQ6DJc4g1o3yMhcNHB9BrPu7fZV7ugtw1hYVefEPE9l</v>
      </c>
      <c r="J2945" s="1" t="str">
        <f>IFERROR(__xludf.DUMMYFUNCTION("""COMPUTED_VALUE"""),"2022-07-04T15:53:56.375Z")</f>
        <v>2022-07-04T15:53:56.375Z</v>
      </c>
      <c r="K2945" s="1"/>
    </row>
    <row r="2946">
      <c r="A2946" s="2" t="str">
        <f>IFERROR(__xludf.DUMMYFUNCTION("""COMPUTED_VALUE"""),"https://www.facebook.com/pandoy.malabanan")</f>
        <v>https://www.facebook.com/pandoy.malabanan</v>
      </c>
      <c r="B2946" s="1" t="str">
        <f>IFERROR(__xludf.DUMMYFUNCTION("""COMPUTED_VALUE"""),"Ding Malabanan")</f>
        <v>Ding Malabanan</v>
      </c>
      <c r="C2946" s="1" t="str">
        <f>IFERROR(__xludf.DUMMYFUNCTION("""COMPUTED_VALUE"""),"Ding")</f>
        <v>Ding</v>
      </c>
      <c r="D2946" s="1" t="str">
        <f>IFERROR(__xludf.DUMMYFUNCTION("""COMPUTED_VALUE"""),"Malabanan")</f>
        <v>Malabanan</v>
      </c>
      <c r="E2946" s="1" t="str">
        <f>IFERROR(__xludf.DUMMYFUNCTION("""COMPUTED_VALUE"""),"I'd rather not seek endorsement of this opportunist guy. Just like a number of politicians here in our country, going with the flow seems to be the in-thing come election time, loyalty's being compromised just for the sake of their own selfish interest.")</f>
        <v>I'd rather not seek endorsement of this opportunist guy. Just like a number of politicians here in our country, going with the flow seems to be the in-thing come election time, loyalty's being compromised just for the sake of their own selfish interest.</v>
      </c>
      <c r="F2946" s="1">
        <f>IFERROR(__xludf.DUMMYFUNCTION("""COMPUTED_VALUE"""),22.0)</f>
        <v>22</v>
      </c>
      <c r="G2946" s="1" t="str">
        <f>IFERROR(__xludf.DUMMYFUNCTION("""COMPUTED_VALUE"""),"3 mos")</f>
        <v>3 mos</v>
      </c>
      <c r="H2946" s="1" t="str">
        <f>IFERROR(__xludf.DUMMYFUNCTION("""COMPUTED_VALUE"""),"comment")</f>
        <v>comment</v>
      </c>
      <c r="I2946" s="2" t="str">
        <f>IFERROR(__xludf.DUMMYFUNCTION("""COMPUTED_VALUE"""),"https://www.facebook.com/rapplerdotcom/photos/a.317154781638645/5594359700584767/")</f>
        <v>https://www.facebook.com/rapplerdotcom/photos/a.317154781638645/5594359700584767/</v>
      </c>
      <c r="J2946" s="1" t="str">
        <f>IFERROR(__xludf.DUMMYFUNCTION("""COMPUTED_VALUE"""),"2022-07-04T21:38:13.903Z")</f>
        <v>2022-07-04T21:38:13.903Z</v>
      </c>
      <c r="K2946" s="1"/>
    </row>
    <row r="2947">
      <c r="A2947" s="2" t="str">
        <f>IFERROR(__xludf.DUMMYFUNCTION("""COMPUTED_VALUE"""),"https://www.facebook.com/joyce.gracia")</f>
        <v>https://www.facebook.com/joyce.gracia</v>
      </c>
      <c r="B2947" s="1" t="str">
        <f>IFERROR(__xludf.DUMMYFUNCTION("""COMPUTED_VALUE"""),"Joyce Pascual Gracia")</f>
        <v>Joyce Pascual Gracia</v>
      </c>
      <c r="C2947" s="1" t="str">
        <f>IFERROR(__xludf.DUMMYFUNCTION("""COMPUTED_VALUE"""),"Joyce")</f>
        <v>Joyce</v>
      </c>
      <c r="D2947" s="1" t="str">
        <f>IFERROR(__xludf.DUMMYFUNCTION("""COMPUTED_VALUE"""),"Pascual Gracia")</f>
        <v>Pascual Gracia</v>
      </c>
      <c r="E2947" s="1" t="str">
        <f>IFERROR(__xludf.DUMMYFUNCTION("""COMPUTED_VALUE"""),"Mahirap paniwalaan ang sinceridad ng taong yan. Basta #LeniKikoAllTheWay #LeniKikoTeam2022")</f>
        <v>Mahirap paniwalaan ang sinceridad ng taong yan. Basta #LeniKikoAllTheWay #LeniKikoTeam2022</v>
      </c>
      <c r="F2947" s="1">
        <f>IFERROR(__xludf.DUMMYFUNCTION("""COMPUTED_VALUE"""),3.0)</f>
        <v>3</v>
      </c>
      <c r="G2947" s="1" t="str">
        <f>IFERROR(__xludf.DUMMYFUNCTION("""COMPUTED_VALUE"""),"3 mos")</f>
        <v>3 mos</v>
      </c>
      <c r="H2947" s="1" t="str">
        <f>IFERROR(__xludf.DUMMYFUNCTION("""COMPUTED_VALUE"""),"reply")</f>
        <v>reply</v>
      </c>
      <c r="I2947" s="2" t="str">
        <f>IFERROR(__xludf.DUMMYFUNCTION("""COMPUTED_VALUE"""),"https://www.facebook.com/rapplerdotcom/photos/a.317154781638645/5594359700584767/")</f>
        <v>https://www.facebook.com/rapplerdotcom/photos/a.317154781638645/5594359700584767/</v>
      </c>
      <c r="J2947" s="1" t="str">
        <f>IFERROR(__xludf.DUMMYFUNCTION("""COMPUTED_VALUE"""),"2022-07-04T21:38:13.903Z")</f>
        <v>2022-07-04T21:38:13.903Z</v>
      </c>
      <c r="K2947" s="1"/>
    </row>
    <row r="2948">
      <c r="A2948" s="2" t="str">
        <f>IFERROR(__xludf.DUMMYFUNCTION("""COMPUTED_VALUE"""),"https://www.facebook.com/nancy.obrador.1")</f>
        <v>https://www.facebook.com/nancy.obrador.1</v>
      </c>
      <c r="B2948" s="1" t="str">
        <f>IFERROR(__xludf.DUMMYFUNCTION("""COMPUTED_VALUE"""),"Nancy Obrador")</f>
        <v>Nancy Obrador</v>
      </c>
      <c r="C2948" s="1" t="str">
        <f>IFERROR(__xludf.DUMMYFUNCTION("""COMPUTED_VALUE"""),"Nancy")</f>
        <v>Nancy</v>
      </c>
      <c r="D2948" s="1" t="str">
        <f>IFERROR(__xludf.DUMMYFUNCTION("""COMPUTED_VALUE"""),"Obrador")</f>
        <v>Obrador</v>
      </c>
      <c r="E2948" s="1" t="str">
        <f>IFERROR(__xludf.DUMMYFUNCTION("""COMPUTED_VALUE"""),"Ding Malabanan true ka dyan")</f>
        <v>Ding Malabanan true ka dyan</v>
      </c>
      <c r="F2948" s="1"/>
      <c r="G2948" s="1" t="str">
        <f>IFERROR(__xludf.DUMMYFUNCTION("""COMPUTED_VALUE"""),"3 mos")</f>
        <v>3 mos</v>
      </c>
      <c r="H2948" s="1" t="str">
        <f>IFERROR(__xludf.DUMMYFUNCTION("""COMPUTED_VALUE"""),"reply")</f>
        <v>reply</v>
      </c>
      <c r="I2948" s="2" t="str">
        <f>IFERROR(__xludf.DUMMYFUNCTION("""COMPUTED_VALUE"""),"https://www.facebook.com/rapplerdotcom/photos/a.317154781638645/5594359700584767/")</f>
        <v>https://www.facebook.com/rapplerdotcom/photos/a.317154781638645/5594359700584767/</v>
      </c>
      <c r="J2948" s="1" t="str">
        <f>IFERROR(__xludf.DUMMYFUNCTION("""COMPUTED_VALUE"""),"2022-07-04T21:38:13.903Z")</f>
        <v>2022-07-04T21:38:13.903Z</v>
      </c>
      <c r="K2948" s="1"/>
    </row>
    <row r="2949">
      <c r="A2949" s="2" t="str">
        <f>IFERROR(__xludf.DUMMYFUNCTION("""COMPUTED_VALUE"""),"https://www.facebook.com/fatima.dy")</f>
        <v>https://www.facebook.com/fatima.dy</v>
      </c>
      <c r="B2949" s="1" t="str">
        <f>IFERROR(__xludf.DUMMYFUNCTION("""COMPUTED_VALUE"""),"Fatima Dy")</f>
        <v>Fatima Dy</v>
      </c>
      <c r="C2949" s="1" t="str">
        <f>IFERROR(__xludf.DUMMYFUNCTION("""COMPUTED_VALUE"""),"Fatima")</f>
        <v>Fatima</v>
      </c>
      <c r="D2949" s="1" t="str">
        <f>IFERROR(__xludf.DUMMYFUNCTION("""COMPUTED_VALUE"""),"Dy")</f>
        <v>Dy</v>
      </c>
      <c r="E2949" s="1" t="str">
        <f>IFERROR(__xludf.DUMMYFUNCTION("""COMPUTED_VALUE"""),"Ding Malabanan and desperate needs of a candidate!")</f>
        <v>Ding Malabanan and desperate needs of a candidate!</v>
      </c>
      <c r="F2949" s="1"/>
      <c r="G2949" s="1" t="str">
        <f>IFERROR(__xludf.DUMMYFUNCTION("""COMPUTED_VALUE"""),"3 mos")</f>
        <v>3 mos</v>
      </c>
      <c r="H2949" s="1" t="str">
        <f>IFERROR(__xludf.DUMMYFUNCTION("""COMPUTED_VALUE"""),"reply")</f>
        <v>reply</v>
      </c>
      <c r="I2949" s="2" t="str">
        <f>IFERROR(__xludf.DUMMYFUNCTION("""COMPUTED_VALUE"""),"https://www.facebook.com/rapplerdotcom/photos/a.317154781638645/5594359700584767/")</f>
        <v>https://www.facebook.com/rapplerdotcom/photos/a.317154781638645/5594359700584767/</v>
      </c>
      <c r="J2949" s="1" t="str">
        <f>IFERROR(__xludf.DUMMYFUNCTION("""COMPUTED_VALUE"""),"2022-07-04T21:38:13.903Z")</f>
        <v>2022-07-04T21:38:13.903Z</v>
      </c>
      <c r="K2949" s="1"/>
    </row>
    <row r="2950">
      <c r="A2950" s="2" t="str">
        <f>IFERROR(__xludf.DUMMYFUNCTION("""COMPUTED_VALUE"""),"https://www.facebook.com/marilyn.a.ferrer")</f>
        <v>https://www.facebook.com/marilyn.a.ferrer</v>
      </c>
      <c r="B2950" s="1" t="str">
        <f>IFERROR(__xludf.DUMMYFUNCTION("""COMPUTED_VALUE"""),"Marilyn Abad Ferrer")</f>
        <v>Marilyn Abad Ferrer</v>
      </c>
      <c r="C2950" s="1" t="str">
        <f>IFERROR(__xludf.DUMMYFUNCTION("""COMPUTED_VALUE"""),"Marilyn")</f>
        <v>Marilyn</v>
      </c>
      <c r="D2950" s="1" t="str">
        <f>IFERROR(__xludf.DUMMYFUNCTION("""COMPUTED_VALUE"""),"Abad Ferrer")</f>
        <v>Abad Ferrer</v>
      </c>
      <c r="E2950" s="1" t="str">
        <f>IFERROR(__xludf.DUMMYFUNCTION("""COMPUTED_VALUE"""),"How can you endorse someone you callled “makapal ang mukha”, “traydor sa ating bansa”? Just goes to show you really dont care about our country &amp; its people - only your own selfish interest!")</f>
        <v>How can you endorse someone you callled “makapal ang mukha”, “traydor sa ating bansa”? Just goes to show you really dont care about our country &amp; its people - only your own selfish interest!</v>
      </c>
      <c r="F2950" s="1">
        <f>IFERROR(__xludf.DUMMYFUNCTION("""COMPUTED_VALUE"""),8.0)</f>
        <v>8</v>
      </c>
      <c r="G2950" s="1" t="str">
        <f>IFERROR(__xludf.DUMMYFUNCTION("""COMPUTED_VALUE"""),"3 mos")</f>
        <v>3 mos</v>
      </c>
      <c r="H2950" s="1" t="str">
        <f>IFERROR(__xludf.DUMMYFUNCTION("""COMPUTED_VALUE"""),"comment")</f>
        <v>comment</v>
      </c>
      <c r="I2950" s="2" t="str">
        <f>IFERROR(__xludf.DUMMYFUNCTION("""COMPUTED_VALUE"""),"https://www.facebook.com/rapplerdotcom/photos/a.317154781638645/5594359700584767/")</f>
        <v>https://www.facebook.com/rapplerdotcom/photos/a.317154781638645/5594359700584767/</v>
      </c>
      <c r="J2950" s="1" t="str">
        <f>IFERROR(__xludf.DUMMYFUNCTION("""COMPUTED_VALUE"""),"2022-07-04T21:38:13.903Z")</f>
        <v>2022-07-04T21:38:13.903Z</v>
      </c>
      <c r="K2950" s="1"/>
    </row>
    <row r="2951">
      <c r="A2951" s="2" t="str">
        <f>IFERROR(__xludf.DUMMYFUNCTION("""COMPUTED_VALUE"""),"https://www.facebook.com/macristina.panaguiton.7")</f>
        <v>https://www.facebook.com/macristina.panaguiton.7</v>
      </c>
      <c r="B2951" s="1" t="str">
        <f>IFERROR(__xludf.DUMMYFUNCTION("""COMPUTED_VALUE"""),"Tina Gallaza Panaguiton")</f>
        <v>Tina Gallaza Panaguiton</v>
      </c>
      <c r="C2951" s="1" t="str">
        <f>IFERROR(__xludf.DUMMYFUNCTION("""COMPUTED_VALUE"""),"Tina")</f>
        <v>Tina</v>
      </c>
      <c r="D2951" s="1" t="str">
        <f>IFERROR(__xludf.DUMMYFUNCTION("""COMPUTED_VALUE"""),"Gallaza Panaguiton")</f>
        <v>Gallaza Panaguiton</v>
      </c>
      <c r="E2951" s="1" t="str">
        <f>IFERROR(__xludf.DUMMYFUNCTION("""COMPUTED_VALUE"""),"Still have reservations about his credibility.")</f>
        <v>Still have reservations about his credibility.</v>
      </c>
      <c r="F2951" s="1">
        <f>IFERROR(__xludf.DUMMYFUNCTION("""COMPUTED_VALUE"""),19.0)</f>
        <v>19</v>
      </c>
      <c r="G2951" s="1" t="str">
        <f>IFERROR(__xludf.DUMMYFUNCTION("""COMPUTED_VALUE"""),"3 mos")</f>
        <v>3 mos</v>
      </c>
      <c r="H2951" s="1" t="str">
        <f>IFERROR(__xludf.DUMMYFUNCTION("""COMPUTED_VALUE"""),"comment")</f>
        <v>comment</v>
      </c>
      <c r="I2951" s="2" t="str">
        <f>IFERROR(__xludf.DUMMYFUNCTION("""COMPUTED_VALUE"""),"https://www.facebook.com/rapplerdotcom/photos/a.317154781638645/5594359700584767/")</f>
        <v>https://www.facebook.com/rapplerdotcom/photos/a.317154781638645/5594359700584767/</v>
      </c>
      <c r="J2951" s="1" t="str">
        <f>IFERROR(__xludf.DUMMYFUNCTION("""COMPUTED_VALUE"""),"2022-07-04T21:38:13.903Z")</f>
        <v>2022-07-04T21:38:13.903Z</v>
      </c>
      <c r="K2951" s="1"/>
    </row>
    <row r="2952">
      <c r="A2952" s="2" t="str">
        <f>IFERROR(__xludf.DUMMYFUNCTION("""COMPUTED_VALUE"""),"https://www.facebook.com/EnricElesisCruz")</f>
        <v>https://www.facebook.com/EnricElesisCruz</v>
      </c>
      <c r="B2952" s="1" t="str">
        <f>IFERROR(__xludf.DUMMYFUNCTION("""COMPUTED_VALUE"""),"Enric Elesis Cruz")</f>
        <v>Enric Elesis Cruz</v>
      </c>
      <c r="C2952" s="1" t="str">
        <f>IFERROR(__xludf.DUMMYFUNCTION("""COMPUTED_VALUE"""),"Enric")</f>
        <v>Enric</v>
      </c>
      <c r="D2952" s="1" t="str">
        <f>IFERROR(__xludf.DUMMYFUNCTION("""COMPUTED_VALUE"""),"Elesis Cruz")</f>
        <v>Elesis Cruz</v>
      </c>
      <c r="E2952" s="1" t="str">
        <f>IFERROR(__xludf.DUMMYFUNCTION("""COMPUTED_VALUE"""),"Tina Gallaza Panaguiton oo, pati na sa inendrose nya lately. Skl")</f>
        <v>Tina Gallaza Panaguiton oo, pati na sa inendrose nya lately. Skl</v>
      </c>
      <c r="F2952" s="1">
        <f>IFERROR(__xludf.DUMMYFUNCTION("""COMPUTED_VALUE"""),1.0)</f>
        <v>1</v>
      </c>
      <c r="G2952" s="1" t="str">
        <f>IFERROR(__xludf.DUMMYFUNCTION("""COMPUTED_VALUE"""),"3 mos")</f>
        <v>3 mos</v>
      </c>
      <c r="H2952" s="1" t="str">
        <f>IFERROR(__xludf.DUMMYFUNCTION("""COMPUTED_VALUE"""),"reply")</f>
        <v>reply</v>
      </c>
      <c r="I2952" s="2" t="str">
        <f>IFERROR(__xludf.DUMMYFUNCTION("""COMPUTED_VALUE"""),"https://www.facebook.com/rapplerdotcom/photos/a.317154781638645/5594359700584767/")</f>
        <v>https://www.facebook.com/rapplerdotcom/photos/a.317154781638645/5594359700584767/</v>
      </c>
      <c r="J2952" s="1" t="str">
        <f>IFERROR(__xludf.DUMMYFUNCTION("""COMPUTED_VALUE"""),"2022-07-04T21:38:13.903Z")</f>
        <v>2022-07-04T21:38:13.903Z</v>
      </c>
      <c r="K2952" s="1"/>
    </row>
    <row r="2953">
      <c r="A2953" s="2" t="str">
        <f>IFERROR(__xludf.DUMMYFUNCTION("""COMPUTED_VALUE"""),"https://www.facebook.com/edilberto.fermil.9")</f>
        <v>https://www.facebook.com/edilberto.fermil.9</v>
      </c>
      <c r="B2953" s="1" t="str">
        <f>IFERROR(__xludf.DUMMYFUNCTION("""COMPUTED_VALUE"""),"Edilberto Fermil")</f>
        <v>Edilberto Fermil</v>
      </c>
      <c r="C2953" s="1" t="str">
        <f>IFERROR(__xludf.DUMMYFUNCTION("""COMPUTED_VALUE"""),"Edilberto")</f>
        <v>Edilberto</v>
      </c>
      <c r="D2953" s="1" t="str">
        <f>IFERROR(__xludf.DUMMYFUNCTION("""COMPUTED_VALUE"""),"Fermil")</f>
        <v>Fermil</v>
      </c>
      <c r="E2953" s="1" t="str">
        <f>IFERROR(__xludf.DUMMYFUNCTION("""COMPUTED_VALUE"""),"Tina Gallaza Panaguiton Wala talagang credibility.")</f>
        <v>Tina Gallaza Panaguiton Wala talagang credibility.</v>
      </c>
      <c r="F2953" s="1"/>
      <c r="G2953" s="1" t="str">
        <f>IFERROR(__xludf.DUMMYFUNCTION("""COMPUTED_VALUE"""),"3 mos")</f>
        <v>3 mos</v>
      </c>
      <c r="H2953" s="1" t="str">
        <f>IFERROR(__xludf.DUMMYFUNCTION("""COMPUTED_VALUE"""),"reply")</f>
        <v>reply</v>
      </c>
      <c r="I2953" s="2" t="str">
        <f>IFERROR(__xludf.DUMMYFUNCTION("""COMPUTED_VALUE"""),"https://www.facebook.com/rapplerdotcom/photos/a.317154781638645/5594359700584767/")</f>
        <v>https://www.facebook.com/rapplerdotcom/photos/a.317154781638645/5594359700584767/</v>
      </c>
      <c r="J2953" s="1" t="str">
        <f>IFERROR(__xludf.DUMMYFUNCTION("""COMPUTED_VALUE"""),"2022-07-04T21:38:13.903Z")</f>
        <v>2022-07-04T21:38:13.903Z</v>
      </c>
      <c r="K2953" s="1"/>
    </row>
    <row r="2954">
      <c r="A2954" s="2" t="str">
        <f>IFERROR(__xludf.DUMMYFUNCTION("""COMPUTED_VALUE"""),"https://www.facebook.com/mel.lao.18")</f>
        <v>https://www.facebook.com/mel.lao.18</v>
      </c>
      <c r="B2954" s="1" t="str">
        <f>IFERROR(__xludf.DUMMYFUNCTION("""COMPUTED_VALUE"""),"Jose Mel Lao")</f>
        <v>Jose Mel Lao</v>
      </c>
      <c r="C2954" s="1" t="str">
        <f>IFERROR(__xludf.DUMMYFUNCTION("""COMPUTED_VALUE"""),"Jose")</f>
        <v>Jose</v>
      </c>
      <c r="D2954" s="1" t="str">
        <f>IFERROR(__xludf.DUMMYFUNCTION("""COMPUTED_VALUE"""),"Mel Lao")</f>
        <v>Mel Lao</v>
      </c>
      <c r="E2954" s="1" t="str">
        <f>IFERROR(__xludf.DUMMYFUNCTION("""COMPUTED_VALUE"""),"In every situation there's a realization... but I like to believe that in politics there's no permanent friends and allies...... the only permanent is *Vested interest*")</f>
        <v>In every situation there's a realization... but I like to believe that in politics there's no permanent friends and allies...... the only permanent is *Vested interest*</v>
      </c>
      <c r="F2954" s="1">
        <f>IFERROR(__xludf.DUMMYFUNCTION("""COMPUTED_VALUE"""),28.0)</f>
        <v>28</v>
      </c>
      <c r="G2954" s="1" t="str">
        <f>IFERROR(__xludf.DUMMYFUNCTION("""COMPUTED_VALUE"""),"3 mos")</f>
        <v>3 mos</v>
      </c>
      <c r="H2954" s="1" t="str">
        <f>IFERROR(__xludf.DUMMYFUNCTION("""COMPUTED_VALUE"""),"comment")</f>
        <v>comment</v>
      </c>
      <c r="I2954" s="2" t="str">
        <f>IFERROR(__xludf.DUMMYFUNCTION("""COMPUTED_VALUE"""),"https://www.facebook.com/rapplerdotcom/photos/a.317154781638645/5594359700584767/")</f>
        <v>https://www.facebook.com/rapplerdotcom/photos/a.317154781638645/5594359700584767/</v>
      </c>
      <c r="J2954" s="1" t="str">
        <f>IFERROR(__xludf.DUMMYFUNCTION("""COMPUTED_VALUE"""),"2022-07-04T21:38:13.903Z")</f>
        <v>2022-07-04T21:38:13.903Z</v>
      </c>
      <c r="K2954" s="1"/>
    </row>
    <row r="2955">
      <c r="A2955" s="2" t="str">
        <f>IFERROR(__xludf.DUMMYFUNCTION("""COMPUTED_VALUE"""),"https://www.facebook.com/roie.donna")</f>
        <v>https://www.facebook.com/roie.donna</v>
      </c>
      <c r="B2955" s="1" t="str">
        <f>IFERROR(__xludf.DUMMYFUNCTION("""COMPUTED_VALUE"""),"Roiedonna Vasta")</f>
        <v>Roiedonna Vasta</v>
      </c>
      <c r="C2955" s="1" t="str">
        <f>IFERROR(__xludf.DUMMYFUNCTION("""COMPUTED_VALUE"""),"Roiedonna")</f>
        <v>Roiedonna</v>
      </c>
      <c r="D2955" s="1" t="str">
        <f>IFERROR(__xludf.DUMMYFUNCTION("""COMPUTED_VALUE"""),"Vasta")</f>
        <v>Vasta</v>
      </c>
      <c r="E2955" s="1" t="str">
        <f>IFERROR(__xludf.DUMMYFUNCTION("""COMPUTED_VALUE"""),"Don't ask for anything in return JUDAS, you're like a serpent,  you have a split tounge!")</f>
        <v>Don't ask for anything in return JUDAS, you're like a serpent,  you have a split tounge!</v>
      </c>
      <c r="F2955" s="1"/>
      <c r="G2955" s="1" t="str">
        <f>IFERROR(__xludf.DUMMYFUNCTION("""COMPUTED_VALUE"""),"3 mos")</f>
        <v>3 mos</v>
      </c>
      <c r="H2955" s="1" t="str">
        <f>IFERROR(__xludf.DUMMYFUNCTION("""COMPUTED_VALUE"""),"comment")</f>
        <v>comment</v>
      </c>
      <c r="I2955" s="2" t="str">
        <f>IFERROR(__xludf.DUMMYFUNCTION("""COMPUTED_VALUE"""),"https://www.facebook.com/rapplerdotcom/photos/a.317154781638645/5594359700584767/")</f>
        <v>https://www.facebook.com/rapplerdotcom/photos/a.317154781638645/5594359700584767/</v>
      </c>
      <c r="J2955" s="1" t="str">
        <f>IFERROR(__xludf.DUMMYFUNCTION("""COMPUTED_VALUE"""),"2022-07-04T21:38:13.903Z")</f>
        <v>2022-07-04T21:38:13.903Z</v>
      </c>
      <c r="K2955" s="1"/>
    </row>
    <row r="2956">
      <c r="A2956" s="2" t="str">
        <f>IFERROR(__xludf.DUMMYFUNCTION("""COMPUTED_VALUE"""),"https://www.facebook.com/neilyuchan")</f>
        <v>https://www.facebook.com/neilyuchan</v>
      </c>
      <c r="B2956" s="1" t="str">
        <f>IFERROR(__xludf.DUMMYFUNCTION("""COMPUTED_VALUE"""),"Neil Chan")</f>
        <v>Neil Chan</v>
      </c>
      <c r="C2956" s="1" t="str">
        <f>IFERROR(__xludf.DUMMYFUNCTION("""COMPUTED_VALUE"""),"Neil")</f>
        <v>Neil</v>
      </c>
      <c r="D2956" s="1" t="str">
        <f>IFERROR(__xludf.DUMMYFUNCTION("""COMPUTED_VALUE"""),"Chan")</f>
        <v>Chan</v>
      </c>
      <c r="E2956" s="1" t="str">
        <f>IFERROR(__xludf.DUMMYFUNCTION("""COMPUTED_VALUE"""),"when a wily politician like him switching, it means a seismic change in political climate.")</f>
        <v>when a wily politician like him switching, it means a seismic change in political climate.</v>
      </c>
      <c r="F2956" s="1"/>
      <c r="G2956" s="1" t="str">
        <f>IFERROR(__xludf.DUMMYFUNCTION("""COMPUTED_VALUE"""),"3 mos")</f>
        <v>3 mos</v>
      </c>
      <c r="H2956" s="1" t="str">
        <f>IFERROR(__xludf.DUMMYFUNCTION("""COMPUTED_VALUE"""),"comment")</f>
        <v>comment</v>
      </c>
      <c r="I2956" s="2" t="str">
        <f>IFERROR(__xludf.DUMMYFUNCTION("""COMPUTED_VALUE"""),"https://www.facebook.com/rapplerdotcom/photos/a.317154781638645/5594359700584767/")</f>
        <v>https://www.facebook.com/rapplerdotcom/photos/a.317154781638645/5594359700584767/</v>
      </c>
      <c r="J2956" s="1" t="str">
        <f>IFERROR(__xludf.DUMMYFUNCTION("""COMPUTED_VALUE"""),"2022-07-04T21:38:13.903Z")</f>
        <v>2022-07-04T21:38:13.903Z</v>
      </c>
      <c r="K2956" s="1"/>
    </row>
    <row r="2957">
      <c r="A2957" s="2" t="str">
        <f>IFERROR(__xludf.DUMMYFUNCTION("""COMPUTED_VALUE"""),"https://www.facebook.com/milagrosilidan")</f>
        <v>https://www.facebook.com/milagrosilidan</v>
      </c>
      <c r="B2957" s="1" t="str">
        <f>IFERROR(__xludf.DUMMYFUNCTION("""COMPUTED_VALUE"""),"Mila Escaran Iledan")</f>
        <v>Mila Escaran Iledan</v>
      </c>
      <c r="C2957" s="1" t="str">
        <f>IFERROR(__xludf.DUMMYFUNCTION("""COMPUTED_VALUE"""),"Mila")</f>
        <v>Mila</v>
      </c>
      <c r="D2957" s="1" t="str">
        <f>IFERROR(__xludf.DUMMYFUNCTION("""COMPUTED_VALUE"""),"Escaran Iledan")</f>
        <v>Escaran Iledan</v>
      </c>
      <c r="E2957" s="1" t="str">
        <f>IFERROR(__xludf.DUMMYFUNCTION("""COMPUTED_VALUE"""),"We dont care who you support; people DO NOT BUY your endorsement anyway;  we dont trust a CHAMELLON &amp; an OPPORTUNIST. GO support a STRING PUPPET of the oligarchs &amp; USA.")</f>
        <v>We dont care who you support; people DO NOT BUY your endorsement anyway;  we dont trust a CHAMELLON &amp; an OPPORTUNIST. GO support a STRING PUPPET of the oligarchs &amp; USA.</v>
      </c>
      <c r="F2957" s="1"/>
      <c r="G2957" s="1" t="str">
        <f>IFERROR(__xludf.DUMMYFUNCTION("""COMPUTED_VALUE"""),"3 mos")</f>
        <v>3 mos</v>
      </c>
      <c r="H2957" s="1" t="str">
        <f>IFERROR(__xludf.DUMMYFUNCTION("""COMPUTED_VALUE"""),"comment")</f>
        <v>comment</v>
      </c>
      <c r="I2957" s="2" t="str">
        <f>IFERROR(__xludf.DUMMYFUNCTION("""COMPUTED_VALUE"""),"https://www.facebook.com/rapplerdotcom/photos/a.317154781638645/5594359700584767/")</f>
        <v>https://www.facebook.com/rapplerdotcom/photos/a.317154781638645/5594359700584767/</v>
      </c>
      <c r="J2957" s="1" t="str">
        <f>IFERROR(__xludf.DUMMYFUNCTION("""COMPUTED_VALUE"""),"2022-07-04T21:38:13.904Z")</f>
        <v>2022-07-04T21:38:13.904Z</v>
      </c>
      <c r="K2957" s="1"/>
    </row>
    <row r="2958">
      <c r="A2958" s="2" t="str">
        <f>IFERROR(__xludf.DUMMYFUNCTION("""COMPUTED_VALUE"""),"https://www.facebook.com/Alvin3aces")</f>
        <v>https://www.facebook.com/Alvin3aces</v>
      </c>
      <c r="B2958" s="1" t="str">
        <f>IFERROR(__xludf.DUMMYFUNCTION("""COMPUTED_VALUE"""),"Alvin Alcala")</f>
        <v>Alvin Alcala</v>
      </c>
      <c r="C2958" s="1" t="str">
        <f>IFERROR(__xludf.DUMMYFUNCTION("""COMPUTED_VALUE"""),"Alvin")</f>
        <v>Alvin</v>
      </c>
      <c r="D2958" s="1" t="str">
        <f>IFERROR(__xludf.DUMMYFUNCTION("""COMPUTED_VALUE"""),"Alcala")</f>
        <v>Alcala</v>
      </c>
      <c r="E2958" s="1" t="str">
        <f>IFERROR(__xludf.DUMMYFUNCTION("""COMPUTED_VALUE"""),"This is called SELF INTEREST and not the NATION'S INTEREST. Their past &amp; present history as politicians  will reflect DECISION for our childrens future generation in terms of vote. GOD BLESS!")</f>
        <v>This is called SELF INTEREST and not the NATION'S INTEREST. Their past &amp; present history as politicians  will reflect DECISION for our childrens future generation in terms of vote. GOD BLESS!</v>
      </c>
      <c r="F2958" s="1"/>
      <c r="G2958" s="1" t="str">
        <f>IFERROR(__xludf.DUMMYFUNCTION("""COMPUTED_VALUE"""),"3 mos")</f>
        <v>3 mos</v>
      </c>
      <c r="H2958" s="1" t="str">
        <f>IFERROR(__xludf.DUMMYFUNCTION("""COMPUTED_VALUE"""),"comment")</f>
        <v>comment</v>
      </c>
      <c r="I2958" s="2" t="str">
        <f>IFERROR(__xludf.DUMMYFUNCTION("""COMPUTED_VALUE"""),"https://www.facebook.com/rapplerdotcom/photos/a.317154781638645/5594359700584767/")</f>
        <v>https://www.facebook.com/rapplerdotcom/photos/a.317154781638645/5594359700584767/</v>
      </c>
      <c r="J2958" s="1" t="str">
        <f>IFERROR(__xludf.DUMMYFUNCTION("""COMPUTED_VALUE"""),"2022-07-04T21:38:13.904Z")</f>
        <v>2022-07-04T21:38:13.904Z</v>
      </c>
      <c r="K2958" s="1"/>
    </row>
    <row r="2959">
      <c r="A2959" s="2" t="str">
        <f>IFERROR(__xludf.DUMMYFUNCTION("""COMPUTED_VALUE"""),"https://www.facebook.com/hyath")</f>
        <v>https://www.facebook.com/hyath</v>
      </c>
      <c r="B2959" s="1" t="str">
        <f>IFERROR(__xludf.DUMMYFUNCTION("""COMPUTED_VALUE"""),"Hyatt Bravo")</f>
        <v>Hyatt Bravo</v>
      </c>
      <c r="C2959" s="1" t="str">
        <f>IFERROR(__xludf.DUMMYFUNCTION("""COMPUTED_VALUE"""),"Hyatt")</f>
        <v>Hyatt</v>
      </c>
      <c r="D2959" s="1" t="str">
        <f>IFERROR(__xludf.DUMMYFUNCTION("""COMPUTED_VALUE"""),"Bravo")</f>
        <v>Bravo</v>
      </c>
      <c r="E2959" s="1" t="str">
        <f>IFERROR(__xludf.DUMMYFUNCTION("""COMPUTED_VALUE"""),"This plot solidified votes for sen. Ping and even invited sympathies from the undecided and soft voter groups towards the good senator.  For mam vp, IMO, it did more harm than good esp. the support fr cong alvarez is exclusive to her candidacy and leaving"&amp;" sen Kiko out.    Painted her as someone desperately needing for support even if it's coming from a politician with questionable loyalty and credibility.  Makes me wonder what's really in it for her.  tbh. :( :'(")</f>
        <v>This plot solidified votes for sen. Ping and even invited sympathies from the undecided and soft voter groups towards the good senator.  For mam vp, IMO, it did more harm than good esp. the support fr cong alvarez is exclusive to her candidacy and leaving sen Kiko out.    Painted her as someone desperately needing for support even if it's coming from a politician with questionable loyalty and credibility.  Makes me wonder what's really in it for her.  tbh. :( :'(</v>
      </c>
      <c r="F2959" s="1">
        <f>IFERROR(__xludf.DUMMYFUNCTION("""COMPUTED_VALUE"""),2.0)</f>
        <v>2</v>
      </c>
      <c r="G2959" s="1" t="str">
        <f>IFERROR(__xludf.DUMMYFUNCTION("""COMPUTED_VALUE"""),"3 mos")</f>
        <v>3 mos</v>
      </c>
      <c r="H2959" s="1" t="str">
        <f>IFERROR(__xludf.DUMMYFUNCTION("""COMPUTED_VALUE"""),"comment")</f>
        <v>comment</v>
      </c>
      <c r="I2959" s="2" t="str">
        <f>IFERROR(__xludf.DUMMYFUNCTION("""COMPUTED_VALUE"""),"https://www.facebook.com/rapplerdotcom/photos/a.317154781638645/5594359700584767/")</f>
        <v>https://www.facebook.com/rapplerdotcom/photos/a.317154781638645/5594359700584767/</v>
      </c>
      <c r="J2959" s="1" t="str">
        <f>IFERROR(__xludf.DUMMYFUNCTION("""COMPUTED_VALUE"""),"2022-07-04T21:38:13.904Z")</f>
        <v>2022-07-04T21:38:13.904Z</v>
      </c>
      <c r="K2959" s="1"/>
    </row>
    <row r="2960">
      <c r="A2960" s="2" t="str">
        <f>IFERROR(__xludf.DUMMYFUNCTION("""COMPUTED_VALUE"""),"https://www.facebook.com/christene.delacruz.777")</f>
        <v>https://www.facebook.com/christene.delacruz.777</v>
      </c>
      <c r="B2960" s="1" t="str">
        <f>IFERROR(__xludf.DUMMYFUNCTION("""COMPUTED_VALUE"""),"Christene Delacruz")</f>
        <v>Christene Delacruz</v>
      </c>
      <c r="C2960" s="1" t="str">
        <f>IFERROR(__xludf.DUMMYFUNCTION("""COMPUTED_VALUE"""),"Christene")</f>
        <v>Christene</v>
      </c>
      <c r="D2960" s="1" t="str">
        <f>IFERROR(__xludf.DUMMYFUNCTION("""COMPUTED_VALUE"""),"Delacruz")</f>
        <v>Delacruz</v>
      </c>
      <c r="E2960" s="1" t="str">
        <f>IFERROR(__xludf.DUMMYFUNCTION("""COMPUTED_VALUE"""),"We don't trust you and The People's Campaign got their laser eyes on you.")</f>
        <v>We don't trust you and The People's Campaign got their laser eyes on you.</v>
      </c>
      <c r="F2960" s="1">
        <f>IFERROR(__xludf.DUMMYFUNCTION("""COMPUTED_VALUE"""),2.0)</f>
        <v>2</v>
      </c>
      <c r="G2960" s="1" t="str">
        <f>IFERROR(__xludf.DUMMYFUNCTION("""COMPUTED_VALUE"""),"3 mos")</f>
        <v>3 mos</v>
      </c>
      <c r="H2960" s="1" t="str">
        <f>IFERROR(__xludf.DUMMYFUNCTION("""COMPUTED_VALUE"""),"comment")</f>
        <v>comment</v>
      </c>
      <c r="I2960" s="2" t="str">
        <f>IFERROR(__xludf.DUMMYFUNCTION("""COMPUTED_VALUE"""),"https://www.facebook.com/rapplerdotcom/photos/a.317154781638645/5594359700584767/")</f>
        <v>https://www.facebook.com/rapplerdotcom/photos/a.317154781638645/5594359700584767/</v>
      </c>
      <c r="J2960" s="1" t="str">
        <f>IFERROR(__xludf.DUMMYFUNCTION("""COMPUTED_VALUE"""),"2022-07-04T21:38:13.904Z")</f>
        <v>2022-07-04T21:38:13.904Z</v>
      </c>
      <c r="K2960" s="1"/>
    </row>
    <row r="2961">
      <c r="A2961" s="2" t="str">
        <f>IFERROR(__xludf.DUMMYFUNCTION("""COMPUTED_VALUE"""),"https://www.facebook.com/jaymar.pantojatumlos")</f>
        <v>https://www.facebook.com/jaymar.pantojatumlos</v>
      </c>
      <c r="B2961" s="1" t="str">
        <f>IFERROR(__xludf.DUMMYFUNCTION("""COMPUTED_VALUE"""),"Jaymar Pantoja Tumlos")</f>
        <v>Jaymar Pantoja Tumlos</v>
      </c>
      <c r="C2961" s="1" t="str">
        <f>IFERROR(__xludf.DUMMYFUNCTION("""COMPUTED_VALUE"""),"Jaymar")</f>
        <v>Jaymar</v>
      </c>
      <c r="D2961" s="1" t="str">
        <f>IFERROR(__xludf.DUMMYFUNCTION("""COMPUTED_VALUE"""),"Pantoja Tumlos")</f>
        <v>Pantoja Tumlos</v>
      </c>
      <c r="E2961" s="1" t="str">
        <f>IFERROR(__xludf.DUMMYFUNCTION("""COMPUTED_VALUE"""),"Marcoses are very humble ❤️💚😤 and always in humility🙏✨😍 kaya gusto ko sila✌️❤️💚 They dont bash 🤧💚😭❤️ retaliate 😍🙏 take revenge ❤️💚🥺 or do something wrong 😤🙄❤️💚against their enemies☺️❤️💚. They stay Calm 🥱❤️💚 Cool ✌️🤧and gentle in their a"&amp;"ctions 😍💚❤️ As the Bible says LOVE YOUR🥺🤗✨ ENEMIES ✨❤️💚AS YOU LOVE YOURSELF"" ❤️💚🥰💯 the second greatest commandment✨🙏✌️💚❤️ as well as the seventh 😘🥰💚❤️✌️")</f>
        <v>Marcoses are very humble ❤️💚😤 and always in humility🙏✨😍 kaya gusto ko sila✌️❤️💚 They dont bash 🤧💚😭❤️ retaliate 😍🙏 take revenge ❤️💚🥺 or do something wrong 😤🙄❤️💚against their enemies☺️❤️💚. They stay Calm 🥱❤️💚 Cool ✌️🤧and gentle in their actions 😍💚❤️ As the Bible says LOVE YOUR🥺🤗✨ ENEMIES ✨❤️💚AS YOU LOVE YOURSELF" ❤️💚🥰💯 the second greatest commandment✨🙏✌️💚❤️ as well as the seventh 😘🥰💚❤️✌️</v>
      </c>
      <c r="F2961" s="1">
        <f>IFERROR(__xludf.DUMMYFUNCTION("""COMPUTED_VALUE"""),1.0)</f>
        <v>1</v>
      </c>
      <c r="G2961" s="1" t="str">
        <f>IFERROR(__xludf.DUMMYFUNCTION("""COMPUTED_VALUE"""),"3 mos")</f>
        <v>3 mos</v>
      </c>
      <c r="H2961" s="1" t="str">
        <f>IFERROR(__xludf.DUMMYFUNCTION("""COMPUTED_VALUE"""),"comment")</f>
        <v>comment</v>
      </c>
      <c r="I2961" s="2" t="str">
        <f>IFERROR(__xludf.DUMMYFUNCTION("""COMPUTED_VALUE"""),"https://www.facebook.com/rapplerdotcom/photos/a.317154781638645/5594359700584767/")</f>
        <v>https://www.facebook.com/rapplerdotcom/photos/a.317154781638645/5594359700584767/</v>
      </c>
      <c r="J2961" s="1" t="str">
        <f>IFERROR(__xludf.DUMMYFUNCTION("""COMPUTED_VALUE"""),"2022-07-04T21:38:13.904Z")</f>
        <v>2022-07-04T21:38:13.904Z</v>
      </c>
      <c r="K2961" s="1"/>
    </row>
    <row r="2962">
      <c r="A2962" s="2" t="str">
        <f>IFERROR(__xludf.DUMMYFUNCTION("""COMPUTED_VALUE"""),"https://www.facebook.com/benjie.paralta")</f>
        <v>https://www.facebook.com/benjie.paralta</v>
      </c>
      <c r="B2962" s="1" t="str">
        <f>IFERROR(__xludf.DUMMYFUNCTION("""COMPUTED_VALUE"""),"Benjie Paralta")</f>
        <v>Benjie Paralta</v>
      </c>
      <c r="C2962" s="1" t="str">
        <f>IFERROR(__xludf.DUMMYFUNCTION("""COMPUTED_VALUE"""),"Benjie")</f>
        <v>Benjie</v>
      </c>
      <c r="D2962" s="1" t="str">
        <f>IFERROR(__xludf.DUMMYFUNCTION("""COMPUTED_VALUE"""),"Paralta")</f>
        <v>Paralta</v>
      </c>
      <c r="E2962" s="1" t="str">
        <f>IFERROR(__xludf.DUMMYFUNCTION("""COMPUTED_VALUE"""),"Careful careful lang because we care for you as our president")</f>
        <v>Careful careful lang because we care for you as our president</v>
      </c>
      <c r="F2962" s="1">
        <f>IFERROR(__xludf.DUMMYFUNCTION("""COMPUTED_VALUE"""),9.0)</f>
        <v>9</v>
      </c>
      <c r="G2962" s="1" t="str">
        <f>IFERROR(__xludf.DUMMYFUNCTION("""COMPUTED_VALUE"""),"3 mos")</f>
        <v>3 mos</v>
      </c>
      <c r="H2962" s="1" t="str">
        <f>IFERROR(__xludf.DUMMYFUNCTION("""COMPUTED_VALUE"""),"comment")</f>
        <v>comment</v>
      </c>
      <c r="I2962" s="2" t="str">
        <f>IFERROR(__xludf.DUMMYFUNCTION("""COMPUTED_VALUE"""),"https://www.facebook.com/rapplerdotcom/photos/a.317154781638645/5594359700584767/")</f>
        <v>https://www.facebook.com/rapplerdotcom/photos/a.317154781638645/5594359700584767/</v>
      </c>
      <c r="J2962" s="1" t="str">
        <f>IFERROR(__xludf.DUMMYFUNCTION("""COMPUTED_VALUE"""),"2022-07-04T21:38:13.904Z")</f>
        <v>2022-07-04T21:38:13.904Z</v>
      </c>
      <c r="K2962" s="1"/>
    </row>
    <row r="2963">
      <c r="A2963" s="2" t="str">
        <f>IFERROR(__xludf.DUMMYFUNCTION("""COMPUTED_VALUE"""),"https://www.facebook.com/austregelina.chua")</f>
        <v>https://www.facebook.com/austregelina.chua</v>
      </c>
      <c r="B2963" s="1" t="str">
        <f>IFERROR(__xludf.DUMMYFUNCTION("""COMPUTED_VALUE"""),"Austregelina Austria Chua")</f>
        <v>Austregelina Austria Chua</v>
      </c>
      <c r="C2963" s="1" t="str">
        <f>IFERROR(__xludf.DUMMYFUNCTION("""COMPUTED_VALUE"""),"Austregelina")</f>
        <v>Austregelina</v>
      </c>
      <c r="D2963" s="1" t="str">
        <f>IFERROR(__xludf.DUMMYFUNCTION("""COMPUTED_VALUE"""),"Austria Chua")</f>
        <v>Austria Chua</v>
      </c>
      <c r="E2963" s="1" t="str">
        <f>IFERROR(__xludf.DUMMYFUNCTION("""COMPUTED_VALUE"""),"Benjie Paralta yes malinis ang hangarin natin tulad din ng hangarin ni VPLENI para sa Pilipinas. Alam natin kung anong klaseng politiko itong si Alvarez.")</f>
        <v>Benjie Paralta yes malinis ang hangarin natin tulad din ng hangarin ni VPLENI para sa Pilipinas. Alam natin kung anong klaseng politiko itong si Alvarez.</v>
      </c>
      <c r="F2963" s="1">
        <f>IFERROR(__xludf.DUMMYFUNCTION("""COMPUTED_VALUE"""),2.0)</f>
        <v>2</v>
      </c>
      <c r="G2963" s="1" t="str">
        <f>IFERROR(__xludf.DUMMYFUNCTION("""COMPUTED_VALUE"""),"3 mos")</f>
        <v>3 mos</v>
      </c>
      <c r="H2963" s="1" t="str">
        <f>IFERROR(__xludf.DUMMYFUNCTION("""COMPUTED_VALUE"""),"reply")</f>
        <v>reply</v>
      </c>
      <c r="I2963" s="2" t="str">
        <f>IFERROR(__xludf.DUMMYFUNCTION("""COMPUTED_VALUE"""),"https://www.facebook.com/rapplerdotcom/photos/a.317154781638645/5594359700584767/")</f>
        <v>https://www.facebook.com/rapplerdotcom/photos/a.317154781638645/5594359700584767/</v>
      </c>
      <c r="J2963" s="1" t="str">
        <f>IFERROR(__xludf.DUMMYFUNCTION("""COMPUTED_VALUE"""),"2022-07-04T21:38:13.904Z")</f>
        <v>2022-07-04T21:38:13.904Z</v>
      </c>
      <c r="K2963" s="1"/>
    </row>
    <row r="2964">
      <c r="A2964" s="2" t="str">
        <f>IFERROR(__xludf.DUMMYFUNCTION("""COMPUTED_VALUE"""),"https://www.facebook.com/john.elizarde.5")</f>
        <v>https://www.facebook.com/john.elizarde.5</v>
      </c>
      <c r="B2964" s="1" t="str">
        <f>IFERROR(__xludf.DUMMYFUNCTION("""COMPUTED_VALUE"""),"John Elizarde")</f>
        <v>John Elizarde</v>
      </c>
      <c r="C2964" s="1" t="str">
        <f>IFERROR(__xludf.DUMMYFUNCTION("""COMPUTED_VALUE"""),"John")</f>
        <v>John</v>
      </c>
      <c r="D2964" s="1" t="str">
        <f>IFERROR(__xludf.DUMMYFUNCTION("""COMPUTED_VALUE"""),"Elizarde")</f>
        <v>Elizarde</v>
      </c>
      <c r="E2964" s="1" t="str">
        <f>IFERROR(__xludf.DUMMYFUNCTION("""COMPUTED_VALUE"""),"Welcome Mr. Alvarez. We will take anyone,we don't care if it's evil. We are desperate. Just do your thing, dirty or not. With your expertise, please help us win! God bless #LetLeniLead")</f>
        <v>Welcome Mr. Alvarez. We will take anyone,we don't care if it's evil. We are desperate. Just do your thing, dirty or not. With your expertise, please help us win! God bless #LetLeniLead</v>
      </c>
      <c r="F2964" s="1">
        <f>IFERROR(__xludf.DUMMYFUNCTION("""COMPUTED_VALUE"""),4.0)</f>
        <v>4</v>
      </c>
      <c r="G2964" s="1" t="str">
        <f>IFERROR(__xludf.DUMMYFUNCTION("""COMPUTED_VALUE"""),"3 mos")</f>
        <v>3 mos</v>
      </c>
      <c r="H2964" s="1" t="str">
        <f>IFERROR(__xludf.DUMMYFUNCTION("""COMPUTED_VALUE"""),"comment")</f>
        <v>comment</v>
      </c>
      <c r="I2964" s="2" t="str">
        <f>IFERROR(__xludf.DUMMYFUNCTION("""COMPUTED_VALUE"""),"https://www.facebook.com/rapplerdotcom/photos/a.317154781638645/5594359700584767/")</f>
        <v>https://www.facebook.com/rapplerdotcom/photos/a.317154781638645/5594359700584767/</v>
      </c>
      <c r="J2964" s="1" t="str">
        <f>IFERROR(__xludf.DUMMYFUNCTION("""COMPUTED_VALUE"""),"2022-07-04T21:38:13.904Z")</f>
        <v>2022-07-04T21:38:13.904Z</v>
      </c>
      <c r="K2964" s="1"/>
    </row>
    <row r="2965">
      <c r="A2965" s="2" t="str">
        <f>IFERROR(__xludf.DUMMYFUNCTION("""COMPUTED_VALUE"""),"https://www.facebook.com/nievestampis")</f>
        <v>https://www.facebook.com/nievestampis</v>
      </c>
      <c r="B2965" s="1" t="str">
        <f>IFERROR(__xludf.DUMMYFUNCTION("""COMPUTED_VALUE"""),"Nieves Cat")</f>
        <v>Nieves Cat</v>
      </c>
      <c r="C2965" s="1" t="str">
        <f>IFERROR(__xludf.DUMMYFUNCTION("""COMPUTED_VALUE"""),"Nieves")</f>
        <v>Nieves</v>
      </c>
      <c r="D2965" s="1" t="str">
        <f>IFERROR(__xludf.DUMMYFUNCTION("""COMPUTED_VALUE"""),"Cat")</f>
        <v>Cat</v>
      </c>
      <c r="E2965" s="1" t="str">
        <f>IFERROR(__xludf.DUMMYFUNCTION("""COMPUTED_VALUE"""),"Ang kasabihan nga sa Pinas...."" In politics there are no permanent friends/ allies nor enemies"" 😁😅😂🤣")</f>
        <v>Ang kasabihan nga sa Pinas...." In politics there are no permanent friends/ allies nor enemies" 😁😅😂🤣</v>
      </c>
      <c r="F2965" s="1"/>
      <c r="G2965" s="1" t="str">
        <f>IFERROR(__xludf.DUMMYFUNCTION("""COMPUTED_VALUE"""),"3 mos")</f>
        <v>3 mos</v>
      </c>
      <c r="H2965" s="1" t="str">
        <f>IFERROR(__xludf.DUMMYFUNCTION("""COMPUTED_VALUE"""),"comment")</f>
        <v>comment</v>
      </c>
      <c r="I2965" s="2" t="str">
        <f>IFERROR(__xludf.DUMMYFUNCTION("""COMPUTED_VALUE"""),"https://www.facebook.com/rapplerdotcom/photos/a.317154781638645/5594359700584767/")</f>
        <v>https://www.facebook.com/rapplerdotcom/photos/a.317154781638645/5594359700584767/</v>
      </c>
      <c r="J2965" s="1" t="str">
        <f>IFERROR(__xludf.DUMMYFUNCTION("""COMPUTED_VALUE"""),"2022-07-04T21:38:13.904Z")</f>
        <v>2022-07-04T21:38:13.904Z</v>
      </c>
      <c r="K2965" s="1"/>
    </row>
    <row r="2966">
      <c r="A2966" s="2" t="str">
        <f>IFERROR(__xludf.DUMMYFUNCTION("""COMPUTED_VALUE"""),"https://www.facebook.com/tintin.radoc")</f>
        <v>https://www.facebook.com/tintin.radoc</v>
      </c>
      <c r="B2966" s="1" t="str">
        <f>IFERROR(__xludf.DUMMYFUNCTION("""COMPUTED_VALUE"""),"Tin Tin Radoc")</f>
        <v>Tin Tin Radoc</v>
      </c>
      <c r="C2966" s="1" t="str">
        <f>IFERROR(__xludf.DUMMYFUNCTION("""COMPUTED_VALUE"""),"Tin")</f>
        <v>Tin</v>
      </c>
      <c r="D2966" s="1" t="str">
        <f>IFERROR(__xludf.DUMMYFUNCTION("""COMPUTED_VALUE"""),"Tin Radoc")</f>
        <v>Tin Radoc</v>
      </c>
      <c r="E2966" s="1" t="str">
        <f>IFERROR(__xludf.DUMMYFUNCTION("""COMPUTED_VALUE"""),"Nieves Cat  True")</f>
        <v>Nieves Cat  True</v>
      </c>
      <c r="F2966" s="1"/>
      <c r="G2966" s="1" t="str">
        <f>IFERROR(__xludf.DUMMYFUNCTION("""COMPUTED_VALUE"""),"3 mos")</f>
        <v>3 mos</v>
      </c>
      <c r="H2966" s="1" t="str">
        <f>IFERROR(__xludf.DUMMYFUNCTION("""COMPUTED_VALUE"""),"reply")</f>
        <v>reply</v>
      </c>
      <c r="I2966" s="2" t="str">
        <f>IFERROR(__xludf.DUMMYFUNCTION("""COMPUTED_VALUE"""),"https://www.facebook.com/rapplerdotcom/photos/a.317154781638645/5594359700584767/")</f>
        <v>https://www.facebook.com/rapplerdotcom/photos/a.317154781638645/5594359700584767/</v>
      </c>
      <c r="J2966" s="1" t="str">
        <f>IFERROR(__xludf.DUMMYFUNCTION("""COMPUTED_VALUE"""),"2022-07-04T21:38:13.904Z")</f>
        <v>2022-07-04T21:38:13.904Z</v>
      </c>
      <c r="K2966" s="1"/>
    </row>
    <row r="2967">
      <c r="A2967" s="2" t="str">
        <f>IFERROR(__xludf.DUMMYFUNCTION("""COMPUTED_VALUE"""),"https://www.facebook.com/boy.cinco")</f>
        <v>https://www.facebook.com/boy.cinco</v>
      </c>
      <c r="B2967" s="1" t="str">
        <f>IFERROR(__xludf.DUMMYFUNCTION("""COMPUTED_VALUE"""),"Boy Toledo Cinco")</f>
        <v>Boy Toledo Cinco</v>
      </c>
      <c r="C2967" s="1" t="str">
        <f>IFERROR(__xludf.DUMMYFUNCTION("""COMPUTED_VALUE"""),"Boy")</f>
        <v>Boy</v>
      </c>
      <c r="D2967" s="1" t="str">
        <f>IFERROR(__xludf.DUMMYFUNCTION("""COMPUTED_VALUE"""),"Toledo Cinco")</f>
        <v>Toledo Cinco</v>
      </c>
      <c r="E2967" s="1" t="str">
        <f>IFERROR(__xludf.DUMMYFUNCTION("""COMPUTED_VALUE"""),"Daming politician sa ating bansa sariling kapakanan lang ang inuna walang loyalty")</f>
        <v>Daming politician sa ating bansa sariling kapakanan lang ang inuna walang loyalty</v>
      </c>
      <c r="F2967" s="1"/>
      <c r="G2967" s="1" t="str">
        <f>IFERROR(__xludf.DUMMYFUNCTION("""COMPUTED_VALUE"""),"3 mos")</f>
        <v>3 mos</v>
      </c>
      <c r="H2967" s="1" t="str">
        <f>IFERROR(__xludf.DUMMYFUNCTION("""COMPUTED_VALUE"""),"comment")</f>
        <v>comment</v>
      </c>
      <c r="I2967" s="2" t="str">
        <f>IFERROR(__xludf.DUMMYFUNCTION("""COMPUTED_VALUE"""),"https://www.facebook.com/rapplerdotcom/photos/a.317154781638645/5594359700584767/")</f>
        <v>https://www.facebook.com/rapplerdotcom/photos/a.317154781638645/5594359700584767/</v>
      </c>
      <c r="J2967" s="1" t="str">
        <f>IFERROR(__xludf.DUMMYFUNCTION("""COMPUTED_VALUE"""),"2022-07-04T21:38:13.904Z")</f>
        <v>2022-07-04T21:38:13.904Z</v>
      </c>
      <c r="K2967" s="1"/>
    </row>
    <row r="2968">
      <c r="A2968" s="2" t="str">
        <f>IFERROR(__xludf.DUMMYFUNCTION("""COMPUTED_VALUE"""),"https://www.facebook.com/chris.lim.946")</f>
        <v>https://www.facebook.com/chris.lim.946</v>
      </c>
      <c r="B2968" s="1" t="str">
        <f>IFERROR(__xludf.DUMMYFUNCTION("""COMPUTED_VALUE"""),"Chris Lim")</f>
        <v>Chris Lim</v>
      </c>
      <c r="C2968" s="1" t="str">
        <f>IFERROR(__xludf.DUMMYFUNCTION("""COMPUTED_VALUE"""),"Chris")</f>
        <v>Chris</v>
      </c>
      <c r="D2968" s="1" t="str">
        <f>IFERROR(__xludf.DUMMYFUNCTION("""COMPUTED_VALUE"""),"Lim")</f>
        <v>Lim</v>
      </c>
      <c r="E2968" s="1" t="str">
        <f>IFERROR(__xludf.DUMMYFUNCTION("""COMPUTED_VALUE"""),"Political turncoat since day one... kung saan may pakinabang dun sya.")</f>
        <v>Political turncoat since day one... kung saan may pakinabang dun sya.</v>
      </c>
      <c r="F2968" s="1">
        <f>IFERROR(__xludf.DUMMYFUNCTION("""COMPUTED_VALUE"""),1.0)</f>
        <v>1</v>
      </c>
      <c r="G2968" s="1" t="str">
        <f>IFERROR(__xludf.DUMMYFUNCTION("""COMPUTED_VALUE"""),"3 mos")</f>
        <v>3 mos</v>
      </c>
      <c r="H2968" s="1" t="str">
        <f>IFERROR(__xludf.DUMMYFUNCTION("""COMPUTED_VALUE"""),"comment")</f>
        <v>comment</v>
      </c>
      <c r="I2968" s="2" t="str">
        <f>IFERROR(__xludf.DUMMYFUNCTION("""COMPUTED_VALUE"""),"https://www.facebook.com/rapplerdotcom/photos/a.317154781638645/5594359700584767/")</f>
        <v>https://www.facebook.com/rapplerdotcom/photos/a.317154781638645/5594359700584767/</v>
      </c>
      <c r="J2968" s="1" t="str">
        <f>IFERROR(__xludf.DUMMYFUNCTION("""COMPUTED_VALUE"""),"2022-07-04T21:38:13.904Z")</f>
        <v>2022-07-04T21:38:13.904Z</v>
      </c>
      <c r="K2968" s="1"/>
    </row>
    <row r="2969">
      <c r="A2969" s="2" t="str">
        <f>IFERROR(__xludf.DUMMYFUNCTION("""COMPUTED_VALUE"""),"https://www.facebook.com/bong.nicdao.3")</f>
        <v>https://www.facebook.com/bong.nicdao.3</v>
      </c>
      <c r="B2969" s="1" t="str">
        <f>IFERROR(__xludf.DUMMYFUNCTION("""COMPUTED_VALUE"""),"Bong Nicdao")</f>
        <v>Bong Nicdao</v>
      </c>
      <c r="C2969" s="1" t="str">
        <f>IFERROR(__xludf.DUMMYFUNCTION("""COMPUTED_VALUE"""),"Bong")</f>
        <v>Bong</v>
      </c>
      <c r="D2969" s="1" t="str">
        <f>IFERROR(__xludf.DUMMYFUNCTION("""COMPUTED_VALUE"""),"Nicdao")</f>
        <v>Nicdao</v>
      </c>
      <c r="E2969" s="1" t="str">
        <f>IFERROR(__xludf.DUMMYFUNCTION("""COMPUTED_VALUE"""),"think he seeks vengence after du30 double crossed him ?")</f>
        <v>think he seeks vengence after du30 double crossed him ?</v>
      </c>
      <c r="F2969" s="1">
        <f>IFERROR(__xludf.DUMMYFUNCTION("""COMPUTED_VALUE"""),2.0)</f>
        <v>2</v>
      </c>
      <c r="G2969" s="1" t="str">
        <f>IFERROR(__xludf.DUMMYFUNCTION("""COMPUTED_VALUE"""),"3 mos")</f>
        <v>3 mos</v>
      </c>
      <c r="H2969" s="1" t="str">
        <f>IFERROR(__xludf.DUMMYFUNCTION("""COMPUTED_VALUE"""),"comment")</f>
        <v>comment</v>
      </c>
      <c r="I2969" s="2" t="str">
        <f>IFERROR(__xludf.DUMMYFUNCTION("""COMPUTED_VALUE"""),"https://www.facebook.com/rapplerdotcom/photos/a.317154781638645/5594359700584767/")</f>
        <v>https://www.facebook.com/rapplerdotcom/photos/a.317154781638645/5594359700584767/</v>
      </c>
      <c r="J2969" s="1" t="str">
        <f>IFERROR(__xludf.DUMMYFUNCTION("""COMPUTED_VALUE"""),"2022-07-04T21:38:13.904Z")</f>
        <v>2022-07-04T21:38:13.904Z</v>
      </c>
      <c r="K2969" s="1"/>
    </row>
    <row r="2970">
      <c r="A2970" s="2" t="str">
        <f>IFERROR(__xludf.DUMMYFUNCTION("""COMPUTED_VALUE"""),"https://www.facebook.com/dontimothy.buhain.5")</f>
        <v>https://www.facebook.com/dontimothy.buhain.5</v>
      </c>
      <c r="B2970" s="1" t="str">
        <f>IFERROR(__xludf.DUMMYFUNCTION("""COMPUTED_VALUE"""),"Don Timothy Buhain")</f>
        <v>Don Timothy Buhain</v>
      </c>
      <c r="C2970" s="1" t="str">
        <f>IFERROR(__xludf.DUMMYFUNCTION("""COMPUTED_VALUE"""),"Don")</f>
        <v>Don</v>
      </c>
      <c r="D2970" s="1" t="str">
        <f>IFERROR(__xludf.DUMMYFUNCTION("""COMPUTED_VALUE"""),"Timothy Buhain")</f>
        <v>Timothy Buhain</v>
      </c>
      <c r="E2970" s="1" t="str">
        <f>IFERROR(__xludf.DUMMYFUNCTION("""COMPUTED_VALUE"""),"In politics, there are no permanent friends or enemies sadly only permanent INTEREST (for the trapos).")</f>
        <v>In politics, there are no permanent friends or enemies sadly only permanent INTEREST (for the trapos).</v>
      </c>
      <c r="F2970" s="1">
        <f>IFERROR(__xludf.DUMMYFUNCTION("""COMPUTED_VALUE"""),12.0)</f>
        <v>12</v>
      </c>
      <c r="G2970" s="1" t="str">
        <f>IFERROR(__xludf.DUMMYFUNCTION("""COMPUTED_VALUE"""),"3 mos")</f>
        <v>3 mos</v>
      </c>
      <c r="H2970" s="1" t="str">
        <f>IFERROR(__xludf.DUMMYFUNCTION("""COMPUTED_VALUE"""),"comment")</f>
        <v>comment</v>
      </c>
      <c r="I2970" s="2" t="str">
        <f>IFERROR(__xludf.DUMMYFUNCTION("""COMPUTED_VALUE"""),"https://www.facebook.com/rapplerdotcom/photos/a.317154781638645/5594359700584767/")</f>
        <v>https://www.facebook.com/rapplerdotcom/photos/a.317154781638645/5594359700584767/</v>
      </c>
      <c r="J2970" s="1" t="str">
        <f>IFERROR(__xludf.DUMMYFUNCTION("""COMPUTED_VALUE"""),"2022-07-04T21:38:13.904Z")</f>
        <v>2022-07-04T21:38:13.904Z</v>
      </c>
      <c r="K2970" s="1"/>
    </row>
    <row r="2971">
      <c r="A2971" s="2" t="str">
        <f>IFERROR(__xludf.DUMMYFUNCTION("""COMPUTED_VALUE"""),"https://www.facebook.com/filemon.viduya.1")</f>
        <v>https://www.facebook.com/filemon.viduya.1</v>
      </c>
      <c r="B2971" s="1" t="str">
        <f>IFERROR(__xludf.DUMMYFUNCTION("""COMPUTED_VALUE"""),"Filemon Viduya")</f>
        <v>Filemon Viduya</v>
      </c>
      <c r="C2971" s="1" t="str">
        <f>IFERROR(__xludf.DUMMYFUNCTION("""COMPUTED_VALUE"""),"Filemon")</f>
        <v>Filemon</v>
      </c>
      <c r="D2971" s="1" t="str">
        <f>IFERROR(__xludf.DUMMYFUNCTION("""COMPUTED_VALUE"""),"Viduya")</f>
        <v>Viduya</v>
      </c>
      <c r="E2971" s="1" t="str">
        <f>IFERROR(__xludf.DUMMYFUNCTION("""COMPUTED_VALUE"""),"Mukha pera pera lang naman ang mamang ito. Pagkatapos ilaglag si lacson dahil hindi nakaya ang hinihinging napakalaking halaga, iyon lumipat sa ibang kandidato na maaring nakayanang ibigay ang hinihinging halaga. Kanino kaya muling makisukob kung hindi ma"&amp;"nanalo ang kanyang nilipatan. Hayyy mamang alvarez.")</f>
        <v>Mukha pera pera lang naman ang mamang ito. Pagkatapos ilaglag si lacson dahil hindi nakaya ang hinihinging napakalaking halaga, iyon lumipat sa ibang kandidato na maaring nakayanang ibigay ang hinihinging halaga. Kanino kaya muling makisukob kung hindi mananalo ang kanyang nilipatan. Hayyy mamang alvarez.</v>
      </c>
      <c r="F2971" s="1">
        <f>IFERROR(__xludf.DUMMYFUNCTION("""COMPUTED_VALUE"""),2.0)</f>
        <v>2</v>
      </c>
      <c r="G2971" s="1" t="str">
        <f>IFERROR(__xludf.DUMMYFUNCTION("""COMPUTED_VALUE"""),"3 mos")</f>
        <v>3 mos</v>
      </c>
      <c r="H2971" s="1" t="str">
        <f>IFERROR(__xludf.DUMMYFUNCTION("""COMPUTED_VALUE"""),"comment")</f>
        <v>comment</v>
      </c>
      <c r="I2971" s="2" t="str">
        <f>IFERROR(__xludf.DUMMYFUNCTION("""COMPUTED_VALUE"""),"https://www.facebook.com/rapplerdotcom/photos/a.317154781638645/5594359700584767/")</f>
        <v>https://www.facebook.com/rapplerdotcom/photos/a.317154781638645/5594359700584767/</v>
      </c>
      <c r="J2971" s="1" t="str">
        <f>IFERROR(__xludf.DUMMYFUNCTION("""COMPUTED_VALUE"""),"2022-07-04T21:38:13.904Z")</f>
        <v>2022-07-04T21:38:13.904Z</v>
      </c>
      <c r="K2971" s="1"/>
    </row>
    <row r="2972">
      <c r="A2972" s="2" t="str">
        <f>IFERROR(__xludf.DUMMYFUNCTION("""COMPUTED_VALUE"""),"https://www.facebook.com/mariatheresa.ooyama")</f>
        <v>https://www.facebook.com/mariatheresa.ooyama</v>
      </c>
      <c r="B2972" s="1" t="str">
        <f>IFERROR(__xludf.DUMMYFUNCTION("""COMPUTED_VALUE"""),"Maria Theresa Ooyama")</f>
        <v>Maria Theresa Ooyama</v>
      </c>
      <c r="C2972" s="1" t="str">
        <f>IFERROR(__xludf.DUMMYFUNCTION("""COMPUTED_VALUE"""),"Maria")</f>
        <v>Maria</v>
      </c>
      <c r="D2972" s="1" t="str">
        <f>IFERROR(__xludf.DUMMYFUNCTION("""COMPUTED_VALUE"""),"Theresa Ooyama")</f>
        <v>Theresa Ooyama</v>
      </c>
      <c r="E2972" s="1" t="str">
        <f>IFERROR(__xludf.DUMMYFUNCTION("""COMPUTED_VALUE"""),"Don’t vote this bad politician")</f>
        <v>Don’t vote this bad politician</v>
      </c>
      <c r="F2972" s="1"/>
      <c r="G2972" s="1" t="str">
        <f>IFERROR(__xludf.DUMMYFUNCTION("""COMPUTED_VALUE"""),"3 mos")</f>
        <v>3 mos</v>
      </c>
      <c r="H2972" s="1" t="str">
        <f>IFERROR(__xludf.DUMMYFUNCTION("""COMPUTED_VALUE"""),"comment")</f>
        <v>comment</v>
      </c>
      <c r="I2972" s="2" t="str">
        <f>IFERROR(__xludf.DUMMYFUNCTION("""COMPUTED_VALUE"""),"https://www.facebook.com/rapplerdotcom/photos/a.317154781638645/5594359700584767/")</f>
        <v>https://www.facebook.com/rapplerdotcom/photos/a.317154781638645/5594359700584767/</v>
      </c>
      <c r="J2972" s="1" t="str">
        <f>IFERROR(__xludf.DUMMYFUNCTION("""COMPUTED_VALUE"""),"2022-07-04T21:38:13.904Z")</f>
        <v>2022-07-04T21:38:13.904Z</v>
      </c>
      <c r="K2972" s="1"/>
    </row>
    <row r="2973">
      <c r="A2973" s="2" t="str">
        <f>IFERROR(__xludf.DUMMYFUNCTION("""COMPUTED_VALUE"""),"https://www.facebook.com/alvin.arellano.986")</f>
        <v>https://www.facebook.com/alvin.arellano.986</v>
      </c>
      <c r="B2973" s="1" t="str">
        <f>IFERROR(__xludf.DUMMYFUNCTION("""COMPUTED_VALUE"""),"Alvin Arellano")</f>
        <v>Alvin Arellano</v>
      </c>
      <c r="C2973" s="1" t="str">
        <f>IFERROR(__xludf.DUMMYFUNCTION("""COMPUTED_VALUE"""),"Alvin")</f>
        <v>Alvin</v>
      </c>
      <c r="D2973" s="1" t="str">
        <f>IFERROR(__xludf.DUMMYFUNCTION("""COMPUTED_VALUE"""),"Arellano")</f>
        <v>Arellano</v>
      </c>
      <c r="E2973" s="1" t="str">
        <f>IFERROR(__xludf.DUMMYFUNCTION("""COMPUTED_VALUE"""),"Opportunistic guy, i think b4 he was a loyal DU30 guy, till he seemed have challenge the Pres &amp; earned the wrath of Sara as such ousted as congress spkr, also was he the guy saying if your not an ally what fundin do u expect?")</f>
        <v>Opportunistic guy, i think b4 he was a loyal DU30 guy, till he seemed have challenge the Pres &amp; earned the wrath of Sara as such ousted as congress spkr, also was he the guy saying if your not an ally what fundin do u expect?</v>
      </c>
      <c r="F2973" s="1">
        <f>IFERROR(__xludf.DUMMYFUNCTION("""COMPUTED_VALUE"""),1.0)</f>
        <v>1</v>
      </c>
      <c r="G2973" s="1" t="str">
        <f>IFERROR(__xludf.DUMMYFUNCTION("""COMPUTED_VALUE"""),"3 mos")</f>
        <v>3 mos</v>
      </c>
      <c r="H2973" s="1" t="str">
        <f>IFERROR(__xludf.DUMMYFUNCTION("""COMPUTED_VALUE"""),"comment")</f>
        <v>comment</v>
      </c>
      <c r="I2973" s="2" t="str">
        <f>IFERROR(__xludf.DUMMYFUNCTION("""COMPUTED_VALUE"""),"https://www.facebook.com/rapplerdotcom/photos/a.317154781638645/5594359700584767/")</f>
        <v>https://www.facebook.com/rapplerdotcom/photos/a.317154781638645/5594359700584767/</v>
      </c>
      <c r="J2973" s="1" t="str">
        <f>IFERROR(__xludf.DUMMYFUNCTION("""COMPUTED_VALUE"""),"2022-07-04T21:38:13.904Z")</f>
        <v>2022-07-04T21:38:13.904Z</v>
      </c>
      <c r="K2973" s="1"/>
    </row>
    <row r="2974">
      <c r="A2974" s="2" t="str">
        <f>IFERROR(__xludf.DUMMYFUNCTION("""COMPUTED_VALUE"""),"https://www.facebook.com/rodulfojr.bumaat")</f>
        <v>https://www.facebook.com/rodulfojr.bumaat</v>
      </c>
      <c r="B2974" s="1" t="str">
        <f>IFERROR(__xludf.DUMMYFUNCTION("""COMPUTED_VALUE"""),"Rodulfo Jr Redulla Buma-at")</f>
        <v>Rodulfo Jr Redulla Buma-at</v>
      </c>
      <c r="C2974" s="1" t="str">
        <f>IFERROR(__xludf.DUMMYFUNCTION("""COMPUTED_VALUE"""),"Rodulfo")</f>
        <v>Rodulfo</v>
      </c>
      <c r="D2974" s="1" t="str">
        <f>IFERROR(__xludf.DUMMYFUNCTION("""COMPUTED_VALUE"""),"Jr Redulla Buma-at")</f>
        <v>Jr Redulla Buma-at</v>
      </c>
      <c r="E2974" s="1" t="str">
        <f>IFERROR(__xludf.DUMMYFUNCTION("""COMPUTED_VALUE"""),". . . . JUST BECAUSE . . . HE KNOWS WHERE THE FUNDS ARE . . . .")</f>
        <v>. . . . JUST BECAUSE . . . HE KNOWS WHERE THE FUNDS ARE . . . .</v>
      </c>
      <c r="F2974" s="1">
        <f>IFERROR(__xludf.DUMMYFUNCTION("""COMPUTED_VALUE"""),13.0)</f>
        <v>13</v>
      </c>
      <c r="G2974" s="1" t="str">
        <f>IFERROR(__xludf.DUMMYFUNCTION("""COMPUTED_VALUE"""),"3 mos")</f>
        <v>3 mos</v>
      </c>
      <c r="H2974" s="1" t="str">
        <f>IFERROR(__xludf.DUMMYFUNCTION("""COMPUTED_VALUE"""),"comment")</f>
        <v>comment</v>
      </c>
      <c r="I2974" s="2" t="str">
        <f>IFERROR(__xludf.DUMMYFUNCTION("""COMPUTED_VALUE"""),"https://www.facebook.com/rapplerdotcom/photos/a.317154781638645/5594359700584767/")</f>
        <v>https://www.facebook.com/rapplerdotcom/photos/a.317154781638645/5594359700584767/</v>
      </c>
      <c r="J2974" s="1" t="str">
        <f>IFERROR(__xludf.DUMMYFUNCTION("""COMPUTED_VALUE"""),"2022-07-04T21:38:13.904Z")</f>
        <v>2022-07-04T21:38:13.904Z</v>
      </c>
      <c r="K2974" s="1"/>
    </row>
    <row r="2975">
      <c r="A2975" s="2" t="str">
        <f>IFERROR(__xludf.DUMMYFUNCTION("""COMPUTED_VALUE"""),"https://www.facebook.com/jonathan.biwit")</f>
        <v>https://www.facebook.com/jonathan.biwit</v>
      </c>
      <c r="B2975" s="1" t="str">
        <f>IFERROR(__xludf.DUMMYFUNCTION("""COMPUTED_VALUE"""),"Jonathan D. Biwit")</f>
        <v>Jonathan D. Biwit</v>
      </c>
      <c r="C2975" s="1" t="str">
        <f>IFERROR(__xludf.DUMMYFUNCTION("""COMPUTED_VALUE"""),"Jonathan")</f>
        <v>Jonathan</v>
      </c>
      <c r="D2975" s="1" t="str">
        <f>IFERROR(__xludf.DUMMYFUNCTION("""COMPUTED_VALUE"""),"D. Biwit")</f>
        <v>D. Biwit</v>
      </c>
      <c r="E2975" s="1" t="str">
        <f>IFERROR(__xludf.DUMMYFUNCTION("""COMPUTED_VALUE"""),"Dark clouds looming for the political grasshopper! After May 9, where will he go from here?")</f>
        <v>Dark clouds looming for the political grasshopper! After May 9, where will he go from here?</v>
      </c>
      <c r="F2975" s="1">
        <f>IFERROR(__xludf.DUMMYFUNCTION("""COMPUTED_VALUE"""),5.0)</f>
        <v>5</v>
      </c>
      <c r="G2975" s="1" t="str">
        <f>IFERROR(__xludf.DUMMYFUNCTION("""COMPUTED_VALUE"""),"3 mos")</f>
        <v>3 mos</v>
      </c>
      <c r="H2975" s="1" t="str">
        <f>IFERROR(__xludf.DUMMYFUNCTION("""COMPUTED_VALUE"""),"comment")</f>
        <v>comment</v>
      </c>
      <c r="I2975" s="2" t="str">
        <f>IFERROR(__xludf.DUMMYFUNCTION("""COMPUTED_VALUE"""),"https://www.facebook.com/rapplerdotcom/photos/a.317154781638645/5594359700584767/")</f>
        <v>https://www.facebook.com/rapplerdotcom/photos/a.317154781638645/5594359700584767/</v>
      </c>
      <c r="J2975" s="1" t="str">
        <f>IFERROR(__xludf.DUMMYFUNCTION("""COMPUTED_VALUE"""),"2022-07-04T21:38:13.904Z")</f>
        <v>2022-07-04T21:38:13.904Z</v>
      </c>
      <c r="K2975" s="1"/>
    </row>
    <row r="2976">
      <c r="A2976" s="2" t="str">
        <f>IFERROR(__xludf.DUMMYFUNCTION("""COMPUTED_VALUE"""),"https://www.facebook.com/lut.aver.3")</f>
        <v>https://www.facebook.com/lut.aver.3</v>
      </c>
      <c r="B2976" s="1" t="str">
        <f>IFERROR(__xludf.DUMMYFUNCTION("""COMPUTED_VALUE"""),"Lut Aver")</f>
        <v>Lut Aver</v>
      </c>
      <c r="C2976" s="1" t="str">
        <f>IFERROR(__xludf.DUMMYFUNCTION("""COMPUTED_VALUE"""),"Lut")</f>
        <v>Lut</v>
      </c>
      <c r="D2976" s="1" t="str">
        <f>IFERROR(__xludf.DUMMYFUNCTION("""COMPUTED_VALUE"""),"Aver")</f>
        <v>Aver</v>
      </c>
      <c r="E2976" s="1" t="str">
        <f>IFERROR(__xludf.DUMMYFUNCTION("""COMPUTED_VALUE"""),"siya. ang tunay na. balimbing.  insecure")</f>
        <v>siya. ang tunay na. balimbing.  insecure</v>
      </c>
      <c r="F2976" s="1"/>
      <c r="G2976" s="1" t="str">
        <f>IFERROR(__xludf.DUMMYFUNCTION("""COMPUTED_VALUE"""),"3 mos")</f>
        <v>3 mos</v>
      </c>
      <c r="H2976" s="1" t="str">
        <f>IFERROR(__xludf.DUMMYFUNCTION("""COMPUTED_VALUE"""),"comment")</f>
        <v>comment</v>
      </c>
      <c r="I2976" s="2" t="str">
        <f>IFERROR(__xludf.DUMMYFUNCTION("""COMPUTED_VALUE"""),"https://www.facebook.com/rapplerdotcom/photos/a.317154781638645/5594359700584767/")</f>
        <v>https://www.facebook.com/rapplerdotcom/photos/a.317154781638645/5594359700584767/</v>
      </c>
      <c r="J2976" s="1" t="str">
        <f>IFERROR(__xludf.DUMMYFUNCTION("""COMPUTED_VALUE"""),"2022-07-04T21:38:13.904Z")</f>
        <v>2022-07-04T21:38:13.904Z</v>
      </c>
      <c r="K2976" s="1"/>
    </row>
    <row r="2977">
      <c r="A2977" s="2" t="str">
        <f>IFERROR(__xludf.DUMMYFUNCTION("""COMPUTED_VALUE"""),"https://www.facebook.com/profile.php?id=100002846509290")</f>
        <v>https://www.facebook.com/profile.php?id=100002846509290</v>
      </c>
      <c r="B2977" s="1" t="str">
        <f>IFERROR(__xludf.DUMMYFUNCTION("""COMPUTED_VALUE"""),"Teng Vic Kabisote")</f>
        <v>Teng Vic Kabisote</v>
      </c>
      <c r="C2977" s="1" t="str">
        <f>IFERROR(__xludf.DUMMYFUNCTION("""COMPUTED_VALUE"""),"Teng")</f>
        <v>Teng</v>
      </c>
      <c r="D2977" s="1" t="str">
        <f>IFERROR(__xludf.DUMMYFUNCTION("""COMPUTED_VALUE"""),"Vic Kabisote")</f>
        <v>Vic Kabisote</v>
      </c>
      <c r="E2977" s="1" t="str">
        <f>IFERROR(__xludf.DUMMYFUNCTION("""COMPUTED_VALUE"""),"Nako napakagaling nyan ni alvarez, paki fact check ung supposedly na daanan para sa brgy ikinonek at road end sa mansion nya.  Napakagaling sa kaban ng bayan kinuha ang pagpapagawa ng daan n iyon.. tapos ang laki.2 pa ng pondo.. ewwww.  ✌️😁")</f>
        <v>Nako napakagaling nyan ni alvarez, paki fact check ung supposedly na daanan para sa brgy ikinonek at road end sa mansion nya.  Napakagaling sa kaban ng bayan kinuha ang pagpapagawa ng daan n iyon.. tapos ang laki.2 pa ng pondo.. ewwww.  ✌️😁</v>
      </c>
      <c r="F2977" s="1">
        <f>IFERROR(__xludf.DUMMYFUNCTION("""COMPUTED_VALUE"""),3.0)</f>
        <v>3</v>
      </c>
      <c r="G2977" s="1" t="str">
        <f>IFERROR(__xludf.DUMMYFUNCTION("""COMPUTED_VALUE"""),"3 mos")</f>
        <v>3 mos</v>
      </c>
      <c r="H2977" s="1" t="str">
        <f>IFERROR(__xludf.DUMMYFUNCTION("""COMPUTED_VALUE"""),"comment")</f>
        <v>comment</v>
      </c>
      <c r="I2977" s="2" t="str">
        <f>IFERROR(__xludf.DUMMYFUNCTION("""COMPUTED_VALUE"""),"https://www.facebook.com/rapplerdotcom/photos/a.317154781638645/5594359700584767/")</f>
        <v>https://www.facebook.com/rapplerdotcom/photos/a.317154781638645/5594359700584767/</v>
      </c>
      <c r="J2977" s="1" t="str">
        <f>IFERROR(__xludf.DUMMYFUNCTION("""COMPUTED_VALUE"""),"2022-07-04T21:38:13.904Z")</f>
        <v>2022-07-04T21:38:13.904Z</v>
      </c>
      <c r="K2977" s="1"/>
    </row>
    <row r="2978">
      <c r="A2978" s="2" t="str">
        <f>IFERROR(__xludf.DUMMYFUNCTION("""COMPUTED_VALUE"""),"https://www.facebook.com/profile.php?id=100069246870332")</f>
        <v>https://www.facebook.com/profile.php?id=100069246870332</v>
      </c>
      <c r="B2978" s="1" t="str">
        <f>IFERROR(__xludf.DUMMYFUNCTION("""COMPUTED_VALUE"""),"Tata Abadiez")</f>
        <v>Tata Abadiez</v>
      </c>
      <c r="C2978" s="1" t="str">
        <f>IFERROR(__xludf.DUMMYFUNCTION("""COMPUTED_VALUE"""),"Tata")</f>
        <v>Tata</v>
      </c>
      <c r="D2978" s="1" t="str">
        <f>IFERROR(__xludf.DUMMYFUNCTION("""COMPUTED_VALUE"""),"Abadiez")</f>
        <v>Abadiez</v>
      </c>
      <c r="E2978" s="1" t="str">
        <f>IFERROR(__xludf.DUMMYFUNCTION("""COMPUTED_VALUE"""),"Teng Vic Kabisote tompak!!")</f>
        <v>Teng Vic Kabisote tompak!!</v>
      </c>
      <c r="F2978" s="1">
        <f>IFERROR(__xludf.DUMMYFUNCTION("""COMPUTED_VALUE"""),1.0)</f>
        <v>1</v>
      </c>
      <c r="G2978" s="1" t="str">
        <f>IFERROR(__xludf.DUMMYFUNCTION("""COMPUTED_VALUE"""),"3 mos")</f>
        <v>3 mos</v>
      </c>
      <c r="H2978" s="1" t="str">
        <f>IFERROR(__xludf.DUMMYFUNCTION("""COMPUTED_VALUE"""),"reply")</f>
        <v>reply</v>
      </c>
      <c r="I2978" s="2" t="str">
        <f>IFERROR(__xludf.DUMMYFUNCTION("""COMPUTED_VALUE"""),"https://www.facebook.com/rapplerdotcom/photos/a.317154781638645/5594359700584767/")</f>
        <v>https://www.facebook.com/rapplerdotcom/photos/a.317154781638645/5594359700584767/</v>
      </c>
      <c r="J2978" s="1" t="str">
        <f>IFERROR(__xludf.DUMMYFUNCTION("""COMPUTED_VALUE"""),"2022-07-04T21:38:13.904Z")</f>
        <v>2022-07-04T21:38:13.904Z</v>
      </c>
      <c r="K2978" s="1"/>
    </row>
    <row r="2979">
      <c r="A2979" s="2" t="str">
        <f>IFERROR(__xludf.DUMMYFUNCTION("""COMPUTED_VALUE"""),"https://www.facebook.com/fgancheta")</f>
        <v>https://www.facebook.com/fgancheta</v>
      </c>
      <c r="B2979" s="1" t="str">
        <f>IFERROR(__xludf.DUMMYFUNCTION("""COMPUTED_VALUE"""),"Frederick Ancheta")</f>
        <v>Frederick Ancheta</v>
      </c>
      <c r="C2979" s="1" t="str">
        <f>IFERROR(__xludf.DUMMYFUNCTION("""COMPUTED_VALUE"""),"Frederick")</f>
        <v>Frederick</v>
      </c>
      <c r="D2979" s="1" t="str">
        <f>IFERROR(__xludf.DUMMYFUNCTION("""COMPUTED_VALUE"""),"Ancheta")</f>
        <v>Ancheta</v>
      </c>
      <c r="E2979" s="1" t="str">
        <f>IFERROR(__xludf.DUMMYFUNCTION("""COMPUTED_VALUE"""),"You cannot trust this guy!")</f>
        <v>You cannot trust this guy!</v>
      </c>
      <c r="F2979" s="1">
        <f>IFERROR(__xludf.DUMMYFUNCTION("""COMPUTED_VALUE"""),9.0)</f>
        <v>9</v>
      </c>
      <c r="G2979" s="1" t="str">
        <f>IFERROR(__xludf.DUMMYFUNCTION("""COMPUTED_VALUE"""),"3 mos")</f>
        <v>3 mos</v>
      </c>
      <c r="H2979" s="1" t="str">
        <f>IFERROR(__xludf.DUMMYFUNCTION("""COMPUTED_VALUE"""),"comment")</f>
        <v>comment</v>
      </c>
      <c r="I2979" s="2" t="str">
        <f>IFERROR(__xludf.DUMMYFUNCTION("""COMPUTED_VALUE"""),"https://www.facebook.com/rapplerdotcom/photos/a.317154781638645/5594359700584767/")</f>
        <v>https://www.facebook.com/rapplerdotcom/photos/a.317154781638645/5594359700584767/</v>
      </c>
      <c r="J2979" s="1" t="str">
        <f>IFERROR(__xludf.DUMMYFUNCTION("""COMPUTED_VALUE"""),"2022-07-04T21:38:13.904Z")</f>
        <v>2022-07-04T21:38:13.904Z</v>
      </c>
      <c r="K2979" s="1"/>
    </row>
    <row r="2980">
      <c r="A2980" s="2" t="str">
        <f>IFERROR(__xludf.DUMMYFUNCTION("""COMPUTED_VALUE"""),"https://www.facebook.com/onie.abon.98")</f>
        <v>https://www.facebook.com/onie.abon.98</v>
      </c>
      <c r="B2980" s="1" t="str">
        <f>IFERROR(__xludf.DUMMYFUNCTION("""COMPUTED_VALUE"""),"Onie Abon")</f>
        <v>Onie Abon</v>
      </c>
      <c r="C2980" s="1" t="str">
        <f>IFERROR(__xludf.DUMMYFUNCTION("""COMPUTED_VALUE"""),"Onie")</f>
        <v>Onie</v>
      </c>
      <c r="D2980" s="1" t="str">
        <f>IFERROR(__xludf.DUMMYFUNCTION("""COMPUTED_VALUE"""),"Abon")</f>
        <v>Abon</v>
      </c>
      <c r="E2980" s="1" t="str">
        <f>IFERROR(__xludf.DUMMYFUNCTION("""COMPUTED_VALUE"""),"AKMANG AKMA UNG NAME N PANTALEON . .Lion n dapat sna ay naktira s gubat")</f>
        <v>AKMANG AKMA UNG NAME N PANTALEON . .Lion n dapat sna ay naktira s gubat</v>
      </c>
      <c r="F2980" s="1">
        <f>IFERROR(__xludf.DUMMYFUNCTION("""COMPUTED_VALUE"""),7.0)</f>
        <v>7</v>
      </c>
      <c r="G2980" s="1" t="str">
        <f>IFERROR(__xludf.DUMMYFUNCTION("""COMPUTED_VALUE"""),"3 mos")</f>
        <v>3 mos</v>
      </c>
      <c r="H2980" s="1" t="str">
        <f>IFERROR(__xludf.DUMMYFUNCTION("""COMPUTED_VALUE"""),"comment")</f>
        <v>comment</v>
      </c>
      <c r="I2980" s="2" t="str">
        <f>IFERROR(__xludf.DUMMYFUNCTION("""COMPUTED_VALUE"""),"https://www.facebook.com/rapplerdotcom/photos/a.317154781638645/5594359700584767/")</f>
        <v>https://www.facebook.com/rapplerdotcom/photos/a.317154781638645/5594359700584767/</v>
      </c>
      <c r="J2980" s="1" t="str">
        <f>IFERROR(__xludf.DUMMYFUNCTION("""COMPUTED_VALUE"""),"2022-07-04T21:38:13.904Z")</f>
        <v>2022-07-04T21:38:13.904Z</v>
      </c>
      <c r="K2980" s="1"/>
    </row>
    <row r="2981">
      <c r="A2981" s="2" t="str">
        <f>IFERROR(__xludf.DUMMYFUNCTION("""COMPUTED_VALUE"""),"https://www.facebook.com/allan.escalona.12")</f>
        <v>https://www.facebook.com/allan.escalona.12</v>
      </c>
      <c r="B2981" s="1" t="str">
        <f>IFERROR(__xludf.DUMMYFUNCTION("""COMPUTED_VALUE"""),"Jarheads Escalona")</f>
        <v>Jarheads Escalona</v>
      </c>
      <c r="C2981" s="1" t="str">
        <f>IFERROR(__xludf.DUMMYFUNCTION("""COMPUTED_VALUE"""),"Jarheads")</f>
        <v>Jarheads</v>
      </c>
      <c r="D2981" s="1" t="str">
        <f>IFERROR(__xludf.DUMMYFUNCTION("""COMPUTED_VALUE"""),"Escalona")</f>
        <v>Escalona</v>
      </c>
      <c r="E2981" s="1" t="str">
        <f>IFERROR(__xludf.DUMMYFUNCTION("""COMPUTED_VALUE"""),"Alvarez ang taong walang paninindigan sa pula sa puti walang prinsipyo")</f>
        <v>Alvarez ang taong walang paninindigan sa pula sa puti walang prinsipyo</v>
      </c>
      <c r="F2981" s="1">
        <f>IFERROR(__xludf.DUMMYFUNCTION("""COMPUTED_VALUE"""),1.0)</f>
        <v>1</v>
      </c>
      <c r="G2981" s="1" t="str">
        <f>IFERROR(__xludf.DUMMYFUNCTION("""COMPUTED_VALUE"""),"3 mos")</f>
        <v>3 mos</v>
      </c>
      <c r="H2981" s="1" t="str">
        <f>IFERROR(__xludf.DUMMYFUNCTION("""COMPUTED_VALUE"""),"comment")</f>
        <v>comment</v>
      </c>
      <c r="I2981" s="2" t="str">
        <f>IFERROR(__xludf.DUMMYFUNCTION("""COMPUTED_VALUE"""),"https://www.facebook.com/rapplerdotcom/photos/a.317154781638645/5594359700584767/")</f>
        <v>https://www.facebook.com/rapplerdotcom/photos/a.317154781638645/5594359700584767/</v>
      </c>
      <c r="J2981" s="1" t="str">
        <f>IFERROR(__xludf.DUMMYFUNCTION("""COMPUTED_VALUE"""),"2022-07-04T21:38:13.904Z")</f>
        <v>2022-07-04T21:38:13.904Z</v>
      </c>
      <c r="K2981" s="1"/>
    </row>
    <row r="2982">
      <c r="A2982" s="2" t="str">
        <f>IFERROR(__xludf.DUMMYFUNCTION("""COMPUTED_VALUE"""),"https://www.facebook.com/profile.php?id=100008274437577")</f>
        <v>https://www.facebook.com/profile.php?id=100008274437577</v>
      </c>
      <c r="B2982" s="1" t="str">
        <f>IFERROR(__xludf.DUMMYFUNCTION("""COMPUTED_VALUE"""),"Merly Kato")</f>
        <v>Merly Kato</v>
      </c>
      <c r="C2982" s="1" t="str">
        <f>IFERROR(__xludf.DUMMYFUNCTION("""COMPUTED_VALUE"""),"Merly")</f>
        <v>Merly</v>
      </c>
      <c r="D2982" s="1" t="str">
        <f>IFERROR(__xludf.DUMMYFUNCTION("""COMPUTED_VALUE"""),"Kato")</f>
        <v>Kato</v>
      </c>
      <c r="E2982" s="1" t="str">
        <f>IFERROR(__xludf.DUMMYFUNCTION("""COMPUTED_VALUE"""),"Mag BALINGBINGAN TAYO")</f>
        <v>Mag BALINGBINGAN TAYO</v>
      </c>
      <c r="F2982" s="1">
        <f>IFERROR(__xludf.DUMMYFUNCTION("""COMPUTED_VALUE"""),1.0)</f>
        <v>1</v>
      </c>
      <c r="G2982" s="1" t="str">
        <f>IFERROR(__xludf.DUMMYFUNCTION("""COMPUTED_VALUE"""),"3 mos")</f>
        <v>3 mos</v>
      </c>
      <c r="H2982" s="1" t="str">
        <f>IFERROR(__xludf.DUMMYFUNCTION("""COMPUTED_VALUE"""),"comment")</f>
        <v>comment</v>
      </c>
      <c r="I2982" s="2" t="str">
        <f>IFERROR(__xludf.DUMMYFUNCTION("""COMPUTED_VALUE"""),"https://www.facebook.com/rapplerdotcom/photos/a.317154781638645/5594359700584767/")</f>
        <v>https://www.facebook.com/rapplerdotcom/photos/a.317154781638645/5594359700584767/</v>
      </c>
      <c r="J2982" s="1" t="str">
        <f>IFERROR(__xludf.DUMMYFUNCTION("""COMPUTED_VALUE"""),"2022-07-04T21:38:13.904Z")</f>
        <v>2022-07-04T21:38:13.904Z</v>
      </c>
      <c r="K2982" s="1"/>
    </row>
    <row r="2983">
      <c r="A2983" s="2" t="str">
        <f>IFERROR(__xludf.DUMMYFUNCTION("""COMPUTED_VALUE"""),"https://www.facebook.com/manuel.cero.750")</f>
        <v>https://www.facebook.com/manuel.cero.750</v>
      </c>
      <c r="B2983" s="1" t="str">
        <f>IFERROR(__xludf.DUMMYFUNCTION("""COMPUTED_VALUE"""),"Manuel Cero")</f>
        <v>Manuel Cero</v>
      </c>
      <c r="C2983" s="1" t="str">
        <f>IFERROR(__xludf.DUMMYFUNCTION("""COMPUTED_VALUE"""),"Manuel")</f>
        <v>Manuel</v>
      </c>
      <c r="D2983" s="1" t="str">
        <f>IFERROR(__xludf.DUMMYFUNCTION("""COMPUTED_VALUE"""),"Cero")</f>
        <v>Cero</v>
      </c>
      <c r="E2983" s="1" t="str">
        <f>IFERROR(__xludf.DUMMYFUNCTION("""COMPUTED_VALUE"""),"Kong kina kylangan hukayin sa libengan para maramdaman nila ganano kasakit ginawa nila taong bayan Ang pilipinas noon")</f>
        <v>Kong kina kylangan hukayin sa libengan para maramdaman nila ganano kasakit ginawa nila taong bayan Ang pilipinas noon</v>
      </c>
      <c r="F2983" s="1"/>
      <c r="G2983" s="1" t="str">
        <f>IFERROR(__xludf.DUMMYFUNCTION("""COMPUTED_VALUE"""),"3 mos")</f>
        <v>3 mos</v>
      </c>
      <c r="H2983" s="1" t="str">
        <f>IFERROR(__xludf.DUMMYFUNCTION("""COMPUTED_VALUE"""),"comment")</f>
        <v>comment</v>
      </c>
      <c r="I2983" s="2" t="str">
        <f>IFERROR(__xludf.DUMMYFUNCTION("""COMPUTED_VALUE"""),"https://www.facebook.com/rapplerdotcom/photos/a.317154781638645/5594359700584767/")</f>
        <v>https://www.facebook.com/rapplerdotcom/photos/a.317154781638645/5594359700584767/</v>
      </c>
      <c r="J2983" s="1" t="str">
        <f>IFERROR(__xludf.DUMMYFUNCTION("""COMPUTED_VALUE"""),"2022-07-04T21:38:13.904Z")</f>
        <v>2022-07-04T21:38:13.904Z</v>
      </c>
      <c r="K2983" s="1"/>
    </row>
    <row r="2984">
      <c r="A2984" s="2" t="str">
        <f>IFERROR(__xludf.DUMMYFUNCTION("""COMPUTED_VALUE"""),"https://www.facebook.com/profile.php?id=100075205566420")</f>
        <v>https://www.facebook.com/profile.php?id=100075205566420</v>
      </c>
      <c r="B2984" s="1" t="str">
        <f>IFERROR(__xludf.DUMMYFUNCTION("""COMPUTED_VALUE"""),"Ram Rag")</f>
        <v>Ram Rag</v>
      </c>
      <c r="C2984" s="1" t="str">
        <f>IFERROR(__xludf.DUMMYFUNCTION("""COMPUTED_VALUE"""),"Ram")</f>
        <v>Ram</v>
      </c>
      <c r="D2984" s="1" t="str">
        <f>IFERROR(__xludf.DUMMYFUNCTION("""COMPUTED_VALUE"""),"Rag")</f>
        <v>Rag</v>
      </c>
      <c r="E2984" s="1" t="str">
        <f>IFERROR(__xludf.DUMMYFUNCTION("""COMPUTED_VALUE"""),"Alvarez is a confused man. Don't know where he would stand. A very dangerous ally.")</f>
        <v>Alvarez is a confused man. Don't know where he would stand. A very dangerous ally.</v>
      </c>
      <c r="F2984" s="1"/>
      <c r="G2984" s="1" t="str">
        <f>IFERROR(__xludf.DUMMYFUNCTION("""COMPUTED_VALUE"""),"3 mos")</f>
        <v>3 mos</v>
      </c>
      <c r="H2984" s="1" t="str">
        <f>IFERROR(__xludf.DUMMYFUNCTION("""COMPUTED_VALUE"""),"comment")</f>
        <v>comment</v>
      </c>
      <c r="I2984" s="2" t="str">
        <f>IFERROR(__xludf.DUMMYFUNCTION("""COMPUTED_VALUE"""),"https://www.facebook.com/rapplerdotcom/photos/a.317154781638645/5594359700584767/")</f>
        <v>https://www.facebook.com/rapplerdotcom/photos/a.317154781638645/5594359700584767/</v>
      </c>
      <c r="J2984" s="1" t="str">
        <f>IFERROR(__xludf.DUMMYFUNCTION("""COMPUTED_VALUE"""),"2022-07-04T21:38:13.904Z")</f>
        <v>2022-07-04T21:38:13.904Z</v>
      </c>
      <c r="K2984" s="1"/>
    </row>
    <row r="2985">
      <c r="A2985" s="2" t="str">
        <f>IFERROR(__xludf.DUMMYFUNCTION("""COMPUTED_VALUE"""),"https://www.facebook.com/udtohansamuel")</f>
        <v>https://www.facebook.com/udtohansamuel</v>
      </c>
      <c r="B2985" s="1" t="str">
        <f>IFERROR(__xludf.DUMMYFUNCTION("""COMPUTED_VALUE"""),"Samuel Udtohan")</f>
        <v>Samuel Udtohan</v>
      </c>
      <c r="C2985" s="1" t="str">
        <f>IFERROR(__xludf.DUMMYFUNCTION("""COMPUTED_VALUE"""),"Samuel")</f>
        <v>Samuel</v>
      </c>
      <c r="D2985" s="1" t="str">
        <f>IFERROR(__xludf.DUMMYFUNCTION("""COMPUTED_VALUE"""),"Udtohan")</f>
        <v>Udtohan</v>
      </c>
      <c r="E2985" s="1" t="str">
        <f>IFERROR(__xludf.DUMMYFUNCTION("""COMPUTED_VALUE"""),"Fighting for the private road project going to your farmland using million from public funds!")</f>
        <v>Fighting for the private road project going to your farmland using million from public funds!</v>
      </c>
      <c r="F2985" s="1"/>
      <c r="G2985" s="1" t="str">
        <f>IFERROR(__xludf.DUMMYFUNCTION("""COMPUTED_VALUE"""),"3 mos")</f>
        <v>3 mos</v>
      </c>
      <c r="H2985" s="1" t="str">
        <f>IFERROR(__xludf.DUMMYFUNCTION("""COMPUTED_VALUE"""),"comment")</f>
        <v>comment</v>
      </c>
      <c r="I2985" s="2" t="str">
        <f>IFERROR(__xludf.DUMMYFUNCTION("""COMPUTED_VALUE"""),"https://www.facebook.com/rapplerdotcom/photos/a.317154781638645/5594359700584767/")</f>
        <v>https://www.facebook.com/rapplerdotcom/photos/a.317154781638645/5594359700584767/</v>
      </c>
      <c r="J2985" s="1" t="str">
        <f>IFERROR(__xludf.DUMMYFUNCTION("""COMPUTED_VALUE"""),"2022-07-04T21:38:13.904Z")</f>
        <v>2022-07-04T21:38:13.904Z</v>
      </c>
      <c r="K2985" s="1"/>
    </row>
    <row r="2986">
      <c r="A2986" s="2" t="str">
        <f>IFERROR(__xludf.DUMMYFUNCTION("""COMPUTED_VALUE"""),"https://www.facebook.com/regie.basa.39")</f>
        <v>https://www.facebook.com/regie.basa.39</v>
      </c>
      <c r="B2986" s="1" t="str">
        <f>IFERROR(__xludf.DUMMYFUNCTION("""COMPUTED_VALUE"""),"Ibrahim Regie Basa")</f>
        <v>Ibrahim Regie Basa</v>
      </c>
      <c r="C2986" s="1" t="str">
        <f>IFERROR(__xludf.DUMMYFUNCTION("""COMPUTED_VALUE"""),"Ibrahim")</f>
        <v>Ibrahim</v>
      </c>
      <c r="D2986" s="1" t="str">
        <f>IFERROR(__xludf.DUMMYFUNCTION("""COMPUTED_VALUE"""),"Regie Basa")</f>
        <v>Regie Basa</v>
      </c>
      <c r="E2986" s="1" t="str">
        <f>IFERROR(__xludf.DUMMYFUNCTION("""COMPUTED_VALUE"""),"We call it politics Balimbing")</f>
        <v>We call it politics Balimbing</v>
      </c>
      <c r="F2986" s="1">
        <f>IFERROR(__xludf.DUMMYFUNCTION("""COMPUTED_VALUE"""),2.0)</f>
        <v>2</v>
      </c>
      <c r="G2986" s="1" t="str">
        <f>IFERROR(__xludf.DUMMYFUNCTION("""COMPUTED_VALUE"""),"3 mos")</f>
        <v>3 mos</v>
      </c>
      <c r="H2986" s="1" t="str">
        <f>IFERROR(__xludf.DUMMYFUNCTION("""COMPUTED_VALUE"""),"comment")</f>
        <v>comment</v>
      </c>
      <c r="I2986" s="2" t="str">
        <f>IFERROR(__xludf.DUMMYFUNCTION("""COMPUTED_VALUE"""),"https://www.facebook.com/rapplerdotcom/photos/a.317154781638645/5594359700584767/")</f>
        <v>https://www.facebook.com/rapplerdotcom/photos/a.317154781638645/5594359700584767/</v>
      </c>
      <c r="J2986" s="1" t="str">
        <f>IFERROR(__xludf.DUMMYFUNCTION("""COMPUTED_VALUE"""),"2022-07-04T21:38:13.904Z")</f>
        <v>2022-07-04T21:38:13.904Z</v>
      </c>
      <c r="K2986" s="1"/>
    </row>
    <row r="2987">
      <c r="A2987" s="2" t="str">
        <f>IFERROR(__xludf.DUMMYFUNCTION("""COMPUTED_VALUE"""),"https://www.facebook.com/mackoy.palang.7")</f>
        <v>https://www.facebook.com/mackoy.palang.7</v>
      </c>
      <c r="B2987" s="1" t="str">
        <f>IFERROR(__xludf.DUMMYFUNCTION("""COMPUTED_VALUE"""),"Mackoy Palang")</f>
        <v>Mackoy Palang</v>
      </c>
      <c r="C2987" s="1" t="str">
        <f>IFERROR(__xludf.DUMMYFUNCTION("""COMPUTED_VALUE"""),"Mackoy")</f>
        <v>Mackoy</v>
      </c>
      <c r="D2987" s="1" t="str">
        <f>IFERROR(__xludf.DUMMYFUNCTION("""COMPUTED_VALUE"""),"Palang")</f>
        <v>Palang</v>
      </c>
      <c r="E2987" s="1" t="str">
        <f>IFERROR(__xludf.DUMMYFUNCTION("""COMPUTED_VALUE"""),"Paglinta kakapit pag makaka SIPSIP ngayong patapos na bitaw na uli hnap uli ng masisipsip. 🤣🤣🤣")</f>
        <v>Paglinta kakapit pag makaka SIPSIP ngayong patapos na bitaw na uli hnap uli ng masisipsip. 🤣🤣🤣</v>
      </c>
      <c r="F2987" s="1"/>
      <c r="G2987" s="1" t="str">
        <f>IFERROR(__xludf.DUMMYFUNCTION("""COMPUTED_VALUE"""),"3 mos")</f>
        <v>3 mos</v>
      </c>
      <c r="H2987" s="1" t="str">
        <f>IFERROR(__xludf.DUMMYFUNCTION("""COMPUTED_VALUE"""),"comment")</f>
        <v>comment</v>
      </c>
      <c r="I2987" s="2" t="str">
        <f>IFERROR(__xludf.DUMMYFUNCTION("""COMPUTED_VALUE"""),"https://www.facebook.com/rapplerdotcom/photos/a.317154781638645/5594359700584767/")</f>
        <v>https://www.facebook.com/rapplerdotcom/photos/a.317154781638645/5594359700584767/</v>
      </c>
      <c r="J2987" s="1" t="str">
        <f>IFERROR(__xludf.DUMMYFUNCTION("""COMPUTED_VALUE"""),"2022-07-04T21:38:13.904Z")</f>
        <v>2022-07-04T21:38:13.904Z</v>
      </c>
      <c r="K2987" s="1"/>
    </row>
    <row r="2988">
      <c r="A2988" s="2" t="str">
        <f>IFERROR(__xludf.DUMMYFUNCTION("""COMPUTED_VALUE"""),"https://www.facebook.com/kobejacky.leoning.90")</f>
        <v>https://www.facebook.com/kobejacky.leoning.90</v>
      </c>
      <c r="B2988" s="1" t="str">
        <f>IFERROR(__xludf.DUMMYFUNCTION("""COMPUTED_VALUE"""),"Kobe Jacky Leoning")</f>
        <v>Kobe Jacky Leoning</v>
      </c>
      <c r="C2988" s="1" t="str">
        <f>IFERROR(__xludf.DUMMYFUNCTION("""COMPUTED_VALUE"""),"Kobe")</f>
        <v>Kobe</v>
      </c>
      <c r="D2988" s="1" t="str">
        <f>IFERROR(__xludf.DUMMYFUNCTION("""COMPUTED_VALUE"""),"Jacky Leoning")</f>
        <v>Jacky Leoning</v>
      </c>
      <c r="E2988" s="1" t="str">
        <f>IFERROR(__xludf.DUMMYFUNCTION("""COMPUTED_VALUE"""),"Akala mo naman maraming hatak c alvarez. Gising na mga tao sa mga kapalpakan nyo.. kahit anong gawin nyo ayaw na ng tao sa inyo")</f>
        <v>Akala mo naman maraming hatak c alvarez. Gising na mga tao sa mga kapalpakan nyo.. kahit anong gawin nyo ayaw na ng tao sa inyo</v>
      </c>
      <c r="F2988" s="1">
        <f>IFERROR(__xludf.DUMMYFUNCTION("""COMPUTED_VALUE"""),1.0)</f>
        <v>1</v>
      </c>
      <c r="G2988" s="1" t="str">
        <f>IFERROR(__xludf.DUMMYFUNCTION("""COMPUTED_VALUE"""),"3 mos")</f>
        <v>3 mos</v>
      </c>
      <c r="H2988" s="1" t="str">
        <f>IFERROR(__xludf.DUMMYFUNCTION("""COMPUTED_VALUE"""),"comment")</f>
        <v>comment</v>
      </c>
      <c r="I2988" s="2" t="str">
        <f>IFERROR(__xludf.DUMMYFUNCTION("""COMPUTED_VALUE"""),"https://www.facebook.com/rapplerdotcom/photos/a.317154781638645/5594359700584767/")</f>
        <v>https://www.facebook.com/rapplerdotcom/photos/a.317154781638645/5594359700584767/</v>
      </c>
      <c r="J2988" s="1" t="str">
        <f>IFERROR(__xludf.DUMMYFUNCTION("""COMPUTED_VALUE"""),"2022-07-04T21:38:13.904Z")</f>
        <v>2022-07-04T21:38:13.904Z</v>
      </c>
      <c r="K2988" s="1"/>
    </row>
    <row r="2989">
      <c r="A2989" s="2" t="str">
        <f>IFERROR(__xludf.DUMMYFUNCTION("""COMPUTED_VALUE"""),"https://www.facebook.com/efren.moral.10")</f>
        <v>https://www.facebook.com/efren.moral.10</v>
      </c>
      <c r="B2989" s="1" t="str">
        <f>IFERROR(__xludf.DUMMYFUNCTION("""COMPUTED_VALUE"""),"Efren Moral")</f>
        <v>Efren Moral</v>
      </c>
      <c r="C2989" s="1" t="str">
        <f>IFERROR(__xludf.DUMMYFUNCTION("""COMPUTED_VALUE"""),"Efren")</f>
        <v>Efren</v>
      </c>
      <c r="D2989" s="1" t="str">
        <f>IFERROR(__xludf.DUMMYFUNCTION("""COMPUTED_VALUE"""),"Moral")</f>
        <v>Moral</v>
      </c>
      <c r="E2989" s="1" t="str">
        <f>IFERROR(__xludf.DUMMYFUNCTION("""COMPUTED_VALUE"""),"GANYAN ANG PULITIKO KUNG SAAN MAGKK PERA DOON SILA ALVAREZ BALIMBING YAN")</f>
        <v>GANYAN ANG PULITIKO KUNG SAAN MAGKK PERA DOON SILA ALVAREZ BALIMBING YAN</v>
      </c>
      <c r="F2989" s="1"/>
      <c r="G2989" s="1" t="str">
        <f>IFERROR(__xludf.DUMMYFUNCTION("""COMPUTED_VALUE"""),"3 mos")</f>
        <v>3 mos</v>
      </c>
      <c r="H2989" s="1" t="str">
        <f>IFERROR(__xludf.DUMMYFUNCTION("""COMPUTED_VALUE"""),"comment")</f>
        <v>comment</v>
      </c>
      <c r="I2989" s="2" t="str">
        <f>IFERROR(__xludf.DUMMYFUNCTION("""COMPUTED_VALUE"""),"https://www.facebook.com/rapplerdotcom/photos/a.317154781638645/5594359700584767/")</f>
        <v>https://www.facebook.com/rapplerdotcom/photos/a.317154781638645/5594359700584767/</v>
      </c>
      <c r="J2989" s="1" t="str">
        <f>IFERROR(__xludf.DUMMYFUNCTION("""COMPUTED_VALUE"""),"2022-07-04T21:38:13.904Z")</f>
        <v>2022-07-04T21:38:13.904Z</v>
      </c>
      <c r="K2989" s="1"/>
    </row>
    <row r="2990">
      <c r="A2990" s="2" t="str">
        <f>IFERROR(__xludf.DUMMYFUNCTION("""COMPUTED_VALUE"""),"https://www.facebook.com/profile.php?id=1321814894")</f>
        <v>https://www.facebook.com/profile.php?id=1321814894</v>
      </c>
      <c r="B2990" s="1" t="str">
        <f>IFERROR(__xludf.DUMMYFUNCTION("""COMPUTED_VALUE"""),"Anto Florida")</f>
        <v>Anto Florida</v>
      </c>
      <c r="C2990" s="1" t="str">
        <f>IFERROR(__xludf.DUMMYFUNCTION("""COMPUTED_VALUE"""),"Anto")</f>
        <v>Anto</v>
      </c>
      <c r="D2990" s="1" t="str">
        <f>IFERROR(__xludf.DUMMYFUNCTION("""COMPUTED_VALUE"""),"Florida")</f>
        <v>Florida</v>
      </c>
      <c r="E2990" s="1" t="str">
        <f>IFERROR(__xludf.DUMMYFUNCTION("""COMPUTED_VALUE"""),"The very point of campaigning is to draw people and forces to our side, and to weaken the other.")</f>
        <v>The very point of campaigning is to draw people and forces to our side, and to weaken the other.</v>
      </c>
      <c r="F2990" s="1"/>
      <c r="G2990" s="1" t="str">
        <f>IFERROR(__xludf.DUMMYFUNCTION("""COMPUTED_VALUE"""),"3 mos")</f>
        <v>3 mos</v>
      </c>
      <c r="H2990" s="1" t="str">
        <f>IFERROR(__xludf.DUMMYFUNCTION("""COMPUTED_VALUE"""),"comment")</f>
        <v>comment</v>
      </c>
      <c r="I2990" s="2" t="str">
        <f>IFERROR(__xludf.DUMMYFUNCTION("""COMPUTED_VALUE"""),"https://www.facebook.com/rapplerdotcom/photos/a.317154781638645/5594359700584767/")</f>
        <v>https://www.facebook.com/rapplerdotcom/photos/a.317154781638645/5594359700584767/</v>
      </c>
      <c r="J2990" s="1" t="str">
        <f>IFERROR(__xludf.DUMMYFUNCTION("""COMPUTED_VALUE"""),"2022-07-04T21:38:13.904Z")</f>
        <v>2022-07-04T21:38:13.904Z</v>
      </c>
      <c r="K2990" s="1"/>
    </row>
    <row r="2991">
      <c r="A2991" s="2" t="str">
        <f>IFERROR(__xludf.DUMMYFUNCTION("""COMPUTED_VALUE"""),"https://www.facebook.com/neil.torreon.7")</f>
        <v>https://www.facebook.com/neil.torreon.7</v>
      </c>
      <c r="B2991" s="1" t="str">
        <f>IFERROR(__xludf.DUMMYFUNCTION("""COMPUTED_VALUE"""),"Neil Torreon")</f>
        <v>Neil Torreon</v>
      </c>
      <c r="C2991" s="1" t="str">
        <f>IFERROR(__xludf.DUMMYFUNCTION("""COMPUTED_VALUE"""),"Neil")</f>
        <v>Neil</v>
      </c>
      <c r="D2991" s="1" t="str">
        <f>IFERROR(__xludf.DUMMYFUNCTION("""COMPUTED_VALUE"""),"Torreon")</f>
        <v>Torreon</v>
      </c>
      <c r="E2991" s="1" t="str">
        <f>IFERROR(__xludf.DUMMYFUNCTION("""COMPUTED_VALUE"""),"Hirap tlga kpg tumatanda na nawawala na sa katinuan....haha....qng saan2 nlng napadpad.....Ito Yung Tao balimbing at sipsip walang dignidad")</f>
        <v>Hirap tlga kpg tumatanda na nawawala na sa katinuan....haha....qng saan2 nlng napadpad.....Ito Yung Tao balimbing at sipsip walang dignidad</v>
      </c>
      <c r="F2991" s="1"/>
      <c r="G2991" s="1" t="str">
        <f>IFERROR(__xludf.DUMMYFUNCTION("""COMPUTED_VALUE"""),"3 mos")</f>
        <v>3 mos</v>
      </c>
      <c r="H2991" s="1" t="str">
        <f>IFERROR(__xludf.DUMMYFUNCTION("""COMPUTED_VALUE"""),"comment")</f>
        <v>comment</v>
      </c>
      <c r="I2991" s="2" t="str">
        <f>IFERROR(__xludf.DUMMYFUNCTION("""COMPUTED_VALUE"""),"https://www.facebook.com/rapplerdotcom/photos/a.317154781638645/5594359700584767/")</f>
        <v>https://www.facebook.com/rapplerdotcom/photos/a.317154781638645/5594359700584767/</v>
      </c>
      <c r="J2991" s="1" t="str">
        <f>IFERROR(__xludf.DUMMYFUNCTION("""COMPUTED_VALUE"""),"2022-07-04T21:38:13.904Z")</f>
        <v>2022-07-04T21:38:13.904Z</v>
      </c>
      <c r="K2991" s="1"/>
    </row>
    <row r="2992">
      <c r="A2992" s="2" t="str">
        <f>IFERROR(__xludf.DUMMYFUNCTION("""COMPUTED_VALUE"""),"https://www.facebook.com/gerardocandano")</f>
        <v>https://www.facebook.com/gerardocandano</v>
      </c>
      <c r="B2992" s="1" t="str">
        <f>IFERROR(__xludf.DUMMYFUNCTION("""COMPUTED_VALUE"""),"Gerardo Candano")</f>
        <v>Gerardo Candano</v>
      </c>
      <c r="C2992" s="1" t="str">
        <f>IFERROR(__xludf.DUMMYFUNCTION("""COMPUTED_VALUE"""),"Gerardo")</f>
        <v>Gerardo</v>
      </c>
      <c r="D2992" s="1" t="str">
        <f>IFERROR(__xludf.DUMMYFUNCTION("""COMPUTED_VALUE"""),"Candano")</f>
        <v>Candano</v>
      </c>
      <c r="E2992" s="1" t="str">
        <f>IFERROR(__xludf.DUMMYFUNCTION("""COMPUTED_VALUE"""),"Ganyan talaga pag POWER HUNGRY personalities. Parang Isko lang, ilalaglag lahat matupad lang ang pangarap nila. 😤")</f>
        <v>Ganyan talaga pag POWER HUNGRY personalities. Parang Isko lang, ilalaglag lahat matupad lang ang pangarap nila. 😤</v>
      </c>
      <c r="F2992" s="1"/>
      <c r="G2992" s="1" t="str">
        <f>IFERROR(__xludf.DUMMYFUNCTION("""COMPUTED_VALUE"""),"3 mos")</f>
        <v>3 mos</v>
      </c>
      <c r="H2992" s="1" t="str">
        <f>IFERROR(__xludf.DUMMYFUNCTION("""COMPUTED_VALUE"""),"comment")</f>
        <v>comment</v>
      </c>
      <c r="I2992" s="2" t="str">
        <f>IFERROR(__xludf.DUMMYFUNCTION("""COMPUTED_VALUE"""),"https://www.facebook.com/rapplerdotcom/photos/a.317154781638645/5594359700584767/")</f>
        <v>https://www.facebook.com/rapplerdotcom/photos/a.317154781638645/5594359700584767/</v>
      </c>
      <c r="J2992" s="1" t="str">
        <f>IFERROR(__xludf.DUMMYFUNCTION("""COMPUTED_VALUE"""),"2022-07-04T21:38:13.904Z")</f>
        <v>2022-07-04T21:38:13.904Z</v>
      </c>
      <c r="K2992" s="1"/>
    </row>
    <row r="2993">
      <c r="A2993" s="2" t="str">
        <f>IFERROR(__xludf.DUMMYFUNCTION("""COMPUTED_VALUE"""),"https://www.facebook.com/tess.fuertez")</f>
        <v>https://www.facebook.com/tess.fuertez</v>
      </c>
      <c r="B2993" s="1" t="str">
        <f>IFERROR(__xludf.DUMMYFUNCTION("""COMPUTED_VALUE"""),"Tess Fuertez")</f>
        <v>Tess Fuertez</v>
      </c>
      <c r="C2993" s="1" t="str">
        <f>IFERROR(__xludf.DUMMYFUNCTION("""COMPUTED_VALUE"""),"Tess")</f>
        <v>Tess</v>
      </c>
      <c r="D2993" s="1" t="str">
        <f>IFERROR(__xludf.DUMMYFUNCTION("""COMPUTED_VALUE"""),"Fuertez")</f>
        <v>Fuertez</v>
      </c>
      <c r="E2993" s="1" t="str">
        <f>IFERROR(__xludf.DUMMYFUNCTION("""COMPUTED_VALUE"""),"Welcome cong alvarez godblessed you right choice ang yung tatahakin!!")</f>
        <v>Welcome cong alvarez godblessed you right choice ang yung tatahakin!!</v>
      </c>
      <c r="F2993" s="1">
        <f>IFERROR(__xludf.DUMMYFUNCTION("""COMPUTED_VALUE"""),3.0)</f>
        <v>3</v>
      </c>
      <c r="G2993" s="1" t="str">
        <f>IFERROR(__xludf.DUMMYFUNCTION("""COMPUTED_VALUE"""),"3 mos")</f>
        <v>3 mos</v>
      </c>
      <c r="H2993" s="1" t="str">
        <f>IFERROR(__xludf.DUMMYFUNCTION("""COMPUTED_VALUE"""),"comment")</f>
        <v>comment</v>
      </c>
      <c r="I2993" s="2" t="str">
        <f>IFERROR(__xludf.DUMMYFUNCTION("""COMPUTED_VALUE"""),"https://www.facebook.com/rapplerdotcom/photos/a.317154781638645/5594359700584767/")</f>
        <v>https://www.facebook.com/rapplerdotcom/photos/a.317154781638645/5594359700584767/</v>
      </c>
      <c r="J2993" s="1" t="str">
        <f>IFERROR(__xludf.DUMMYFUNCTION("""COMPUTED_VALUE"""),"2022-07-04T21:38:13.904Z")</f>
        <v>2022-07-04T21:38:13.904Z</v>
      </c>
      <c r="K2993" s="1"/>
    </row>
    <row r="2994">
      <c r="A2994" s="2" t="str">
        <f>IFERROR(__xludf.DUMMYFUNCTION("""COMPUTED_VALUE"""),"https://www.facebook.com/jeac2016")</f>
        <v>https://www.facebook.com/jeac2016</v>
      </c>
      <c r="B2994" s="1" t="str">
        <f>IFERROR(__xludf.DUMMYFUNCTION("""COMPUTED_VALUE"""),"Jeac Emerson Carasco")</f>
        <v>Jeac Emerson Carasco</v>
      </c>
      <c r="C2994" s="1" t="str">
        <f>IFERROR(__xludf.DUMMYFUNCTION("""COMPUTED_VALUE"""),"Jeac")</f>
        <v>Jeac</v>
      </c>
      <c r="D2994" s="1" t="str">
        <f>IFERROR(__xludf.DUMMYFUNCTION("""COMPUTED_VALUE"""),"Emerson Carasco")</f>
        <v>Emerson Carasco</v>
      </c>
      <c r="E2994" s="1" t="str">
        <f>IFERROR(__xludf.DUMMYFUNCTION("""COMPUTED_VALUE"""),"Nabuhay ang mga hunyango...")</f>
        <v>Nabuhay ang mga hunyango...</v>
      </c>
      <c r="F2994" s="1"/>
      <c r="G2994" s="1" t="str">
        <f>IFERROR(__xludf.DUMMYFUNCTION("""COMPUTED_VALUE"""),"3 mos")</f>
        <v>3 mos</v>
      </c>
      <c r="H2994" s="1" t="str">
        <f>IFERROR(__xludf.DUMMYFUNCTION("""COMPUTED_VALUE"""),"comment")</f>
        <v>comment</v>
      </c>
      <c r="I2994" s="2" t="str">
        <f>IFERROR(__xludf.DUMMYFUNCTION("""COMPUTED_VALUE"""),"https://www.facebook.com/rapplerdotcom/photos/a.317154781638645/5594359700584767/")</f>
        <v>https://www.facebook.com/rapplerdotcom/photos/a.317154781638645/5594359700584767/</v>
      </c>
      <c r="J2994" s="1" t="str">
        <f>IFERROR(__xludf.DUMMYFUNCTION("""COMPUTED_VALUE"""),"2022-07-04T21:38:13.904Z")</f>
        <v>2022-07-04T21:38:13.904Z</v>
      </c>
      <c r="K2994" s="1"/>
    </row>
    <row r="2995">
      <c r="A2995" s="2" t="str">
        <f>IFERROR(__xludf.DUMMYFUNCTION("""COMPUTED_VALUE"""),"https://www.facebook.com/edwin.nabong.790")</f>
        <v>https://www.facebook.com/edwin.nabong.790</v>
      </c>
      <c r="B2995" s="1" t="str">
        <f>IFERROR(__xludf.DUMMYFUNCTION("""COMPUTED_VALUE"""),"Edwin Nabong")</f>
        <v>Edwin Nabong</v>
      </c>
      <c r="C2995" s="1" t="str">
        <f>IFERROR(__xludf.DUMMYFUNCTION("""COMPUTED_VALUE"""),"Edwin")</f>
        <v>Edwin</v>
      </c>
      <c r="D2995" s="1" t="str">
        <f>IFERROR(__xludf.DUMMYFUNCTION("""COMPUTED_VALUE"""),"Nabong")</f>
        <v>Nabong</v>
      </c>
      <c r="E2995" s="1" t="str">
        <f>IFERROR(__xludf.DUMMYFUNCTION("""COMPUTED_VALUE"""),"kalungkot pero bawat eleksyon lagi to the highest bidder.")</f>
        <v>kalungkot pero bawat eleksyon lagi to the highest bidder.</v>
      </c>
      <c r="F2995" s="1">
        <f>IFERROR(__xludf.DUMMYFUNCTION("""COMPUTED_VALUE"""),1.0)</f>
        <v>1</v>
      </c>
      <c r="G2995" s="1" t="str">
        <f>IFERROR(__xludf.DUMMYFUNCTION("""COMPUTED_VALUE"""),"3 mos")</f>
        <v>3 mos</v>
      </c>
      <c r="H2995" s="1" t="str">
        <f>IFERROR(__xludf.DUMMYFUNCTION("""COMPUTED_VALUE"""),"comment")</f>
        <v>comment</v>
      </c>
      <c r="I2995" s="2" t="str">
        <f>IFERROR(__xludf.DUMMYFUNCTION("""COMPUTED_VALUE"""),"https://www.facebook.com/rapplerdotcom/photos/a.317154781638645/5594359700584767/")</f>
        <v>https://www.facebook.com/rapplerdotcom/photos/a.317154781638645/5594359700584767/</v>
      </c>
      <c r="J2995" s="1" t="str">
        <f>IFERROR(__xludf.DUMMYFUNCTION("""COMPUTED_VALUE"""),"2022-07-04T21:38:13.904Z")</f>
        <v>2022-07-04T21:38:13.904Z</v>
      </c>
      <c r="K2995" s="1"/>
    </row>
    <row r="2996">
      <c r="A2996" s="2" t="str">
        <f>IFERROR(__xludf.DUMMYFUNCTION("""COMPUTED_VALUE"""),"https://www.facebook.com/mary.lasquety")</f>
        <v>https://www.facebook.com/mary.lasquety</v>
      </c>
      <c r="B2996" s="1" t="str">
        <f>IFERROR(__xludf.DUMMYFUNCTION("""COMPUTED_VALUE"""),"Mary Lasquety")</f>
        <v>Mary Lasquety</v>
      </c>
      <c r="C2996" s="1" t="str">
        <f>IFERROR(__xludf.DUMMYFUNCTION("""COMPUTED_VALUE"""),"Mary")</f>
        <v>Mary</v>
      </c>
      <c r="D2996" s="1" t="str">
        <f>IFERROR(__xludf.DUMMYFUNCTION("""COMPUTED_VALUE"""),"Lasquety")</f>
        <v>Lasquety</v>
      </c>
      <c r="E2996" s="1" t="str">
        <f>IFERROR(__xludf.DUMMYFUNCTION("""COMPUTED_VALUE"""),"permanent ba or personal interest? hmmm")</f>
        <v>permanent ba or personal interest? hmmm</v>
      </c>
      <c r="F2996" s="1"/>
      <c r="G2996" s="1" t="str">
        <f>IFERROR(__xludf.DUMMYFUNCTION("""COMPUTED_VALUE"""),"3 mos")</f>
        <v>3 mos</v>
      </c>
      <c r="H2996" s="1" t="str">
        <f>IFERROR(__xludf.DUMMYFUNCTION("""COMPUTED_VALUE"""),"comment")</f>
        <v>comment</v>
      </c>
      <c r="I2996" s="2" t="str">
        <f>IFERROR(__xludf.DUMMYFUNCTION("""COMPUTED_VALUE"""),"https://www.facebook.com/rapplerdotcom/photos/a.317154781638645/5594359700584767/")</f>
        <v>https://www.facebook.com/rapplerdotcom/photos/a.317154781638645/5594359700584767/</v>
      </c>
      <c r="J2996" s="1" t="str">
        <f>IFERROR(__xludf.DUMMYFUNCTION("""COMPUTED_VALUE"""),"2022-07-04T21:38:13.904Z")</f>
        <v>2022-07-04T21:38:13.904Z</v>
      </c>
      <c r="K2996" s="1"/>
    </row>
    <row r="2997">
      <c r="A2997" s="2" t="str">
        <f>IFERROR(__xludf.DUMMYFUNCTION("""COMPUTED_VALUE"""),"https://www.facebook.com/profile.php?id=100070491889329")</f>
        <v>https://www.facebook.com/profile.php?id=100070491889329</v>
      </c>
      <c r="B2997" s="1" t="str">
        <f>IFERROR(__xludf.DUMMYFUNCTION("""COMPUTED_VALUE"""),"Ariel Pastor")</f>
        <v>Ariel Pastor</v>
      </c>
      <c r="C2997" s="1" t="str">
        <f>IFERROR(__xludf.DUMMYFUNCTION("""COMPUTED_VALUE"""),"Ariel")</f>
        <v>Ariel</v>
      </c>
      <c r="D2997" s="1" t="str">
        <f>IFERROR(__xludf.DUMMYFUNCTION("""COMPUTED_VALUE"""),"Pastor")</f>
        <v>Pastor</v>
      </c>
      <c r="E2997" s="1" t="str">
        <f>IFERROR(__xludf.DUMMYFUNCTION("""COMPUTED_VALUE"""),"Mary Lasquety may maitim na balak yan...bumabalimbing na. Hayyyyy")</f>
        <v>Mary Lasquety may maitim na balak yan...bumabalimbing na. Hayyyyy</v>
      </c>
      <c r="F2997" s="1"/>
      <c r="G2997" s="1" t="str">
        <f>IFERROR(__xludf.DUMMYFUNCTION("""COMPUTED_VALUE"""),"3 mos")</f>
        <v>3 mos</v>
      </c>
      <c r="H2997" s="1" t="str">
        <f>IFERROR(__xludf.DUMMYFUNCTION("""COMPUTED_VALUE"""),"reply")</f>
        <v>reply</v>
      </c>
      <c r="I2997" s="2" t="str">
        <f>IFERROR(__xludf.DUMMYFUNCTION("""COMPUTED_VALUE"""),"https://www.facebook.com/rapplerdotcom/photos/a.317154781638645/5594359700584767/")</f>
        <v>https://www.facebook.com/rapplerdotcom/photos/a.317154781638645/5594359700584767/</v>
      </c>
      <c r="J2997" s="1" t="str">
        <f>IFERROR(__xludf.DUMMYFUNCTION("""COMPUTED_VALUE"""),"2022-07-04T21:38:13.904Z")</f>
        <v>2022-07-04T21:38:13.904Z</v>
      </c>
      <c r="K2997" s="1"/>
    </row>
    <row r="2998">
      <c r="A2998" s="2" t="str">
        <f>IFERROR(__xludf.DUMMYFUNCTION("""COMPUTED_VALUE"""),"https://www.facebook.com/profile.php?id=100004150696757")</f>
        <v>https://www.facebook.com/profile.php?id=100004150696757</v>
      </c>
      <c r="B2998" s="1" t="str">
        <f>IFERROR(__xludf.DUMMYFUNCTION("""COMPUTED_VALUE"""),"Adelaida Munoz")</f>
        <v>Adelaida Munoz</v>
      </c>
      <c r="C2998" s="1" t="str">
        <f>IFERROR(__xludf.DUMMYFUNCTION("""COMPUTED_VALUE"""),"Adelaida")</f>
        <v>Adelaida</v>
      </c>
      <c r="D2998" s="1" t="str">
        <f>IFERROR(__xludf.DUMMYFUNCTION("""COMPUTED_VALUE"""),"Munoz")</f>
        <v>Munoz</v>
      </c>
      <c r="E2998" s="1" t="str">
        <f>IFERROR(__xludf.DUMMYFUNCTION("""COMPUTED_VALUE"""),"BB M Mabuhay Mabuhay Ang Pilipinas")</f>
        <v>BB M Mabuhay Mabuhay Ang Pilipinas</v>
      </c>
      <c r="F2998" s="1">
        <f>IFERROR(__xludf.DUMMYFUNCTION("""COMPUTED_VALUE"""),1.0)</f>
        <v>1</v>
      </c>
      <c r="G2998" s="1" t="str">
        <f>IFERROR(__xludf.DUMMYFUNCTION("""COMPUTED_VALUE"""),"3 mos")</f>
        <v>3 mos</v>
      </c>
      <c r="H2998" s="1" t="str">
        <f>IFERROR(__xludf.DUMMYFUNCTION("""COMPUTED_VALUE"""),"comment")</f>
        <v>comment</v>
      </c>
      <c r="I2998" s="2" t="str">
        <f>IFERROR(__xludf.DUMMYFUNCTION("""COMPUTED_VALUE"""),"https://www.facebook.com/rapplerdotcom/photos/a.317154781638645/5594359700584767/")</f>
        <v>https://www.facebook.com/rapplerdotcom/photos/a.317154781638645/5594359700584767/</v>
      </c>
      <c r="J2998" s="1" t="str">
        <f>IFERROR(__xludf.DUMMYFUNCTION("""COMPUTED_VALUE"""),"2022-07-04T21:38:13.904Z")</f>
        <v>2022-07-04T21:38:13.904Z</v>
      </c>
      <c r="K2998" s="1"/>
    </row>
    <row r="2999">
      <c r="A2999" s="2" t="str">
        <f>IFERROR(__xludf.DUMMYFUNCTION("""COMPUTED_VALUE"""),"https://www.facebook.com/rboy.escaran")</f>
        <v>https://www.facebook.com/rboy.escaran</v>
      </c>
      <c r="B2999" s="1" t="str">
        <f>IFERROR(__xludf.DUMMYFUNCTION("""COMPUTED_VALUE"""),"Rboy Escaran")</f>
        <v>Rboy Escaran</v>
      </c>
      <c r="C2999" s="1" t="str">
        <f>IFERROR(__xludf.DUMMYFUNCTION("""COMPUTED_VALUE"""),"Rboy")</f>
        <v>Rboy</v>
      </c>
      <c r="D2999" s="1" t="str">
        <f>IFERROR(__xludf.DUMMYFUNCTION("""COMPUTED_VALUE"""),"Escaran")</f>
        <v>Escaran</v>
      </c>
      <c r="E2999" s="1" t="str">
        <f>IFERROR(__xludf.DUMMYFUNCTION("""COMPUTED_VALUE"""),"The message is clear...credibility?")</f>
        <v>The message is clear...credibility?</v>
      </c>
      <c r="F2999" s="1"/>
      <c r="G2999" s="1" t="str">
        <f>IFERROR(__xludf.DUMMYFUNCTION("""COMPUTED_VALUE"""),"3 mos")</f>
        <v>3 mos</v>
      </c>
      <c r="H2999" s="1" t="str">
        <f>IFERROR(__xludf.DUMMYFUNCTION("""COMPUTED_VALUE"""),"comment")</f>
        <v>comment</v>
      </c>
      <c r="I2999" s="2" t="str">
        <f>IFERROR(__xludf.DUMMYFUNCTION("""COMPUTED_VALUE"""),"https://www.facebook.com/rapplerdotcom/photos/a.317154781638645/5594359700584767/")</f>
        <v>https://www.facebook.com/rapplerdotcom/photos/a.317154781638645/5594359700584767/</v>
      </c>
      <c r="J2999" s="1" t="str">
        <f>IFERROR(__xludf.DUMMYFUNCTION("""COMPUTED_VALUE"""),"2022-07-04T21:38:13.904Z")</f>
        <v>2022-07-04T21:38:13.904Z</v>
      </c>
      <c r="K2999" s="1"/>
    </row>
    <row r="3000">
      <c r="A3000" s="2" t="str">
        <f>IFERROR(__xludf.DUMMYFUNCTION("""COMPUTED_VALUE"""),"https://www.facebook.com/emman.bantad")</f>
        <v>https://www.facebook.com/emman.bantad</v>
      </c>
      <c r="B3000" s="1" t="str">
        <f>IFERROR(__xludf.DUMMYFUNCTION("""COMPUTED_VALUE"""),"Eman Bantad")</f>
        <v>Eman Bantad</v>
      </c>
      <c r="C3000" s="1" t="str">
        <f>IFERROR(__xludf.DUMMYFUNCTION("""COMPUTED_VALUE"""),"Eman")</f>
        <v>Eman</v>
      </c>
      <c r="D3000" s="1" t="str">
        <f>IFERROR(__xludf.DUMMYFUNCTION("""COMPUTED_VALUE"""),"Bantad")</f>
        <v>Bantad</v>
      </c>
      <c r="E3000" s="1" t="str">
        <f>IFERROR(__xludf.DUMMYFUNCTION("""COMPUTED_VALUE"""),"Minsan prutas, minsan tao")</f>
        <v>Minsan prutas, minsan tao</v>
      </c>
      <c r="F3000" s="1"/>
      <c r="G3000" s="1" t="str">
        <f>IFERROR(__xludf.DUMMYFUNCTION("""COMPUTED_VALUE"""),"3 mos")</f>
        <v>3 mos</v>
      </c>
      <c r="H3000" s="1" t="str">
        <f>IFERROR(__xludf.DUMMYFUNCTION("""COMPUTED_VALUE"""),"comment")</f>
        <v>comment</v>
      </c>
      <c r="I3000" s="2" t="str">
        <f>IFERROR(__xludf.DUMMYFUNCTION("""COMPUTED_VALUE"""),"https://www.facebook.com/rapplerdotcom/photos/a.317154781638645/5594359700584767/")</f>
        <v>https://www.facebook.com/rapplerdotcom/photos/a.317154781638645/5594359700584767/</v>
      </c>
      <c r="J3000" s="1" t="str">
        <f>IFERROR(__xludf.DUMMYFUNCTION("""COMPUTED_VALUE"""),"2022-07-04T21:38:13.904Z")</f>
        <v>2022-07-04T21:38:13.904Z</v>
      </c>
      <c r="K3000" s="1"/>
    </row>
    <row r="3001">
      <c r="A3001" s="2" t="str">
        <f>IFERROR(__xludf.DUMMYFUNCTION("""COMPUTED_VALUE"""),"https://www.facebook.com/mcdolawcarla")</f>
        <v>https://www.facebook.com/mcdolawcarla</v>
      </c>
      <c r="B3001" s="1" t="str">
        <f>IFERROR(__xludf.DUMMYFUNCTION("""COMPUTED_VALUE"""),"Carla Ofilada")</f>
        <v>Carla Ofilada</v>
      </c>
      <c r="C3001" s="1" t="str">
        <f>IFERROR(__xludf.DUMMYFUNCTION("""COMPUTED_VALUE"""),"Carla")</f>
        <v>Carla</v>
      </c>
      <c r="D3001" s="1" t="str">
        <f>IFERROR(__xludf.DUMMYFUNCTION("""COMPUTED_VALUE"""),"Ofilada")</f>
        <v>Ofilada</v>
      </c>
      <c r="E3001" s="1" t="str">
        <f>IFERROR(__xludf.DUMMYFUNCTION("""COMPUTED_VALUE"""),"Everybody welcome Naman.... Pero Ang mga kakamPINKs ay volunteers.... Kami Ang nagbibigay Hindi kami namimigay.... Lahat Ng ginagawa namin ay WALANG KAPALIT! ngayon pa lang magkalinawagan na Tayo....")</f>
        <v>Everybody welcome Naman.... Pero Ang mga kakamPINKs ay volunteers.... Kami Ang nagbibigay Hindi kami namimigay.... Lahat Ng ginagawa namin ay WALANG KAPALIT! ngayon pa lang magkalinawagan na Tayo....</v>
      </c>
      <c r="F3001" s="1">
        <f>IFERROR(__xludf.DUMMYFUNCTION("""COMPUTED_VALUE"""),4.0)</f>
        <v>4</v>
      </c>
      <c r="G3001" s="1" t="str">
        <f>IFERROR(__xludf.DUMMYFUNCTION("""COMPUTED_VALUE"""),"3 mos")</f>
        <v>3 mos</v>
      </c>
      <c r="H3001" s="1" t="str">
        <f>IFERROR(__xludf.DUMMYFUNCTION("""COMPUTED_VALUE"""),"comment")</f>
        <v>comment</v>
      </c>
      <c r="I3001" s="2" t="str">
        <f>IFERROR(__xludf.DUMMYFUNCTION("""COMPUTED_VALUE"""),"https://www.facebook.com/rapplerdotcom/photos/a.317154781638645/5594359700584767/")</f>
        <v>https://www.facebook.com/rapplerdotcom/photos/a.317154781638645/5594359700584767/</v>
      </c>
      <c r="J3001" s="1" t="str">
        <f>IFERROR(__xludf.DUMMYFUNCTION("""COMPUTED_VALUE"""),"2022-07-04T21:38:13.904Z")</f>
        <v>2022-07-04T21:38:13.904Z</v>
      </c>
      <c r="K3001" s="1"/>
    </row>
    <row r="3002">
      <c r="A3002" s="2" t="str">
        <f>IFERROR(__xludf.DUMMYFUNCTION("""COMPUTED_VALUE"""),"https://www.facebook.com/jun.buama1")</f>
        <v>https://www.facebook.com/jun.buama1</v>
      </c>
      <c r="B3002" s="1" t="str">
        <f>IFERROR(__xludf.DUMMYFUNCTION("""COMPUTED_VALUE"""),"Jun Buama")</f>
        <v>Jun Buama</v>
      </c>
      <c r="C3002" s="1" t="str">
        <f>IFERROR(__xludf.DUMMYFUNCTION("""COMPUTED_VALUE"""),"Jun")</f>
        <v>Jun</v>
      </c>
      <c r="D3002" s="1" t="str">
        <f>IFERROR(__xludf.DUMMYFUNCTION("""COMPUTED_VALUE"""),"Buama")</f>
        <v>Buama</v>
      </c>
      <c r="E3002" s="1" t="str">
        <f>IFERROR(__xludf.DUMMYFUNCTION("""COMPUTED_VALUE"""),"Ano namn ang connection ng pamimili ng partido sa pagiging makatao at pagbibigay respeto na inaakala mong tama lang sa isang tao na namayapa na. Karapatan ng bawat individual yun tila gusto nyong palabasin na yun sa inyo lang ang tama at yun kagustuhan ng"&amp;" iba ay mali. Pare pareho lang tayo ng karapatan na isa lang ang bilang ng boto pero yun pagendorso ng kandidato natural lang yun ang hindi natural ay yun ipagpilitan nyo kung sino ang gusto nyang iboto.")</f>
        <v>Ano namn ang connection ng pamimili ng partido sa pagiging makatao at pagbibigay respeto na inaakala mong tama lang sa isang tao na namayapa na. Karapatan ng bawat individual yun tila gusto nyong palabasin na yun sa inyo lang ang tama at yun kagustuhan ng iba ay mali. Pare pareho lang tayo ng karapatan na isa lang ang bilang ng boto pero yun pagendorso ng kandidato natural lang yun ang hindi natural ay yun ipagpilitan nyo kung sino ang gusto nyang iboto.</v>
      </c>
      <c r="F3002" s="1"/>
      <c r="G3002" s="1" t="str">
        <f>IFERROR(__xludf.DUMMYFUNCTION("""COMPUTED_VALUE"""),"3 mos")</f>
        <v>3 mos</v>
      </c>
      <c r="H3002" s="1" t="str">
        <f>IFERROR(__xludf.DUMMYFUNCTION("""COMPUTED_VALUE"""),"comment")</f>
        <v>comment</v>
      </c>
      <c r="I3002" s="2" t="str">
        <f>IFERROR(__xludf.DUMMYFUNCTION("""COMPUTED_VALUE"""),"https://www.facebook.com/rapplerdotcom/photos/a.317154781638645/5594359700584767/")</f>
        <v>https://www.facebook.com/rapplerdotcom/photos/a.317154781638645/5594359700584767/</v>
      </c>
      <c r="J3002" s="1" t="str">
        <f>IFERROR(__xludf.DUMMYFUNCTION("""COMPUTED_VALUE"""),"2022-07-04T21:38:13.904Z")</f>
        <v>2022-07-04T21:38:13.904Z</v>
      </c>
      <c r="K3002" s="1"/>
    </row>
    <row r="3003">
      <c r="A3003" s="2" t="str">
        <f>IFERROR(__xludf.DUMMYFUNCTION("""COMPUTED_VALUE"""),"https://www.facebook.com/roberto.jabon.9")</f>
        <v>https://www.facebook.com/roberto.jabon.9</v>
      </c>
      <c r="B3003" s="1" t="str">
        <f>IFERROR(__xludf.DUMMYFUNCTION("""COMPUTED_VALUE"""),"Roberto Jabon")</f>
        <v>Roberto Jabon</v>
      </c>
      <c r="C3003" s="1" t="str">
        <f>IFERROR(__xludf.DUMMYFUNCTION("""COMPUTED_VALUE"""),"Roberto")</f>
        <v>Roberto</v>
      </c>
      <c r="D3003" s="1" t="str">
        <f>IFERROR(__xludf.DUMMYFUNCTION("""COMPUTED_VALUE"""),"Jabon")</f>
        <v>Jabon</v>
      </c>
      <c r="E3003" s="1" t="str">
        <f>IFERROR(__xludf.DUMMYFUNCTION("""COMPUTED_VALUE"""),"SA PANAHON NGAYON KAILANGAN ANG SUPORTA NI CONG. ALVAREZ  SILA ANG NAGPATAOB SA FLORENDO,DEL ROSARIO SA DAVAO DEL NORTE.ELEKSYON IS ADDITION.KAILANGAN NATIN YANG NGAYON WAG MAGING EPOKRETO")</f>
        <v>SA PANAHON NGAYON KAILANGAN ANG SUPORTA NI CONG. ALVAREZ  SILA ANG NAGPATAOB SA FLORENDO,DEL ROSARIO SA DAVAO DEL NORTE.ELEKSYON IS ADDITION.KAILANGAN NATIN YANG NGAYON WAG MAGING EPOKRETO</v>
      </c>
      <c r="F3003" s="1"/>
      <c r="G3003" s="1" t="str">
        <f>IFERROR(__xludf.DUMMYFUNCTION("""COMPUTED_VALUE"""),"3 mos")</f>
        <v>3 mos</v>
      </c>
      <c r="H3003" s="1" t="str">
        <f>IFERROR(__xludf.DUMMYFUNCTION("""COMPUTED_VALUE"""),"comment")</f>
        <v>comment</v>
      </c>
      <c r="I3003" s="2" t="str">
        <f>IFERROR(__xludf.DUMMYFUNCTION("""COMPUTED_VALUE"""),"https://www.facebook.com/rapplerdotcom/photos/a.317154781638645/5594359700584767/")</f>
        <v>https://www.facebook.com/rapplerdotcom/photos/a.317154781638645/5594359700584767/</v>
      </c>
      <c r="J3003" s="1" t="str">
        <f>IFERROR(__xludf.DUMMYFUNCTION("""COMPUTED_VALUE"""),"2022-07-04T21:38:13.904Z")</f>
        <v>2022-07-04T21:38:13.904Z</v>
      </c>
      <c r="K3003" s="1"/>
    </row>
    <row r="3004">
      <c r="A3004" s="2" t="str">
        <f>IFERROR(__xludf.DUMMYFUNCTION("""COMPUTED_VALUE"""),"https://www.facebook.com/eddie.soriente")</f>
        <v>https://www.facebook.com/eddie.soriente</v>
      </c>
      <c r="B3004" s="1" t="str">
        <f>IFERROR(__xludf.DUMMYFUNCTION("""COMPUTED_VALUE"""),"Eddie Soriente")</f>
        <v>Eddie Soriente</v>
      </c>
      <c r="C3004" s="1" t="str">
        <f>IFERROR(__xludf.DUMMYFUNCTION("""COMPUTED_VALUE"""),"Eddie")</f>
        <v>Eddie</v>
      </c>
      <c r="D3004" s="1" t="str">
        <f>IFERROR(__xludf.DUMMYFUNCTION("""COMPUTED_VALUE"""),"Soriente")</f>
        <v>Soriente</v>
      </c>
      <c r="E3004" s="1" t="str">
        <f>IFERROR(__xludf.DUMMYFUNCTION("""COMPUTED_VALUE"""),"Pag napanood nyo ang interview ni pinky webb kay alvarez sa ANC malalamang mo kung anong tunay ng kulay at pagkatao ni alvarez  wala syang pinagka-iba sa hayop na hunyango, papalit palit ng kulay kung ano ang kulay ng kinapitan nya un din ang kulay nya")</f>
        <v>Pag napanood nyo ang interview ni pinky webb kay alvarez sa ANC malalamang mo kung anong tunay ng kulay at pagkatao ni alvarez  wala syang pinagka-iba sa hayop na hunyango, papalit palit ng kulay kung ano ang kulay ng kinapitan nya un din ang kulay nya</v>
      </c>
      <c r="F3004" s="1"/>
      <c r="G3004" s="1" t="str">
        <f>IFERROR(__xludf.DUMMYFUNCTION("""COMPUTED_VALUE"""),"3 mos")</f>
        <v>3 mos</v>
      </c>
      <c r="H3004" s="1" t="str">
        <f>IFERROR(__xludf.DUMMYFUNCTION("""COMPUTED_VALUE"""),"comment")</f>
        <v>comment</v>
      </c>
      <c r="I3004" s="2" t="str">
        <f>IFERROR(__xludf.DUMMYFUNCTION("""COMPUTED_VALUE"""),"https://www.facebook.com/rapplerdotcom/photos/a.317154781638645/5594359700584767/")</f>
        <v>https://www.facebook.com/rapplerdotcom/photos/a.317154781638645/5594359700584767/</v>
      </c>
      <c r="J3004" s="1" t="str">
        <f>IFERROR(__xludf.DUMMYFUNCTION("""COMPUTED_VALUE"""),"2022-07-04T21:38:13.904Z")</f>
        <v>2022-07-04T21:38:13.904Z</v>
      </c>
      <c r="K3004" s="1"/>
    </row>
    <row r="3005">
      <c r="A3005" s="2" t="str">
        <f>IFERROR(__xludf.DUMMYFUNCTION("""COMPUTED_VALUE"""),"https://www.facebook.com/gerry.guevara.3")</f>
        <v>https://www.facebook.com/gerry.guevara.3</v>
      </c>
      <c r="B3005" s="1" t="str">
        <f>IFERROR(__xludf.DUMMYFUNCTION("""COMPUTED_VALUE"""),"Gerardo T Guevara")</f>
        <v>Gerardo T Guevara</v>
      </c>
      <c r="C3005" s="1" t="str">
        <f>IFERROR(__xludf.DUMMYFUNCTION("""COMPUTED_VALUE"""),"Gerardo")</f>
        <v>Gerardo</v>
      </c>
      <c r="D3005" s="1" t="str">
        <f>IFERROR(__xludf.DUMMYFUNCTION("""COMPUTED_VALUE"""),"T Guevara")</f>
        <v>T Guevara</v>
      </c>
      <c r="E3005" s="1" t="str">
        <f>IFERROR(__xludf.DUMMYFUNCTION("""COMPUTED_VALUE"""),"huwag basta basta magtitiwala Mdm VP")</f>
        <v>huwag basta basta magtitiwala Mdm VP</v>
      </c>
      <c r="F3005" s="1"/>
      <c r="G3005" s="1" t="str">
        <f>IFERROR(__xludf.DUMMYFUNCTION("""COMPUTED_VALUE"""),"3 mos")</f>
        <v>3 mos</v>
      </c>
      <c r="H3005" s="1" t="str">
        <f>IFERROR(__xludf.DUMMYFUNCTION("""COMPUTED_VALUE"""),"comment")</f>
        <v>comment</v>
      </c>
      <c r="I3005" s="2" t="str">
        <f>IFERROR(__xludf.DUMMYFUNCTION("""COMPUTED_VALUE"""),"https://www.facebook.com/rapplerdotcom/photos/a.317154781638645/5594359700584767/")</f>
        <v>https://www.facebook.com/rapplerdotcom/photos/a.317154781638645/5594359700584767/</v>
      </c>
      <c r="J3005" s="1" t="str">
        <f>IFERROR(__xludf.DUMMYFUNCTION("""COMPUTED_VALUE"""),"2022-07-04T21:38:13.904Z")</f>
        <v>2022-07-04T21:38:13.904Z</v>
      </c>
      <c r="K3005" s="1"/>
    </row>
    <row r="3006">
      <c r="A3006" s="2" t="str">
        <f>IFERROR(__xludf.DUMMYFUNCTION("""COMPUTED_VALUE"""),"https://www.facebook.com/benjie.paralta")</f>
        <v>https://www.facebook.com/benjie.paralta</v>
      </c>
      <c r="B3006" s="1" t="str">
        <f>IFERROR(__xludf.DUMMYFUNCTION("""COMPUTED_VALUE"""),"Benjie Paralta")</f>
        <v>Benjie Paralta</v>
      </c>
      <c r="C3006" s="1" t="str">
        <f>IFERROR(__xludf.DUMMYFUNCTION("""COMPUTED_VALUE"""),"Benjie")</f>
        <v>Benjie</v>
      </c>
      <c r="D3006" s="1" t="str">
        <f>IFERROR(__xludf.DUMMYFUNCTION("""COMPUTED_VALUE"""),"Paralta")</f>
        <v>Paralta</v>
      </c>
      <c r="E3006" s="1" t="str">
        <f>IFERROR(__xludf.DUMMYFUNCTION("""COMPUTED_VALUE"""),"Manay watchout around u mukhang may plano sila come election mahirap pagkstiwalaan ang mga yan pailalim kung bumanat")</f>
        <v>Manay watchout around u mukhang may plano sila come election mahirap pagkstiwalaan ang mga yan pailalim kung bumanat</v>
      </c>
      <c r="F3006" s="1">
        <f>IFERROR(__xludf.DUMMYFUNCTION("""COMPUTED_VALUE"""),4.0)</f>
        <v>4</v>
      </c>
      <c r="G3006" s="1" t="str">
        <f>IFERROR(__xludf.DUMMYFUNCTION("""COMPUTED_VALUE"""),"3 mos")</f>
        <v>3 mos</v>
      </c>
      <c r="H3006" s="1" t="str">
        <f>IFERROR(__xludf.DUMMYFUNCTION("""COMPUTED_VALUE"""),"comment")</f>
        <v>comment</v>
      </c>
      <c r="I3006" s="2" t="str">
        <f>IFERROR(__xludf.DUMMYFUNCTION("""COMPUTED_VALUE"""),"https://www.facebook.com/rapplerdotcom/photos/a.317154781638645/5594359700584767/")</f>
        <v>https://www.facebook.com/rapplerdotcom/photos/a.317154781638645/5594359700584767/</v>
      </c>
      <c r="J3006" s="1" t="str">
        <f>IFERROR(__xludf.DUMMYFUNCTION("""COMPUTED_VALUE"""),"2022-07-04T21:38:13.904Z")</f>
        <v>2022-07-04T21:38:13.904Z</v>
      </c>
      <c r="K3006" s="1"/>
    </row>
    <row r="3007">
      <c r="A3007" s="2" t="str">
        <f>IFERROR(__xludf.DUMMYFUNCTION("""COMPUTED_VALUE"""),"https://www.facebook.com/zenyrj")</f>
        <v>https://www.facebook.com/zenyrj</v>
      </c>
      <c r="B3007" s="1" t="str">
        <f>IFERROR(__xludf.DUMMYFUNCTION("""COMPUTED_VALUE"""),"Zeny Reyes Jacob")</f>
        <v>Zeny Reyes Jacob</v>
      </c>
      <c r="C3007" s="1" t="str">
        <f>IFERROR(__xludf.DUMMYFUNCTION("""COMPUTED_VALUE"""),"Zeny")</f>
        <v>Zeny</v>
      </c>
      <c r="D3007" s="1" t="str">
        <f>IFERROR(__xludf.DUMMYFUNCTION("""COMPUTED_VALUE"""),"Reyes Jacob")</f>
        <v>Reyes Jacob</v>
      </c>
      <c r="E3007" s="1" t="str">
        <f>IFERROR(__xludf.DUMMYFUNCTION("""COMPUTED_VALUE"""),"bayaan na nyo laman tyan din yan")</f>
        <v>bayaan na nyo laman tyan din yan</v>
      </c>
      <c r="F3007" s="1"/>
      <c r="G3007" s="1" t="str">
        <f>IFERROR(__xludf.DUMMYFUNCTION("""COMPUTED_VALUE"""),"3 mos")</f>
        <v>3 mos</v>
      </c>
      <c r="H3007" s="1" t="str">
        <f>IFERROR(__xludf.DUMMYFUNCTION("""COMPUTED_VALUE"""),"comment")</f>
        <v>comment</v>
      </c>
      <c r="I3007" s="2" t="str">
        <f>IFERROR(__xludf.DUMMYFUNCTION("""COMPUTED_VALUE"""),"https://www.facebook.com/rapplerdotcom/photos/a.317154781638645/5594359700584767/")</f>
        <v>https://www.facebook.com/rapplerdotcom/photos/a.317154781638645/5594359700584767/</v>
      </c>
      <c r="J3007" s="1" t="str">
        <f>IFERROR(__xludf.DUMMYFUNCTION("""COMPUTED_VALUE"""),"2022-07-04T21:38:13.904Z")</f>
        <v>2022-07-04T21:38:13.904Z</v>
      </c>
      <c r="K3007" s="1"/>
    </row>
    <row r="3008">
      <c r="A3008" s="2" t="str">
        <f>IFERROR(__xludf.DUMMYFUNCTION("""COMPUTED_VALUE"""),"https://www.facebook.com/profile.php?id=100047766465936")</f>
        <v>https://www.facebook.com/profile.php?id=100047766465936</v>
      </c>
      <c r="B3008" s="1" t="str">
        <f>IFERROR(__xludf.DUMMYFUNCTION("""COMPUTED_VALUE"""),"Rene G. Alcantara")</f>
        <v>Rene G. Alcantara</v>
      </c>
      <c r="C3008" s="1" t="str">
        <f>IFERROR(__xludf.DUMMYFUNCTION("""COMPUTED_VALUE"""),"Rene")</f>
        <v>Rene</v>
      </c>
      <c r="D3008" s="1" t="str">
        <f>IFERROR(__xludf.DUMMYFUNCTION("""COMPUTED_VALUE"""),"G. Alcantara")</f>
        <v>G. Alcantara</v>
      </c>
      <c r="E3008" s="1" t="str">
        <f>IFERROR(__xludf.DUMMYFUNCTION("""COMPUTED_VALUE"""),"Walang sariling paninindigan umayaw kay lacson dahil walang pera na ma ibibigay sa partido nila.")</f>
        <v>Walang sariling paninindigan umayaw kay lacson dahil walang pera na ma ibibigay sa partido nila.</v>
      </c>
      <c r="F3008" s="1">
        <f>IFERROR(__xludf.DUMMYFUNCTION("""COMPUTED_VALUE"""),1.0)</f>
        <v>1</v>
      </c>
      <c r="G3008" s="1" t="str">
        <f>IFERROR(__xludf.DUMMYFUNCTION("""COMPUTED_VALUE"""),"3 mos")</f>
        <v>3 mos</v>
      </c>
      <c r="H3008" s="1" t="str">
        <f>IFERROR(__xludf.DUMMYFUNCTION("""COMPUTED_VALUE"""),"comment")</f>
        <v>comment</v>
      </c>
      <c r="I3008" s="2" t="str">
        <f>IFERROR(__xludf.DUMMYFUNCTION("""COMPUTED_VALUE"""),"https://www.facebook.com/rapplerdotcom/photos/a.317154781638645/5594359700584767/")</f>
        <v>https://www.facebook.com/rapplerdotcom/photos/a.317154781638645/5594359700584767/</v>
      </c>
      <c r="J3008" s="1" t="str">
        <f>IFERROR(__xludf.DUMMYFUNCTION("""COMPUTED_VALUE"""),"2022-07-04T21:38:13.904Z")</f>
        <v>2022-07-04T21:38:13.904Z</v>
      </c>
      <c r="K3008" s="1"/>
    </row>
    <row r="3009">
      <c r="A3009" s="2" t="str">
        <f>IFERROR(__xludf.DUMMYFUNCTION("""COMPUTED_VALUE"""),"https://www.facebook.com/luther.staromana1")</f>
        <v>https://www.facebook.com/luther.staromana1</v>
      </c>
      <c r="B3009" s="1" t="str">
        <f>IFERROR(__xludf.DUMMYFUNCTION("""COMPUTED_VALUE"""),"Luther Sta Romana")</f>
        <v>Luther Sta Romana</v>
      </c>
      <c r="C3009" s="1" t="str">
        <f>IFERROR(__xludf.DUMMYFUNCTION("""COMPUTED_VALUE"""),"Luther")</f>
        <v>Luther</v>
      </c>
      <c r="D3009" s="1" t="str">
        <f>IFERROR(__xludf.DUMMYFUNCTION("""COMPUTED_VALUE"""),"Sta Romana")</f>
        <v>Sta Romana</v>
      </c>
      <c r="E3009" s="1" t="str">
        <f>IFERROR(__xludf.DUMMYFUNCTION("""COMPUTED_VALUE"""),"Rene G. Alcantara hindi… walang panalo si Lacson … pangulo lang siya…")</f>
        <v>Rene G. Alcantara hindi… walang panalo si Lacson … pangulo lang siya…</v>
      </c>
      <c r="F3009" s="1"/>
      <c r="G3009" s="1" t="str">
        <f>IFERROR(__xludf.DUMMYFUNCTION("""COMPUTED_VALUE"""),"3 mos")</f>
        <v>3 mos</v>
      </c>
      <c r="H3009" s="1" t="str">
        <f>IFERROR(__xludf.DUMMYFUNCTION("""COMPUTED_VALUE"""),"reply")</f>
        <v>reply</v>
      </c>
      <c r="I3009" s="2" t="str">
        <f>IFERROR(__xludf.DUMMYFUNCTION("""COMPUTED_VALUE"""),"https://www.facebook.com/rapplerdotcom/photos/a.317154781638645/5594359700584767/")</f>
        <v>https://www.facebook.com/rapplerdotcom/photos/a.317154781638645/5594359700584767/</v>
      </c>
      <c r="J3009" s="1" t="str">
        <f>IFERROR(__xludf.DUMMYFUNCTION("""COMPUTED_VALUE"""),"2022-07-04T21:38:13.905Z")</f>
        <v>2022-07-04T21:38:13.905Z</v>
      </c>
      <c r="K3009" s="1"/>
    </row>
    <row r="3010">
      <c r="A3010" s="2" t="str">
        <f>IFERROR(__xludf.DUMMYFUNCTION("""COMPUTED_VALUE"""),"https://www.facebook.com/profile.php?id=100047766465936")</f>
        <v>https://www.facebook.com/profile.php?id=100047766465936</v>
      </c>
      <c r="B3010" s="1" t="str">
        <f>IFERROR(__xludf.DUMMYFUNCTION("""COMPUTED_VALUE"""),"Rene G. Alcantara")</f>
        <v>Rene G. Alcantara</v>
      </c>
      <c r="C3010" s="1" t="str">
        <f>IFERROR(__xludf.DUMMYFUNCTION("""COMPUTED_VALUE"""),"Rene")</f>
        <v>Rene</v>
      </c>
      <c r="D3010" s="1" t="str">
        <f>IFERROR(__xludf.DUMMYFUNCTION("""COMPUTED_VALUE"""),"G. Alcantara")</f>
        <v>G. Alcantara</v>
      </c>
      <c r="E3010" s="1" t="str">
        <f>IFERROR(__xludf.DUMMYFUNCTION("""COMPUTED_VALUE"""),"Kahit walang laban ang pinapanigan mo ang mahalaga may pa labra d honor xia. Bakit si len2x ba mananalo yan dyn xia nag ka mali.")</f>
        <v>Kahit walang laban ang pinapanigan mo ang mahalaga may pa labra d honor xia. Bakit si len2x ba mananalo yan dyn xia nag ka mali.</v>
      </c>
      <c r="F3010" s="1"/>
      <c r="G3010" s="1" t="str">
        <f>IFERROR(__xludf.DUMMYFUNCTION("""COMPUTED_VALUE"""),"3 mos")</f>
        <v>3 mos</v>
      </c>
      <c r="H3010" s="1" t="str">
        <f>IFERROR(__xludf.DUMMYFUNCTION("""COMPUTED_VALUE"""),"reply")</f>
        <v>reply</v>
      </c>
      <c r="I3010" s="2" t="str">
        <f>IFERROR(__xludf.DUMMYFUNCTION("""COMPUTED_VALUE"""),"https://www.facebook.com/rapplerdotcom/photos/a.317154781638645/5594359700584767/")</f>
        <v>https://www.facebook.com/rapplerdotcom/photos/a.317154781638645/5594359700584767/</v>
      </c>
      <c r="J3010" s="1" t="str">
        <f>IFERROR(__xludf.DUMMYFUNCTION("""COMPUTED_VALUE"""),"2022-07-04T21:38:13.905Z")</f>
        <v>2022-07-04T21:38:13.905Z</v>
      </c>
      <c r="K3010" s="1"/>
    </row>
    <row r="3011">
      <c r="A3011" s="2" t="str">
        <f>IFERROR(__xludf.DUMMYFUNCTION("""COMPUTED_VALUE"""),"https://www.facebook.com/danilo.betitaleoncito.9")</f>
        <v>https://www.facebook.com/danilo.betitaleoncito.9</v>
      </c>
      <c r="B3011" s="1" t="str">
        <f>IFERROR(__xludf.DUMMYFUNCTION("""COMPUTED_VALUE"""),"Danilo Betita Leoncito")</f>
        <v>Danilo Betita Leoncito</v>
      </c>
      <c r="C3011" s="1" t="str">
        <f>IFERROR(__xludf.DUMMYFUNCTION("""COMPUTED_VALUE"""),"Danilo")</f>
        <v>Danilo</v>
      </c>
      <c r="D3011" s="1" t="str">
        <f>IFERROR(__xludf.DUMMYFUNCTION("""COMPUTED_VALUE"""),"Betita Leoncito")</f>
        <v>Betita Leoncito</v>
      </c>
      <c r="E3011" s="1" t="str">
        <f>IFERROR(__xludf.DUMMYFUNCTION("""COMPUTED_VALUE"""),"Ang kawayan baw.")</f>
        <v>Ang kawayan baw.</v>
      </c>
      <c r="F3011" s="1"/>
      <c r="G3011" s="1" t="str">
        <f>IFERROR(__xludf.DUMMYFUNCTION("""COMPUTED_VALUE"""),"3 mos")</f>
        <v>3 mos</v>
      </c>
      <c r="H3011" s="1" t="str">
        <f>IFERROR(__xludf.DUMMYFUNCTION("""COMPUTED_VALUE"""),"comment")</f>
        <v>comment</v>
      </c>
      <c r="I3011" s="2" t="str">
        <f>IFERROR(__xludf.DUMMYFUNCTION("""COMPUTED_VALUE"""),"https://www.facebook.com/rapplerdotcom/photos/a.317154781638645/5594359700584767/")</f>
        <v>https://www.facebook.com/rapplerdotcom/photos/a.317154781638645/5594359700584767/</v>
      </c>
      <c r="J3011" s="1" t="str">
        <f>IFERROR(__xludf.DUMMYFUNCTION("""COMPUTED_VALUE"""),"2022-07-04T21:38:13.905Z")</f>
        <v>2022-07-04T21:38:13.905Z</v>
      </c>
      <c r="K3011" s="1"/>
    </row>
    <row r="3012">
      <c r="A3012" s="2" t="str">
        <f>IFERROR(__xludf.DUMMYFUNCTION("""COMPUTED_VALUE"""),"https://www.facebook.com/eugene.arat")</f>
        <v>https://www.facebook.com/eugene.arat</v>
      </c>
      <c r="B3012" s="1" t="str">
        <f>IFERROR(__xludf.DUMMYFUNCTION("""COMPUTED_VALUE"""),"Eugene Arat")</f>
        <v>Eugene Arat</v>
      </c>
      <c r="C3012" s="1" t="str">
        <f>IFERROR(__xludf.DUMMYFUNCTION("""COMPUTED_VALUE"""),"Eugene")</f>
        <v>Eugene</v>
      </c>
      <c r="D3012" s="1" t="str">
        <f>IFERROR(__xludf.DUMMYFUNCTION("""COMPUTED_VALUE"""),"Arat")</f>
        <v>Arat</v>
      </c>
      <c r="E3012" s="1" t="str">
        <f>IFERROR(__xludf.DUMMYFUNCTION("""COMPUTED_VALUE"""),"Pera2 lang yang ganyang ang mga politico.")</f>
        <v>Pera2 lang yang ganyang ang mga politico.</v>
      </c>
      <c r="F3012" s="1">
        <f>IFERROR(__xludf.DUMMYFUNCTION("""COMPUTED_VALUE"""),1.0)</f>
        <v>1</v>
      </c>
      <c r="G3012" s="1" t="str">
        <f>IFERROR(__xludf.DUMMYFUNCTION("""COMPUTED_VALUE"""),"3 mos")</f>
        <v>3 mos</v>
      </c>
      <c r="H3012" s="1" t="str">
        <f>IFERROR(__xludf.DUMMYFUNCTION("""COMPUTED_VALUE"""),"comment")</f>
        <v>comment</v>
      </c>
      <c r="I3012" s="2" t="str">
        <f>IFERROR(__xludf.DUMMYFUNCTION("""COMPUTED_VALUE"""),"https://www.facebook.com/rapplerdotcom/photos/a.317154781638645/5594359700584767/")</f>
        <v>https://www.facebook.com/rapplerdotcom/photos/a.317154781638645/5594359700584767/</v>
      </c>
      <c r="J3012" s="1" t="str">
        <f>IFERROR(__xludf.DUMMYFUNCTION("""COMPUTED_VALUE"""),"2022-07-04T21:38:13.905Z")</f>
        <v>2022-07-04T21:38:13.905Z</v>
      </c>
      <c r="K3012" s="1"/>
    </row>
    <row r="3013">
      <c r="A3013" s="2" t="str">
        <f>IFERROR(__xludf.DUMMYFUNCTION("""COMPUTED_VALUE"""),"https://www.facebook.com/rebecca.rupal")</f>
        <v>https://www.facebook.com/rebecca.rupal</v>
      </c>
      <c r="B3013" s="1" t="str">
        <f>IFERROR(__xludf.DUMMYFUNCTION("""COMPUTED_VALUE"""),"Rebecca Gerundio Rupal")</f>
        <v>Rebecca Gerundio Rupal</v>
      </c>
      <c r="C3013" s="1" t="str">
        <f>IFERROR(__xludf.DUMMYFUNCTION("""COMPUTED_VALUE"""),"Rebecca")</f>
        <v>Rebecca</v>
      </c>
      <c r="D3013" s="1" t="str">
        <f>IFERROR(__xludf.DUMMYFUNCTION("""COMPUTED_VALUE"""),"Gerundio Rupal")</f>
        <v>Gerundio Rupal</v>
      </c>
      <c r="E3013" s="1" t="str">
        <f>IFERROR(__xludf.DUMMYFUNCTION("""COMPUTED_VALUE"""),"Langaw Puwa Lubot")</f>
        <v>Langaw Puwa Lubot</v>
      </c>
      <c r="F3013" s="1"/>
      <c r="G3013" s="1" t="str">
        <f>IFERROR(__xludf.DUMMYFUNCTION("""COMPUTED_VALUE"""),"3 mos")</f>
        <v>3 mos</v>
      </c>
      <c r="H3013" s="1" t="str">
        <f>IFERROR(__xludf.DUMMYFUNCTION("""COMPUTED_VALUE"""),"comment")</f>
        <v>comment</v>
      </c>
      <c r="I3013" s="2" t="str">
        <f>IFERROR(__xludf.DUMMYFUNCTION("""COMPUTED_VALUE"""),"https://www.facebook.com/rapplerdotcom/photos/a.317154781638645/5594359700584767/")</f>
        <v>https://www.facebook.com/rapplerdotcom/photos/a.317154781638645/5594359700584767/</v>
      </c>
      <c r="J3013" s="1" t="str">
        <f>IFERROR(__xludf.DUMMYFUNCTION("""COMPUTED_VALUE"""),"2022-07-04T21:38:13.905Z")</f>
        <v>2022-07-04T21:38:13.905Z</v>
      </c>
      <c r="K3013" s="1"/>
    </row>
    <row r="3014">
      <c r="A3014" s="2" t="str">
        <f>IFERROR(__xludf.DUMMYFUNCTION("""COMPUTED_VALUE"""),"https://www.facebook.com/barry.jave")</f>
        <v>https://www.facebook.com/barry.jave</v>
      </c>
      <c r="B3014" s="1" t="str">
        <f>IFERROR(__xludf.DUMMYFUNCTION("""COMPUTED_VALUE"""),"Barry Jave")</f>
        <v>Barry Jave</v>
      </c>
      <c r="C3014" s="1" t="str">
        <f>IFERROR(__xludf.DUMMYFUNCTION("""COMPUTED_VALUE"""),"Barry")</f>
        <v>Barry</v>
      </c>
      <c r="D3014" s="1" t="str">
        <f>IFERROR(__xludf.DUMMYFUNCTION("""COMPUTED_VALUE"""),"Jave")</f>
        <v>Jave</v>
      </c>
      <c r="E3014" s="1" t="str">
        <f>IFERROR(__xludf.DUMMYFUNCTION("""COMPUTED_VALUE"""),"mag plastikan kayo gat gusto nyo! 😁🤦‍♂️")</f>
        <v>mag plastikan kayo gat gusto nyo! 😁🤦‍♂️</v>
      </c>
      <c r="F3014" s="1">
        <f>IFERROR(__xludf.DUMMYFUNCTION("""COMPUTED_VALUE"""),2.0)</f>
        <v>2</v>
      </c>
      <c r="G3014" s="1" t="str">
        <f>IFERROR(__xludf.DUMMYFUNCTION("""COMPUTED_VALUE"""),"3 mos")</f>
        <v>3 mos</v>
      </c>
      <c r="H3014" s="1" t="str">
        <f>IFERROR(__xludf.DUMMYFUNCTION("""COMPUTED_VALUE"""),"comment")</f>
        <v>comment</v>
      </c>
      <c r="I3014" s="2" t="str">
        <f>IFERROR(__xludf.DUMMYFUNCTION("""COMPUTED_VALUE"""),"https://www.facebook.com/rapplerdotcom/photos/a.317154781638645/5594359700584767/")</f>
        <v>https://www.facebook.com/rapplerdotcom/photos/a.317154781638645/5594359700584767/</v>
      </c>
      <c r="J3014" s="1" t="str">
        <f>IFERROR(__xludf.DUMMYFUNCTION("""COMPUTED_VALUE"""),"2022-07-04T21:38:13.905Z")</f>
        <v>2022-07-04T21:38:13.905Z</v>
      </c>
      <c r="K3014" s="1"/>
    </row>
    <row r="3015">
      <c r="A3015" s="2" t="str">
        <f>IFERROR(__xludf.DUMMYFUNCTION("""COMPUTED_VALUE"""),"https://www.facebook.com/pipo.anos.5")</f>
        <v>https://www.facebook.com/pipo.anos.5</v>
      </c>
      <c r="B3015" s="1" t="str">
        <f>IFERROR(__xludf.DUMMYFUNCTION("""COMPUTED_VALUE"""),"Pipo Anos")</f>
        <v>Pipo Anos</v>
      </c>
      <c r="C3015" s="1" t="str">
        <f>IFERROR(__xludf.DUMMYFUNCTION("""COMPUTED_VALUE"""),"Pipo")</f>
        <v>Pipo</v>
      </c>
      <c r="D3015" s="1" t="str">
        <f>IFERROR(__xludf.DUMMYFUNCTION("""COMPUTED_VALUE"""),"Anos")</f>
        <v>Anos</v>
      </c>
      <c r="E3015" s="1" t="str">
        <f>IFERROR(__xludf.DUMMYFUNCTION("""COMPUTED_VALUE"""),"otro sad ni endorso endorso murag korek kgigil")</f>
        <v>otro sad ni endorso endorso murag korek kgigil</v>
      </c>
      <c r="F3015" s="1"/>
      <c r="G3015" s="1" t="str">
        <f>IFERROR(__xludf.DUMMYFUNCTION("""COMPUTED_VALUE"""),"3 mos")</f>
        <v>3 mos</v>
      </c>
      <c r="H3015" s="1" t="str">
        <f>IFERROR(__xludf.DUMMYFUNCTION("""COMPUTED_VALUE"""),"comment")</f>
        <v>comment</v>
      </c>
      <c r="I3015" s="2" t="str">
        <f>IFERROR(__xludf.DUMMYFUNCTION("""COMPUTED_VALUE"""),"https://www.facebook.com/rapplerdotcom/photos/a.317154781638645/5594359700584767/")</f>
        <v>https://www.facebook.com/rapplerdotcom/photos/a.317154781638645/5594359700584767/</v>
      </c>
      <c r="J3015" s="1" t="str">
        <f>IFERROR(__xludf.DUMMYFUNCTION("""COMPUTED_VALUE"""),"2022-07-04T21:38:13.905Z")</f>
        <v>2022-07-04T21:38:13.905Z</v>
      </c>
      <c r="K3015" s="1"/>
    </row>
    <row r="3016">
      <c r="A3016" s="2" t="str">
        <f>IFERROR(__xludf.DUMMYFUNCTION("""COMPUTED_VALUE"""),"https://www.facebook.com/johnhenry.santos.3958")</f>
        <v>https://www.facebook.com/johnhenry.santos.3958</v>
      </c>
      <c r="B3016" s="1" t="str">
        <f>IFERROR(__xludf.DUMMYFUNCTION("""COMPUTED_VALUE"""),"Johnhenry Santos")</f>
        <v>Johnhenry Santos</v>
      </c>
      <c r="C3016" s="1" t="str">
        <f>IFERROR(__xludf.DUMMYFUNCTION("""COMPUTED_VALUE"""),"Johnhenry")</f>
        <v>Johnhenry</v>
      </c>
      <c r="D3016" s="1" t="str">
        <f>IFERROR(__xludf.DUMMYFUNCTION("""COMPUTED_VALUE"""),"Santos")</f>
        <v>Santos</v>
      </c>
      <c r="E3016" s="1" t="str">
        <f>IFERROR(__xludf.DUMMYFUNCTION("""COMPUTED_VALUE"""),"I quote the words of former iloilo mayor ang congeessman og oscar garin of iloilo, wag pasobrahan ng lait or mura ang kalaban mo sa politika dahil someday mgsama kayo sa isang partido.")</f>
        <v>I quote the words of former iloilo mayor ang congeessman og oscar garin of iloilo, wag pasobrahan ng lait or mura ang kalaban mo sa politika dahil someday mgsama kayo sa isang partido.</v>
      </c>
      <c r="F3016" s="1"/>
      <c r="G3016" s="1" t="str">
        <f>IFERROR(__xludf.DUMMYFUNCTION("""COMPUTED_VALUE"""),"3 mos")</f>
        <v>3 mos</v>
      </c>
      <c r="H3016" s="1" t="str">
        <f>IFERROR(__xludf.DUMMYFUNCTION("""COMPUTED_VALUE"""),"comment")</f>
        <v>comment</v>
      </c>
      <c r="I3016" s="2" t="str">
        <f>IFERROR(__xludf.DUMMYFUNCTION("""COMPUTED_VALUE"""),"https://www.facebook.com/rapplerdotcom/photos/a.317154781638645/5594359700584767/")</f>
        <v>https://www.facebook.com/rapplerdotcom/photos/a.317154781638645/5594359700584767/</v>
      </c>
      <c r="J3016" s="1" t="str">
        <f>IFERROR(__xludf.DUMMYFUNCTION("""COMPUTED_VALUE"""),"2022-07-04T21:38:13.905Z")</f>
        <v>2022-07-04T21:38:13.905Z</v>
      </c>
      <c r="K3016" s="1"/>
    </row>
    <row r="3017">
      <c r="A3017" s="2" t="str">
        <f>IFERROR(__xludf.DUMMYFUNCTION("""COMPUTED_VALUE"""),"https://www.facebook.com/angelica.banag")</f>
        <v>https://www.facebook.com/angelica.banag</v>
      </c>
      <c r="B3017" s="1" t="str">
        <f>IFERROR(__xludf.DUMMYFUNCTION("""COMPUTED_VALUE"""),"Angie Banag")</f>
        <v>Angie Banag</v>
      </c>
      <c r="C3017" s="1" t="str">
        <f>IFERROR(__xludf.DUMMYFUNCTION("""COMPUTED_VALUE"""),"Angie")</f>
        <v>Angie</v>
      </c>
      <c r="D3017" s="1" t="str">
        <f>IFERROR(__xludf.DUMMYFUNCTION("""COMPUTED_VALUE"""),"Banag")</f>
        <v>Banag</v>
      </c>
      <c r="E3017" s="1" t="str">
        <f>IFERROR(__xludf.DUMMYFUNCTION("""COMPUTED_VALUE"""),"Balimbing..")</f>
        <v>Balimbing..</v>
      </c>
      <c r="F3017" s="1"/>
      <c r="G3017" s="1" t="str">
        <f>IFERROR(__xludf.DUMMYFUNCTION("""COMPUTED_VALUE"""),"3 mos")</f>
        <v>3 mos</v>
      </c>
      <c r="H3017" s="1" t="str">
        <f>IFERROR(__xludf.DUMMYFUNCTION("""COMPUTED_VALUE"""),"comment")</f>
        <v>comment</v>
      </c>
      <c r="I3017" s="2" t="str">
        <f>IFERROR(__xludf.DUMMYFUNCTION("""COMPUTED_VALUE"""),"https://www.facebook.com/rapplerdotcom/photos/a.317154781638645/5594359700584767/")</f>
        <v>https://www.facebook.com/rapplerdotcom/photos/a.317154781638645/5594359700584767/</v>
      </c>
      <c r="J3017" s="1" t="str">
        <f>IFERROR(__xludf.DUMMYFUNCTION("""COMPUTED_VALUE"""),"2022-07-04T21:38:13.905Z")</f>
        <v>2022-07-04T21:38:13.905Z</v>
      </c>
      <c r="K3017" s="1"/>
    </row>
    <row r="3018">
      <c r="A3018" s="2" t="str">
        <f>IFERROR(__xludf.DUMMYFUNCTION("""COMPUTED_VALUE"""),"https://www.facebook.com/maxbrunofranco")</f>
        <v>https://www.facebook.com/maxbrunofranco</v>
      </c>
      <c r="B3018" s="1" t="str">
        <f>IFERROR(__xludf.DUMMYFUNCTION("""COMPUTED_VALUE"""),"Max Franco")</f>
        <v>Max Franco</v>
      </c>
      <c r="C3018" s="1" t="str">
        <f>IFERROR(__xludf.DUMMYFUNCTION("""COMPUTED_VALUE"""),"Max")</f>
        <v>Max</v>
      </c>
      <c r="D3018" s="1" t="str">
        <f>IFERROR(__xludf.DUMMYFUNCTION("""COMPUTED_VALUE"""),"Franco")</f>
        <v>Franco</v>
      </c>
      <c r="E3018" s="1" t="str">
        <f>IFERROR(__xludf.DUMMYFUNCTION("""COMPUTED_VALUE"""),"Ganyan ang pulitika pag may pakinabang ka sayo ako pero pag nakikita ko na nawawala kana bahala kana sa buhay mo")</f>
        <v>Ganyan ang pulitika pag may pakinabang ka sayo ako pero pag nakikita ko na nawawala kana bahala kana sa buhay mo</v>
      </c>
      <c r="F3018" s="1">
        <f>IFERROR(__xludf.DUMMYFUNCTION("""COMPUTED_VALUE"""),4.0)</f>
        <v>4</v>
      </c>
      <c r="G3018" s="1" t="str">
        <f>IFERROR(__xludf.DUMMYFUNCTION("""COMPUTED_VALUE"""),"3 mos")</f>
        <v>3 mos</v>
      </c>
      <c r="H3018" s="1" t="str">
        <f>IFERROR(__xludf.DUMMYFUNCTION("""COMPUTED_VALUE"""),"comment")</f>
        <v>comment</v>
      </c>
      <c r="I3018" s="2" t="str">
        <f>IFERROR(__xludf.DUMMYFUNCTION("""COMPUTED_VALUE"""),"https://www.facebook.com/rapplerdotcom/photos/a.317154781638645/5594359700584767/")</f>
        <v>https://www.facebook.com/rapplerdotcom/photos/a.317154781638645/5594359700584767/</v>
      </c>
      <c r="J3018" s="1" t="str">
        <f>IFERROR(__xludf.DUMMYFUNCTION("""COMPUTED_VALUE"""),"2022-07-04T21:38:13.905Z")</f>
        <v>2022-07-04T21:38:13.905Z</v>
      </c>
      <c r="K3018" s="1"/>
    </row>
    <row r="3019">
      <c r="A3019" s="2" t="str">
        <f>IFERROR(__xludf.DUMMYFUNCTION("""COMPUTED_VALUE"""),"https://www.facebook.com/julsrey.nioko")</f>
        <v>https://www.facebook.com/julsrey.nioko</v>
      </c>
      <c r="B3019" s="1" t="str">
        <f>IFERROR(__xludf.DUMMYFUNCTION("""COMPUTED_VALUE"""),"Julsrey Nioko")</f>
        <v>Julsrey Nioko</v>
      </c>
      <c r="C3019" s="1" t="str">
        <f>IFERROR(__xludf.DUMMYFUNCTION("""COMPUTED_VALUE"""),"Julsrey")</f>
        <v>Julsrey</v>
      </c>
      <c r="D3019" s="1" t="str">
        <f>IFERROR(__xludf.DUMMYFUNCTION("""COMPUTED_VALUE"""),"Nioko")</f>
        <v>Nioko</v>
      </c>
      <c r="E3019" s="1" t="str">
        <f>IFERROR(__xludf.DUMMYFUNCTION("""COMPUTED_VALUE"""),"Uso ngayon ang Political Butterfly, Paro Paro G")</f>
        <v>Uso ngayon ang Political Butterfly, Paro Paro G</v>
      </c>
      <c r="F3019" s="1">
        <f>IFERROR(__xludf.DUMMYFUNCTION("""COMPUTED_VALUE"""),2.0)</f>
        <v>2</v>
      </c>
      <c r="G3019" s="1" t="str">
        <f>IFERROR(__xludf.DUMMYFUNCTION("""COMPUTED_VALUE"""),"3 mos")</f>
        <v>3 mos</v>
      </c>
      <c r="H3019" s="1" t="str">
        <f>IFERROR(__xludf.DUMMYFUNCTION("""COMPUTED_VALUE"""),"comment")</f>
        <v>comment</v>
      </c>
      <c r="I3019" s="2" t="str">
        <f>IFERROR(__xludf.DUMMYFUNCTION("""COMPUTED_VALUE"""),"https://www.facebook.com/rapplerdotcom/photos/a.317154781638645/5594359700584767/")</f>
        <v>https://www.facebook.com/rapplerdotcom/photos/a.317154781638645/5594359700584767/</v>
      </c>
      <c r="J3019" s="1" t="str">
        <f>IFERROR(__xludf.DUMMYFUNCTION("""COMPUTED_VALUE"""),"2022-07-04T21:38:13.905Z")</f>
        <v>2022-07-04T21:38:13.905Z</v>
      </c>
      <c r="K3019" s="1"/>
    </row>
    <row r="3020">
      <c r="A3020" s="2" t="str">
        <f>IFERROR(__xludf.DUMMYFUNCTION("""COMPUTED_VALUE"""),"https://www.facebook.com/clocie.rinocar")</f>
        <v>https://www.facebook.com/clocie.rinocar</v>
      </c>
      <c r="B3020" s="1" t="str">
        <f>IFERROR(__xludf.DUMMYFUNCTION("""COMPUTED_VALUE"""),"Pinghien Tanxie Hong")</f>
        <v>Pinghien Tanxie Hong</v>
      </c>
      <c r="C3020" s="1" t="str">
        <f>IFERROR(__xludf.DUMMYFUNCTION("""COMPUTED_VALUE"""),"Pinghien")</f>
        <v>Pinghien</v>
      </c>
      <c r="D3020" s="1" t="str">
        <f>IFERROR(__xludf.DUMMYFUNCTION("""COMPUTED_VALUE"""),"Tanxie Hong")</f>
        <v>Tanxie Hong</v>
      </c>
      <c r="E3020" s="1" t="str">
        <f>IFERROR(__xludf.DUMMYFUNCTION("""COMPUTED_VALUE"""),"Julsrey Nioko nman")</f>
        <v>Julsrey Nioko nman</v>
      </c>
      <c r="F3020" s="1"/>
      <c r="G3020" s="1" t="str">
        <f>IFERROR(__xludf.DUMMYFUNCTION("""COMPUTED_VALUE"""),"3 mos")</f>
        <v>3 mos</v>
      </c>
      <c r="H3020" s="1" t="str">
        <f>IFERROR(__xludf.DUMMYFUNCTION("""COMPUTED_VALUE"""),"reply")</f>
        <v>reply</v>
      </c>
      <c r="I3020" s="2" t="str">
        <f>IFERROR(__xludf.DUMMYFUNCTION("""COMPUTED_VALUE"""),"https://www.facebook.com/rapplerdotcom/photos/a.317154781638645/5594359700584767/")</f>
        <v>https://www.facebook.com/rapplerdotcom/photos/a.317154781638645/5594359700584767/</v>
      </c>
      <c r="J3020" s="1" t="str">
        <f>IFERROR(__xludf.DUMMYFUNCTION("""COMPUTED_VALUE"""),"2022-07-04T21:38:13.905Z")</f>
        <v>2022-07-04T21:38:13.905Z</v>
      </c>
      <c r="K3020" s="1"/>
    </row>
    <row r="3021">
      <c r="A3021" s="2" t="str">
        <f>IFERROR(__xludf.DUMMYFUNCTION("""COMPUTED_VALUE"""),"https://www.facebook.com/profile.php?id=100053379136272")</f>
        <v>https://www.facebook.com/profile.php?id=100053379136272</v>
      </c>
      <c r="B3021" s="1" t="str">
        <f>IFERROR(__xludf.DUMMYFUNCTION("""COMPUTED_VALUE"""),"Ernie Ramirez")</f>
        <v>Ernie Ramirez</v>
      </c>
      <c r="C3021" s="1" t="str">
        <f>IFERROR(__xludf.DUMMYFUNCTION("""COMPUTED_VALUE"""),"Ernie")</f>
        <v>Ernie</v>
      </c>
      <c r="D3021" s="1" t="str">
        <f>IFERROR(__xludf.DUMMYFUNCTION("""COMPUTED_VALUE"""),"Ramirez")</f>
        <v>Ramirez</v>
      </c>
      <c r="E3021" s="1" t="str">
        <f>IFERROR(__xludf.DUMMYFUNCTION("""COMPUTED_VALUE"""),"yan ang tunay na balimbing iniiwan lagi ng mga kakampi bakit kaya")</f>
        <v>yan ang tunay na balimbing iniiwan lagi ng mga kakampi bakit kaya</v>
      </c>
      <c r="F3021" s="1"/>
      <c r="G3021" s="1" t="str">
        <f>IFERROR(__xludf.DUMMYFUNCTION("""COMPUTED_VALUE"""),"3 mos")</f>
        <v>3 mos</v>
      </c>
      <c r="H3021" s="1" t="str">
        <f>IFERROR(__xludf.DUMMYFUNCTION("""COMPUTED_VALUE"""),"comment")</f>
        <v>comment</v>
      </c>
      <c r="I3021" s="2" t="str">
        <f>IFERROR(__xludf.DUMMYFUNCTION("""COMPUTED_VALUE"""),"https://www.facebook.com/rapplerdotcom/photos/a.317154781638645/5594359700584767/")</f>
        <v>https://www.facebook.com/rapplerdotcom/photos/a.317154781638645/5594359700584767/</v>
      </c>
      <c r="J3021" s="1" t="str">
        <f>IFERROR(__xludf.DUMMYFUNCTION("""COMPUTED_VALUE"""),"2022-07-04T21:38:13.905Z")</f>
        <v>2022-07-04T21:38:13.905Z</v>
      </c>
      <c r="K3021" s="1"/>
    </row>
    <row r="3022">
      <c r="A3022" s="2" t="str">
        <f>IFERROR(__xludf.DUMMYFUNCTION("""COMPUTED_VALUE"""),"https://www.facebook.com/rebecca.serato.9")</f>
        <v>https://www.facebook.com/rebecca.serato.9</v>
      </c>
      <c r="B3022" s="1" t="str">
        <f>IFERROR(__xludf.DUMMYFUNCTION("""COMPUTED_VALUE"""),"Rebecca Serato")</f>
        <v>Rebecca Serato</v>
      </c>
      <c r="C3022" s="1" t="str">
        <f>IFERROR(__xludf.DUMMYFUNCTION("""COMPUTED_VALUE"""),"Rebecca")</f>
        <v>Rebecca</v>
      </c>
      <c r="D3022" s="1" t="str">
        <f>IFERROR(__xludf.DUMMYFUNCTION("""COMPUTED_VALUE"""),"Serato")</f>
        <v>Serato</v>
      </c>
      <c r="E3022" s="1" t="str">
        <f>IFERROR(__xludf.DUMMYFUNCTION("""COMPUTED_VALUE"""),"Mokhang Per")</f>
        <v>Mokhang Per</v>
      </c>
      <c r="F3022" s="1"/>
      <c r="G3022" s="1" t="str">
        <f>IFERROR(__xludf.DUMMYFUNCTION("""COMPUTED_VALUE"""),"3 mos")</f>
        <v>3 mos</v>
      </c>
      <c r="H3022" s="1" t="str">
        <f>IFERROR(__xludf.DUMMYFUNCTION("""COMPUTED_VALUE"""),"comment")</f>
        <v>comment</v>
      </c>
      <c r="I3022" s="2" t="str">
        <f>IFERROR(__xludf.DUMMYFUNCTION("""COMPUTED_VALUE"""),"https://www.facebook.com/rapplerdotcom/photos/a.317154781638645/5594359700584767/")</f>
        <v>https://www.facebook.com/rapplerdotcom/photos/a.317154781638645/5594359700584767/</v>
      </c>
      <c r="J3022" s="1" t="str">
        <f>IFERROR(__xludf.DUMMYFUNCTION("""COMPUTED_VALUE"""),"2022-07-04T21:38:13.905Z")</f>
        <v>2022-07-04T21:38:13.905Z</v>
      </c>
      <c r="K3022" s="1"/>
    </row>
    <row r="3023">
      <c r="A3023" s="2" t="str">
        <f>IFERROR(__xludf.DUMMYFUNCTION("""COMPUTED_VALUE"""),"https://www.facebook.com/fe.cordero1")</f>
        <v>https://www.facebook.com/fe.cordero1</v>
      </c>
      <c r="B3023" s="1" t="str">
        <f>IFERROR(__xludf.DUMMYFUNCTION("""COMPUTED_VALUE"""),"Fe Cordero")</f>
        <v>Fe Cordero</v>
      </c>
      <c r="C3023" s="1" t="str">
        <f>IFERROR(__xludf.DUMMYFUNCTION("""COMPUTED_VALUE"""),"Fe")</f>
        <v>Fe</v>
      </c>
      <c r="D3023" s="1" t="str">
        <f>IFERROR(__xludf.DUMMYFUNCTION("""COMPUTED_VALUE"""),"Cordero")</f>
        <v>Cordero</v>
      </c>
      <c r="E3023" s="1" t="str">
        <f>IFERROR(__xludf.DUMMYFUNCTION("""COMPUTED_VALUE"""),"Maraming balimbing ngaun! Uso n nmn ang pambansang prutas ng pinas!")</f>
        <v>Maraming balimbing ngaun! Uso n nmn ang pambansang prutas ng pinas!</v>
      </c>
      <c r="F3023" s="1">
        <f>IFERROR(__xludf.DUMMYFUNCTION("""COMPUTED_VALUE"""),1.0)</f>
        <v>1</v>
      </c>
      <c r="G3023" s="1" t="str">
        <f>IFERROR(__xludf.DUMMYFUNCTION("""COMPUTED_VALUE"""),"3 mos")</f>
        <v>3 mos</v>
      </c>
      <c r="H3023" s="1" t="str">
        <f>IFERROR(__xludf.DUMMYFUNCTION("""COMPUTED_VALUE"""),"comment")</f>
        <v>comment</v>
      </c>
      <c r="I3023" s="2" t="str">
        <f>IFERROR(__xludf.DUMMYFUNCTION("""COMPUTED_VALUE"""),"https://www.facebook.com/rapplerdotcom/photos/a.317154781638645/5594359700584767/")</f>
        <v>https://www.facebook.com/rapplerdotcom/photos/a.317154781638645/5594359700584767/</v>
      </c>
      <c r="J3023" s="1" t="str">
        <f>IFERROR(__xludf.DUMMYFUNCTION("""COMPUTED_VALUE"""),"2022-07-04T21:38:13.905Z")</f>
        <v>2022-07-04T21:38:13.905Z</v>
      </c>
      <c r="K3023" s="1"/>
    </row>
    <row r="3024">
      <c r="A3024" s="2" t="str">
        <f>IFERROR(__xludf.DUMMYFUNCTION("""COMPUTED_VALUE"""),"https://www.facebook.com/roland.romero.39")</f>
        <v>https://www.facebook.com/roland.romero.39</v>
      </c>
      <c r="B3024" s="1" t="str">
        <f>IFERROR(__xludf.DUMMYFUNCTION("""COMPUTED_VALUE"""),"Roland Romero")</f>
        <v>Roland Romero</v>
      </c>
      <c r="C3024" s="1" t="str">
        <f>IFERROR(__xludf.DUMMYFUNCTION("""COMPUTED_VALUE"""),"Roland")</f>
        <v>Roland</v>
      </c>
      <c r="D3024" s="1" t="str">
        <f>IFERROR(__xludf.DUMMYFUNCTION("""COMPUTED_VALUE"""),"Romero")</f>
        <v>Romero</v>
      </c>
      <c r="E3024" s="1" t="str">
        <f>IFERROR(__xludf.DUMMYFUNCTION("""COMPUTED_VALUE"""),"Ingat, ingat...")</f>
        <v>Ingat, ingat...</v>
      </c>
      <c r="F3024" s="1"/>
      <c r="G3024" s="1" t="str">
        <f>IFERROR(__xludf.DUMMYFUNCTION("""COMPUTED_VALUE"""),"3 mos")</f>
        <v>3 mos</v>
      </c>
      <c r="H3024" s="1" t="str">
        <f>IFERROR(__xludf.DUMMYFUNCTION("""COMPUTED_VALUE"""),"comment")</f>
        <v>comment</v>
      </c>
      <c r="I3024" s="2" t="str">
        <f>IFERROR(__xludf.DUMMYFUNCTION("""COMPUTED_VALUE"""),"https://www.facebook.com/rapplerdotcom/photos/a.317154781638645/5594359700584767/")</f>
        <v>https://www.facebook.com/rapplerdotcom/photos/a.317154781638645/5594359700584767/</v>
      </c>
      <c r="J3024" s="1" t="str">
        <f>IFERROR(__xludf.DUMMYFUNCTION("""COMPUTED_VALUE"""),"2022-07-04T21:38:13.905Z")</f>
        <v>2022-07-04T21:38:13.905Z</v>
      </c>
      <c r="K3024" s="1"/>
    </row>
    <row r="3025">
      <c r="A3025" s="2" t="str">
        <f>IFERROR(__xludf.DUMMYFUNCTION("""COMPUTED_VALUE"""),"https://www.facebook.com/eramc.cuaton")</f>
        <v>https://www.facebook.com/eramc.cuaton</v>
      </c>
      <c r="B3025" s="1" t="str">
        <f>IFERROR(__xludf.DUMMYFUNCTION("""COMPUTED_VALUE"""),"Mera Jing Cuaton")</f>
        <v>Mera Jing Cuaton</v>
      </c>
      <c r="C3025" s="1" t="str">
        <f>IFERROR(__xludf.DUMMYFUNCTION("""COMPUTED_VALUE"""),"Mera")</f>
        <v>Mera</v>
      </c>
      <c r="D3025" s="1" t="str">
        <f>IFERROR(__xludf.DUMMYFUNCTION("""COMPUTED_VALUE"""),"Jing Cuaton")</f>
        <v>Jing Cuaton</v>
      </c>
      <c r="E3025" s="1" t="str">
        <f>IFERROR(__xludf.DUMMYFUNCTION("""COMPUTED_VALUE"""),"iba maglaro ang mga trapong politiko..careful lang po VP...")</f>
        <v>iba maglaro ang mga trapong politiko..careful lang po VP...</v>
      </c>
      <c r="F3025" s="1">
        <f>IFERROR(__xludf.DUMMYFUNCTION("""COMPUTED_VALUE"""),2.0)</f>
        <v>2</v>
      </c>
      <c r="G3025" s="1" t="str">
        <f>IFERROR(__xludf.DUMMYFUNCTION("""COMPUTED_VALUE"""),"3 mos")</f>
        <v>3 mos</v>
      </c>
      <c r="H3025" s="1" t="str">
        <f>IFERROR(__xludf.DUMMYFUNCTION("""COMPUTED_VALUE"""),"comment")</f>
        <v>comment</v>
      </c>
      <c r="I3025" s="2" t="str">
        <f>IFERROR(__xludf.DUMMYFUNCTION("""COMPUTED_VALUE"""),"https://www.facebook.com/rapplerdotcom/photos/a.317154781638645/5594359700584767/")</f>
        <v>https://www.facebook.com/rapplerdotcom/photos/a.317154781638645/5594359700584767/</v>
      </c>
      <c r="J3025" s="1" t="str">
        <f>IFERROR(__xludf.DUMMYFUNCTION("""COMPUTED_VALUE"""),"2022-07-04T21:38:13.905Z")</f>
        <v>2022-07-04T21:38:13.905Z</v>
      </c>
      <c r="K3025" s="1"/>
    </row>
    <row r="3026">
      <c r="A3026" s="2" t="str">
        <f>IFERROR(__xludf.DUMMYFUNCTION("""COMPUTED_VALUE"""),"https://www.facebook.com/danilo.mica")</f>
        <v>https://www.facebook.com/danilo.mica</v>
      </c>
      <c r="B3026" s="1" t="str">
        <f>IFERROR(__xludf.DUMMYFUNCTION("""COMPUTED_VALUE"""),"Dan Mike Matt Mica")</f>
        <v>Dan Mike Matt Mica</v>
      </c>
      <c r="C3026" s="1" t="str">
        <f>IFERROR(__xludf.DUMMYFUNCTION("""COMPUTED_VALUE"""),"Dan")</f>
        <v>Dan</v>
      </c>
      <c r="D3026" s="1" t="str">
        <f>IFERROR(__xludf.DUMMYFUNCTION("""COMPUTED_VALUE"""),"Mike Matt Mica")</f>
        <v>Mike Matt Mica</v>
      </c>
      <c r="E3026" s="1" t="str">
        <f>IFERROR(__xludf.DUMMYFUNCTION("""COMPUTED_VALUE"""),"Yan ang tinatawag na lumabas na ang tunay na color hahaha")</f>
        <v>Yan ang tinatawag na lumabas na ang tunay na color hahaha</v>
      </c>
      <c r="F3026" s="1"/>
      <c r="G3026" s="1" t="str">
        <f>IFERROR(__xludf.DUMMYFUNCTION("""COMPUTED_VALUE"""),"3 mos")</f>
        <v>3 mos</v>
      </c>
      <c r="H3026" s="1" t="str">
        <f>IFERROR(__xludf.DUMMYFUNCTION("""COMPUTED_VALUE"""),"comment")</f>
        <v>comment</v>
      </c>
      <c r="I3026" s="2" t="str">
        <f>IFERROR(__xludf.DUMMYFUNCTION("""COMPUTED_VALUE"""),"https://www.facebook.com/rapplerdotcom/photos/a.317154781638645/5594359700584767/")</f>
        <v>https://www.facebook.com/rapplerdotcom/photos/a.317154781638645/5594359700584767/</v>
      </c>
      <c r="J3026" s="1" t="str">
        <f>IFERROR(__xludf.DUMMYFUNCTION("""COMPUTED_VALUE"""),"2022-07-04T21:38:13.905Z")</f>
        <v>2022-07-04T21:38:13.905Z</v>
      </c>
      <c r="K3026" s="1"/>
    </row>
    <row r="3027">
      <c r="A3027" s="2" t="str">
        <f>IFERROR(__xludf.DUMMYFUNCTION("""COMPUTED_VALUE"""),"https://www.facebook.com/rodolfo.dampios.1")</f>
        <v>https://www.facebook.com/rodolfo.dampios.1</v>
      </c>
      <c r="B3027" s="1" t="str">
        <f>IFERROR(__xludf.DUMMYFUNCTION("""COMPUTED_VALUE"""),"Dampios Rudy")</f>
        <v>Dampios Rudy</v>
      </c>
      <c r="C3027" s="1" t="str">
        <f>IFERROR(__xludf.DUMMYFUNCTION("""COMPUTED_VALUE"""),"Dampios")</f>
        <v>Dampios</v>
      </c>
      <c r="D3027" s="1" t="str">
        <f>IFERROR(__xludf.DUMMYFUNCTION("""COMPUTED_VALUE"""),"Rudy")</f>
        <v>Rudy</v>
      </c>
      <c r="E3027" s="1" t="str">
        <f>IFERROR(__xludf.DUMMYFUNCTION("""COMPUTED_VALUE"""),"Sana wala ng  dayaan muli..magaganap sana pumarehas na.")</f>
        <v>Sana wala ng  dayaan muli..magaganap sana pumarehas na.</v>
      </c>
      <c r="F3027" s="1"/>
      <c r="G3027" s="1" t="str">
        <f>IFERROR(__xludf.DUMMYFUNCTION("""COMPUTED_VALUE"""),"3 mos")</f>
        <v>3 mos</v>
      </c>
      <c r="H3027" s="1" t="str">
        <f>IFERROR(__xludf.DUMMYFUNCTION("""COMPUTED_VALUE"""),"comment")</f>
        <v>comment</v>
      </c>
      <c r="I3027" s="2" t="str">
        <f>IFERROR(__xludf.DUMMYFUNCTION("""COMPUTED_VALUE"""),"https://www.facebook.com/rapplerdotcom/photos/a.317154781638645/5594359700584767/")</f>
        <v>https://www.facebook.com/rapplerdotcom/photos/a.317154781638645/5594359700584767/</v>
      </c>
      <c r="J3027" s="1" t="str">
        <f>IFERROR(__xludf.DUMMYFUNCTION("""COMPUTED_VALUE"""),"2022-07-04T21:38:13.905Z")</f>
        <v>2022-07-04T21:38:13.905Z</v>
      </c>
      <c r="K3027" s="1"/>
    </row>
    <row r="3028">
      <c r="A3028" s="2" t="str">
        <f>IFERROR(__xludf.DUMMYFUNCTION("""COMPUTED_VALUE"""),"https://www.facebook.com/mayonggarcia")</f>
        <v>https://www.facebook.com/mayonggarcia</v>
      </c>
      <c r="B3028" s="1" t="str">
        <f>IFERROR(__xludf.DUMMYFUNCTION("""COMPUTED_VALUE"""),"Mayong Garcia")</f>
        <v>Mayong Garcia</v>
      </c>
      <c r="C3028" s="1" t="str">
        <f>IFERROR(__xludf.DUMMYFUNCTION("""COMPUTED_VALUE"""),"Mayong")</f>
        <v>Mayong</v>
      </c>
      <c r="D3028" s="1" t="str">
        <f>IFERROR(__xludf.DUMMYFUNCTION("""COMPUTED_VALUE"""),"Garcia")</f>
        <v>Garcia</v>
      </c>
      <c r="E3028" s="1" t="str">
        <f>IFERROR(__xludf.DUMMYFUNCTION("""COMPUTED_VALUE"""),"Nkktakot...sobra balimbing...")</f>
        <v>Nkktakot...sobra balimbing...</v>
      </c>
      <c r="F3028" s="1">
        <f>IFERROR(__xludf.DUMMYFUNCTION("""COMPUTED_VALUE"""),2.0)</f>
        <v>2</v>
      </c>
      <c r="G3028" s="1" t="str">
        <f>IFERROR(__xludf.DUMMYFUNCTION("""COMPUTED_VALUE"""),"3 mos")</f>
        <v>3 mos</v>
      </c>
      <c r="H3028" s="1" t="str">
        <f>IFERROR(__xludf.DUMMYFUNCTION("""COMPUTED_VALUE"""),"comment")</f>
        <v>comment</v>
      </c>
      <c r="I3028" s="2" t="str">
        <f>IFERROR(__xludf.DUMMYFUNCTION("""COMPUTED_VALUE"""),"https://www.facebook.com/rapplerdotcom/photos/a.317154781638645/5594359700584767/")</f>
        <v>https://www.facebook.com/rapplerdotcom/photos/a.317154781638645/5594359700584767/</v>
      </c>
      <c r="J3028" s="1" t="str">
        <f>IFERROR(__xludf.DUMMYFUNCTION("""COMPUTED_VALUE"""),"2022-07-04T21:38:13.905Z")</f>
        <v>2022-07-04T21:38:13.905Z</v>
      </c>
      <c r="K3028" s="1"/>
    </row>
    <row r="3029">
      <c r="A3029" s="2" t="str">
        <f>IFERROR(__xludf.DUMMYFUNCTION("""COMPUTED_VALUE"""),"https://www.facebook.com/profile.php?id=100072849818660")</f>
        <v>https://www.facebook.com/profile.php?id=100072849818660</v>
      </c>
      <c r="B3029" s="1" t="str">
        <f>IFERROR(__xludf.DUMMYFUNCTION("""COMPUTED_VALUE"""),"Danilo Gacelo")</f>
        <v>Danilo Gacelo</v>
      </c>
      <c r="C3029" s="1" t="str">
        <f>IFERROR(__xludf.DUMMYFUNCTION("""COMPUTED_VALUE"""),"Danilo")</f>
        <v>Danilo</v>
      </c>
      <c r="D3029" s="1" t="str">
        <f>IFERROR(__xludf.DUMMYFUNCTION("""COMPUTED_VALUE"""),"Gacelo")</f>
        <v>Gacelo</v>
      </c>
      <c r="E3029" s="1" t="str">
        <f>IFERROR(__xludf.DUMMYFUNCTION("""COMPUTED_VALUE"""),"walang puwersa yan kahit sumama pa yan sa pink wala ng matatakbuhan")</f>
        <v>walang puwersa yan kahit sumama pa yan sa pink wala ng matatakbuhan</v>
      </c>
      <c r="F3029" s="1"/>
      <c r="G3029" s="1" t="str">
        <f>IFERROR(__xludf.DUMMYFUNCTION("""COMPUTED_VALUE"""),"3 mos")</f>
        <v>3 mos</v>
      </c>
      <c r="H3029" s="1" t="str">
        <f>IFERROR(__xludf.DUMMYFUNCTION("""COMPUTED_VALUE"""),"comment")</f>
        <v>comment</v>
      </c>
      <c r="I3029" s="2" t="str">
        <f>IFERROR(__xludf.DUMMYFUNCTION("""COMPUTED_VALUE"""),"https://www.facebook.com/rapplerdotcom/photos/a.317154781638645/5594359700584767/")</f>
        <v>https://www.facebook.com/rapplerdotcom/photos/a.317154781638645/5594359700584767/</v>
      </c>
      <c r="J3029" s="1" t="str">
        <f>IFERROR(__xludf.DUMMYFUNCTION("""COMPUTED_VALUE"""),"2022-07-04T21:38:13.905Z")</f>
        <v>2022-07-04T21:38:13.905Z</v>
      </c>
      <c r="K3029" s="1"/>
    </row>
    <row r="3030">
      <c r="A3030" s="2" t="str">
        <f>IFERROR(__xludf.DUMMYFUNCTION("""COMPUTED_VALUE"""),"https://www.facebook.com/tony.alcazar.127")</f>
        <v>https://www.facebook.com/tony.alcazar.127</v>
      </c>
      <c r="B3030" s="1" t="str">
        <f>IFERROR(__xludf.DUMMYFUNCTION("""COMPUTED_VALUE"""),"Tony Alcazar")</f>
        <v>Tony Alcazar</v>
      </c>
      <c r="C3030" s="1" t="str">
        <f>IFERROR(__xludf.DUMMYFUNCTION("""COMPUTED_VALUE"""),"Tony")</f>
        <v>Tony</v>
      </c>
      <c r="D3030" s="1" t="str">
        <f>IFERROR(__xludf.DUMMYFUNCTION("""COMPUTED_VALUE"""),"Alcazar")</f>
        <v>Alcazar</v>
      </c>
      <c r="E3030" s="1" t="str">
        <f>IFERROR(__xludf.DUMMYFUNCTION("""COMPUTED_VALUE"""),"NAKAREALIZE SI PANTALON. Palit barko. Alis sa mga Pirata")</f>
        <v>NAKAREALIZE SI PANTALON. Palit barko. Alis sa mga Pirata</v>
      </c>
      <c r="F3030" s="1"/>
      <c r="G3030" s="1" t="str">
        <f>IFERROR(__xludf.DUMMYFUNCTION("""COMPUTED_VALUE"""),"3 mos")</f>
        <v>3 mos</v>
      </c>
      <c r="H3030" s="1" t="str">
        <f>IFERROR(__xludf.DUMMYFUNCTION("""COMPUTED_VALUE"""),"comment")</f>
        <v>comment</v>
      </c>
      <c r="I3030" s="2" t="str">
        <f>IFERROR(__xludf.DUMMYFUNCTION("""COMPUTED_VALUE"""),"https://www.facebook.com/rapplerdotcom/photos/a.317154781638645/5594359700584767/")</f>
        <v>https://www.facebook.com/rapplerdotcom/photos/a.317154781638645/5594359700584767/</v>
      </c>
      <c r="J3030" s="1" t="str">
        <f>IFERROR(__xludf.DUMMYFUNCTION("""COMPUTED_VALUE"""),"2022-07-04T21:38:13.905Z")</f>
        <v>2022-07-04T21:38:13.905Z</v>
      </c>
      <c r="K3030" s="1"/>
    </row>
    <row r="3031">
      <c r="A3031" s="2" t="str">
        <f>IFERROR(__xludf.DUMMYFUNCTION("""COMPUTED_VALUE"""),"https://www.facebook.com/johnhenry.santos.3958")</f>
        <v>https://www.facebook.com/johnhenry.santos.3958</v>
      </c>
      <c r="B3031" s="1" t="str">
        <f>IFERROR(__xludf.DUMMYFUNCTION("""COMPUTED_VALUE"""),"Johnhenry Santos")</f>
        <v>Johnhenry Santos</v>
      </c>
      <c r="C3031" s="1" t="str">
        <f>IFERROR(__xludf.DUMMYFUNCTION("""COMPUTED_VALUE"""),"Johnhenry")</f>
        <v>Johnhenry</v>
      </c>
      <c r="D3031" s="1" t="str">
        <f>IFERROR(__xludf.DUMMYFUNCTION("""COMPUTED_VALUE"""),"Santos")</f>
        <v>Santos</v>
      </c>
      <c r="E3031" s="1" t="str">
        <f>IFERROR(__xludf.DUMMYFUNCTION("""COMPUTED_VALUE"""),"Sipsip c alvarez wag nyo botohin")</f>
        <v>Sipsip c alvarez wag nyo botohin</v>
      </c>
      <c r="F3031" s="1"/>
      <c r="G3031" s="1" t="str">
        <f>IFERROR(__xludf.DUMMYFUNCTION("""COMPUTED_VALUE"""),"3 mos")</f>
        <v>3 mos</v>
      </c>
      <c r="H3031" s="1" t="str">
        <f>IFERROR(__xludf.DUMMYFUNCTION("""COMPUTED_VALUE"""),"comment")</f>
        <v>comment</v>
      </c>
      <c r="I3031" s="2" t="str">
        <f>IFERROR(__xludf.DUMMYFUNCTION("""COMPUTED_VALUE"""),"https://www.facebook.com/rapplerdotcom/photos/a.317154781638645/5594359700584767/")</f>
        <v>https://www.facebook.com/rapplerdotcom/photos/a.317154781638645/5594359700584767/</v>
      </c>
      <c r="J3031" s="1" t="str">
        <f>IFERROR(__xludf.DUMMYFUNCTION("""COMPUTED_VALUE"""),"2022-07-04T21:38:13.905Z")</f>
        <v>2022-07-04T21:38:13.905Z</v>
      </c>
      <c r="K3031" s="1"/>
    </row>
    <row r="3032">
      <c r="A3032" s="2" t="str">
        <f>IFERROR(__xludf.DUMMYFUNCTION("""COMPUTED_VALUE"""),"https://www.facebook.com/profile.php?id=100061205663342")</f>
        <v>https://www.facebook.com/profile.php?id=100061205663342</v>
      </c>
      <c r="B3032" s="1" t="str">
        <f>IFERROR(__xludf.DUMMYFUNCTION("""COMPUTED_VALUE"""),"Ernesto Perez")</f>
        <v>Ernesto Perez</v>
      </c>
      <c r="C3032" s="1" t="str">
        <f>IFERROR(__xludf.DUMMYFUNCTION("""COMPUTED_VALUE"""),"Ernesto")</f>
        <v>Ernesto</v>
      </c>
      <c r="D3032" s="1" t="str">
        <f>IFERROR(__xludf.DUMMYFUNCTION("""COMPUTED_VALUE"""),"Perez")</f>
        <v>Perez</v>
      </c>
      <c r="E3032" s="1" t="str">
        <f>IFERROR(__xludf.DUMMYFUNCTION("""COMPUTED_VALUE"""),"Ganyan ang mga pulitiko bumabalimbing pag alam na tumatagilid na ung bangka")</f>
        <v>Ganyan ang mga pulitiko bumabalimbing pag alam na tumatagilid na ung bangka</v>
      </c>
      <c r="F3032" s="1"/>
      <c r="G3032" s="1" t="str">
        <f>IFERROR(__xludf.DUMMYFUNCTION("""COMPUTED_VALUE"""),"3 mos")</f>
        <v>3 mos</v>
      </c>
      <c r="H3032" s="1" t="str">
        <f>IFERROR(__xludf.DUMMYFUNCTION("""COMPUTED_VALUE"""),"comment")</f>
        <v>comment</v>
      </c>
      <c r="I3032" s="2" t="str">
        <f>IFERROR(__xludf.DUMMYFUNCTION("""COMPUTED_VALUE"""),"https://www.facebook.com/rapplerdotcom/photos/a.317154781638645/5594359700584767/")</f>
        <v>https://www.facebook.com/rapplerdotcom/photos/a.317154781638645/5594359700584767/</v>
      </c>
      <c r="J3032" s="1" t="str">
        <f>IFERROR(__xludf.DUMMYFUNCTION("""COMPUTED_VALUE"""),"2022-07-04T21:38:13.905Z")</f>
        <v>2022-07-04T21:38:13.905Z</v>
      </c>
      <c r="K3032" s="1"/>
    </row>
    <row r="3033">
      <c r="A3033" s="2" t="str">
        <f>IFERROR(__xludf.DUMMYFUNCTION("""COMPUTED_VALUE"""),"https://www.facebook.com/noberto.montuya.9")</f>
        <v>https://www.facebook.com/noberto.montuya.9</v>
      </c>
      <c r="B3033" s="1" t="str">
        <f>IFERROR(__xludf.DUMMYFUNCTION("""COMPUTED_VALUE"""),"Noberto Montuya")</f>
        <v>Noberto Montuya</v>
      </c>
      <c r="C3033" s="1" t="str">
        <f>IFERROR(__xludf.DUMMYFUNCTION("""COMPUTED_VALUE"""),"Noberto")</f>
        <v>Noberto</v>
      </c>
      <c r="D3033" s="1" t="str">
        <f>IFERROR(__xludf.DUMMYFUNCTION("""COMPUTED_VALUE"""),"Montuya")</f>
        <v>Montuya</v>
      </c>
      <c r="E3033" s="1" t="str">
        <f>IFERROR(__xludf.DUMMYFUNCTION("""COMPUTED_VALUE"""),"Bingbalim, tawag jn,,")</f>
        <v>Bingbalim, tawag jn,,</v>
      </c>
      <c r="F3033" s="1"/>
      <c r="G3033" s="1" t="str">
        <f>IFERROR(__xludf.DUMMYFUNCTION("""COMPUTED_VALUE"""),"3 mos")</f>
        <v>3 mos</v>
      </c>
      <c r="H3033" s="1" t="str">
        <f>IFERROR(__xludf.DUMMYFUNCTION("""COMPUTED_VALUE"""),"comment")</f>
        <v>comment</v>
      </c>
      <c r="I3033" s="2" t="str">
        <f>IFERROR(__xludf.DUMMYFUNCTION("""COMPUTED_VALUE"""),"https://www.facebook.com/rapplerdotcom/photos/a.317154781638645/5594359700584767/")</f>
        <v>https://www.facebook.com/rapplerdotcom/photos/a.317154781638645/5594359700584767/</v>
      </c>
      <c r="J3033" s="1" t="str">
        <f>IFERROR(__xludf.DUMMYFUNCTION("""COMPUTED_VALUE"""),"2022-07-04T21:38:13.905Z")</f>
        <v>2022-07-04T21:38:13.905Z</v>
      </c>
      <c r="K3033" s="1"/>
    </row>
    <row r="3034">
      <c r="A3034" s="2" t="str">
        <f>IFERROR(__xludf.DUMMYFUNCTION("""COMPUTED_VALUE"""),"https://www.facebook.com/teri.j.li")</f>
        <v>https://www.facebook.com/teri.j.li</v>
      </c>
      <c r="B3034" s="1" t="str">
        <f>IFERROR(__xludf.DUMMYFUNCTION("""COMPUTED_VALUE"""),"Teri Juban Li")</f>
        <v>Teri Juban Li</v>
      </c>
      <c r="C3034" s="1" t="str">
        <f>IFERROR(__xludf.DUMMYFUNCTION("""COMPUTED_VALUE"""),"Teri")</f>
        <v>Teri</v>
      </c>
      <c r="D3034" s="1" t="str">
        <f>IFERROR(__xludf.DUMMYFUNCTION("""COMPUTED_VALUE"""),"Juban Li")</f>
        <v>Juban Li</v>
      </c>
      <c r="E3034" s="1" t="str">
        <f>IFERROR(__xludf.DUMMYFUNCTION("""COMPUTED_VALUE"""),"Ang Pambansang Balimbjng😅😅🤣")</f>
        <v>Ang Pambansang Balimbjng😅😅🤣</v>
      </c>
      <c r="F3034" s="1"/>
      <c r="G3034" s="1" t="str">
        <f>IFERROR(__xludf.DUMMYFUNCTION("""COMPUTED_VALUE"""),"3 mos")</f>
        <v>3 mos</v>
      </c>
      <c r="H3034" s="1" t="str">
        <f>IFERROR(__xludf.DUMMYFUNCTION("""COMPUTED_VALUE"""),"comment")</f>
        <v>comment</v>
      </c>
      <c r="I3034" s="2" t="str">
        <f>IFERROR(__xludf.DUMMYFUNCTION("""COMPUTED_VALUE"""),"https://www.facebook.com/rapplerdotcom/photos/a.317154781638645/5594359700584767/")</f>
        <v>https://www.facebook.com/rapplerdotcom/photos/a.317154781638645/5594359700584767/</v>
      </c>
      <c r="J3034" s="1" t="str">
        <f>IFERROR(__xludf.DUMMYFUNCTION("""COMPUTED_VALUE"""),"2022-07-04T21:38:13.905Z")</f>
        <v>2022-07-04T21:38:13.905Z</v>
      </c>
      <c r="K3034" s="1"/>
    </row>
    <row r="3035">
      <c r="A3035" s="2" t="str">
        <f>IFERROR(__xludf.DUMMYFUNCTION("""COMPUTED_VALUE"""),"https://www.facebook.com/fotee.rimas")</f>
        <v>https://www.facebook.com/fotee.rimas</v>
      </c>
      <c r="B3035" s="1" t="str">
        <f>IFERROR(__xludf.DUMMYFUNCTION("""COMPUTED_VALUE"""),"Fotee Rimas")</f>
        <v>Fotee Rimas</v>
      </c>
      <c r="C3035" s="1" t="str">
        <f>IFERROR(__xludf.DUMMYFUNCTION("""COMPUTED_VALUE"""),"Fotee")</f>
        <v>Fotee</v>
      </c>
      <c r="D3035" s="1" t="str">
        <f>IFERROR(__xludf.DUMMYFUNCTION("""COMPUTED_VALUE"""),"Rimas")</f>
        <v>Rimas</v>
      </c>
      <c r="E3035" s="1" t="str">
        <f>IFERROR(__xludf.DUMMYFUNCTION("""COMPUTED_VALUE"""),"Opportunista balimbing traydor yn sya pwe")</f>
        <v>Opportunista balimbing traydor yn sya pwe</v>
      </c>
      <c r="F3035" s="1"/>
      <c r="G3035" s="1" t="str">
        <f>IFERROR(__xludf.DUMMYFUNCTION("""COMPUTED_VALUE"""),"3 mos")</f>
        <v>3 mos</v>
      </c>
      <c r="H3035" s="1" t="str">
        <f>IFERROR(__xludf.DUMMYFUNCTION("""COMPUTED_VALUE"""),"comment")</f>
        <v>comment</v>
      </c>
      <c r="I3035" s="2" t="str">
        <f>IFERROR(__xludf.DUMMYFUNCTION("""COMPUTED_VALUE"""),"https://www.facebook.com/rapplerdotcom/photos/a.317154781638645/5594359700584767/")</f>
        <v>https://www.facebook.com/rapplerdotcom/photos/a.317154781638645/5594359700584767/</v>
      </c>
      <c r="J3035" s="1" t="str">
        <f>IFERROR(__xludf.DUMMYFUNCTION("""COMPUTED_VALUE"""),"2022-07-04T21:38:13.905Z")</f>
        <v>2022-07-04T21:38:13.905Z</v>
      </c>
      <c r="K3035" s="1"/>
    </row>
    <row r="3036">
      <c r="A3036" s="2" t="str">
        <f>IFERROR(__xludf.DUMMYFUNCTION("""COMPUTED_VALUE"""),"https://www.facebook.com/raymondpastoral")</f>
        <v>https://www.facebook.com/raymondpastoral</v>
      </c>
      <c r="B3036" s="1" t="str">
        <f>IFERROR(__xludf.DUMMYFUNCTION("""COMPUTED_VALUE"""),"Raymond Pastoral")</f>
        <v>Raymond Pastoral</v>
      </c>
      <c r="C3036" s="1" t="str">
        <f>IFERROR(__xludf.DUMMYFUNCTION("""COMPUTED_VALUE"""),"Raymond")</f>
        <v>Raymond</v>
      </c>
      <c r="D3036" s="1" t="str">
        <f>IFERROR(__xludf.DUMMYFUNCTION("""COMPUTED_VALUE"""),"Pastoral")</f>
        <v>Pastoral</v>
      </c>
      <c r="E3036" s="1" t="str">
        <f>IFERROR(__xludf.DUMMYFUNCTION("""COMPUTED_VALUE"""),"Awit.")</f>
        <v>Awit.</v>
      </c>
      <c r="F3036" s="1"/>
      <c r="G3036" s="1" t="str">
        <f>IFERROR(__xludf.DUMMYFUNCTION("""COMPUTED_VALUE"""),"3 mos")</f>
        <v>3 mos</v>
      </c>
      <c r="H3036" s="1" t="str">
        <f>IFERROR(__xludf.DUMMYFUNCTION("""COMPUTED_VALUE"""),"comment")</f>
        <v>comment</v>
      </c>
      <c r="I3036" s="2" t="str">
        <f>IFERROR(__xludf.DUMMYFUNCTION("""COMPUTED_VALUE"""),"https://www.facebook.com/rapplerdotcom/photos/a.317154781638645/5594359700584767/")</f>
        <v>https://www.facebook.com/rapplerdotcom/photos/a.317154781638645/5594359700584767/</v>
      </c>
      <c r="J3036" s="1" t="str">
        <f>IFERROR(__xludf.DUMMYFUNCTION("""COMPUTED_VALUE"""),"2022-07-04T21:38:13.905Z")</f>
        <v>2022-07-04T21:38:13.905Z</v>
      </c>
      <c r="K3036" s="1"/>
    </row>
    <row r="3037">
      <c r="A3037" s="2" t="str">
        <f>IFERROR(__xludf.DUMMYFUNCTION("""COMPUTED_VALUE"""),"https://www.facebook.com/alex.wabinga")</f>
        <v>https://www.facebook.com/alex.wabinga</v>
      </c>
      <c r="B3037" s="1" t="str">
        <f>IFERROR(__xludf.DUMMYFUNCTION("""COMPUTED_VALUE"""),"Alex Wabinga")</f>
        <v>Alex Wabinga</v>
      </c>
      <c r="C3037" s="1" t="str">
        <f>IFERROR(__xludf.DUMMYFUNCTION("""COMPUTED_VALUE"""),"Alex")</f>
        <v>Alex</v>
      </c>
      <c r="D3037" s="1" t="str">
        <f>IFERROR(__xludf.DUMMYFUNCTION("""COMPUTED_VALUE"""),"Wabinga")</f>
        <v>Wabinga</v>
      </c>
      <c r="E3037" s="1" t="str">
        <f>IFERROR(__xludf.DUMMYFUNCTION("""COMPUTED_VALUE"""),"Hahahaha politika talaga ohhhh ang kulit!!!!!!")</f>
        <v>Hahahaha politika talaga ohhhh ang kulit!!!!!!</v>
      </c>
      <c r="F3037" s="1"/>
      <c r="G3037" s="1" t="str">
        <f>IFERROR(__xludf.DUMMYFUNCTION("""COMPUTED_VALUE"""),"3 mos")</f>
        <v>3 mos</v>
      </c>
      <c r="H3037" s="1" t="str">
        <f>IFERROR(__xludf.DUMMYFUNCTION("""COMPUTED_VALUE"""),"comment")</f>
        <v>comment</v>
      </c>
      <c r="I3037" s="2" t="str">
        <f>IFERROR(__xludf.DUMMYFUNCTION("""COMPUTED_VALUE"""),"https://www.facebook.com/rapplerdotcom/photos/a.317154781638645/5594359700584767/")</f>
        <v>https://www.facebook.com/rapplerdotcom/photos/a.317154781638645/5594359700584767/</v>
      </c>
      <c r="J3037" s="1" t="str">
        <f>IFERROR(__xludf.DUMMYFUNCTION("""COMPUTED_VALUE"""),"2022-07-04T21:38:13.905Z")</f>
        <v>2022-07-04T21:38:13.905Z</v>
      </c>
      <c r="K3037" s="1"/>
    </row>
    <row r="3038">
      <c r="A3038" s="2" t="str">
        <f>IFERROR(__xludf.DUMMYFUNCTION("""COMPUTED_VALUE"""),"https://www.facebook.com/jonniemaganes")</f>
        <v>https://www.facebook.com/jonniemaganes</v>
      </c>
      <c r="B3038" s="1" t="str">
        <f>IFERROR(__xludf.DUMMYFUNCTION("""COMPUTED_VALUE"""),"Jonathan Maganes")</f>
        <v>Jonathan Maganes</v>
      </c>
      <c r="C3038" s="1" t="str">
        <f>IFERROR(__xludf.DUMMYFUNCTION("""COMPUTED_VALUE"""),"Jonathan")</f>
        <v>Jonathan</v>
      </c>
      <c r="D3038" s="1" t="str">
        <f>IFERROR(__xludf.DUMMYFUNCTION("""COMPUTED_VALUE"""),"Maganes")</f>
        <v>Maganes</v>
      </c>
      <c r="E3038" s="1" t="str">
        <f>IFERROR(__xludf.DUMMYFUNCTION("""COMPUTED_VALUE"""),"Kaya ingat jan Alvarez may hidden agenda yan😁")</f>
        <v>Kaya ingat jan Alvarez may hidden agenda yan😁</v>
      </c>
      <c r="F3038" s="1">
        <f>IFERROR(__xludf.DUMMYFUNCTION("""COMPUTED_VALUE"""),1.0)</f>
        <v>1</v>
      </c>
      <c r="G3038" s="1" t="str">
        <f>IFERROR(__xludf.DUMMYFUNCTION("""COMPUTED_VALUE"""),"3 mos")</f>
        <v>3 mos</v>
      </c>
      <c r="H3038" s="1" t="str">
        <f>IFERROR(__xludf.DUMMYFUNCTION("""COMPUTED_VALUE"""),"comment")</f>
        <v>comment</v>
      </c>
      <c r="I3038" s="2" t="str">
        <f>IFERROR(__xludf.DUMMYFUNCTION("""COMPUTED_VALUE"""),"https://www.facebook.com/rapplerdotcom/photos/a.317154781638645/5594359700584767/")</f>
        <v>https://www.facebook.com/rapplerdotcom/photos/a.317154781638645/5594359700584767/</v>
      </c>
      <c r="J3038" s="1" t="str">
        <f>IFERROR(__xludf.DUMMYFUNCTION("""COMPUTED_VALUE"""),"2022-07-04T21:38:13.905Z")</f>
        <v>2022-07-04T21:38:13.905Z</v>
      </c>
      <c r="K3038" s="1"/>
    </row>
    <row r="3039">
      <c r="A3039" s="2" t="str">
        <f>IFERROR(__xludf.DUMMYFUNCTION("""COMPUTED_VALUE"""),"https://www.facebook.com/enrico.aragon.56")</f>
        <v>https://www.facebook.com/enrico.aragon.56</v>
      </c>
      <c r="B3039" s="1" t="str">
        <f>IFERROR(__xludf.DUMMYFUNCTION("""COMPUTED_VALUE"""),"Enrico Aragon")</f>
        <v>Enrico Aragon</v>
      </c>
      <c r="C3039" s="1" t="str">
        <f>IFERROR(__xludf.DUMMYFUNCTION("""COMPUTED_VALUE"""),"Enrico")</f>
        <v>Enrico</v>
      </c>
      <c r="D3039" s="1" t="str">
        <f>IFERROR(__xludf.DUMMYFUNCTION("""COMPUTED_VALUE"""),"Aragon")</f>
        <v>Aragon</v>
      </c>
      <c r="E3039" s="1" t="str">
        <f>IFERROR(__xludf.DUMMYFUNCTION("""COMPUTED_VALUE"""),"Balimbing")</f>
        <v>Balimbing</v>
      </c>
      <c r="F3039" s="1"/>
      <c r="G3039" s="1" t="str">
        <f>IFERROR(__xludf.DUMMYFUNCTION("""COMPUTED_VALUE"""),"3 mos")</f>
        <v>3 mos</v>
      </c>
      <c r="H3039" s="1" t="str">
        <f>IFERROR(__xludf.DUMMYFUNCTION("""COMPUTED_VALUE"""),"comment")</f>
        <v>comment</v>
      </c>
      <c r="I3039" s="2" t="str">
        <f>IFERROR(__xludf.DUMMYFUNCTION("""COMPUTED_VALUE"""),"https://www.facebook.com/rapplerdotcom/photos/a.317154781638645/5594359700584767/")</f>
        <v>https://www.facebook.com/rapplerdotcom/photos/a.317154781638645/5594359700584767/</v>
      </c>
      <c r="J3039" s="1" t="str">
        <f>IFERROR(__xludf.DUMMYFUNCTION("""COMPUTED_VALUE"""),"2022-07-04T21:38:13.905Z")</f>
        <v>2022-07-04T21:38:13.905Z</v>
      </c>
      <c r="K3039" s="1"/>
    </row>
    <row r="3040">
      <c r="A3040" s="2" t="str">
        <f>IFERROR(__xludf.DUMMYFUNCTION("""COMPUTED_VALUE"""),"https://www.facebook.com/ngaela")</f>
        <v>https://www.facebook.com/ngaela</v>
      </c>
      <c r="B3040" s="1" t="str">
        <f>IFERROR(__xludf.DUMMYFUNCTION("""COMPUTED_VALUE"""),"Leon HG")</f>
        <v>Leon HG</v>
      </c>
      <c r="C3040" s="1" t="str">
        <f>IFERROR(__xludf.DUMMYFUNCTION("""COMPUTED_VALUE"""),"Leon")</f>
        <v>Leon</v>
      </c>
      <c r="D3040" s="1" t="str">
        <f>IFERROR(__xludf.DUMMYFUNCTION("""COMPUTED_VALUE"""),"HG")</f>
        <v>HG</v>
      </c>
      <c r="E3040" s="1" t="str">
        <f>IFERROR(__xludf.DUMMYFUNCTION("""COMPUTED_VALUE"""),"Parang may nagapapagalaw sa likod ng ganitong hakbangin ni LINTA......")</f>
        <v>Parang may nagapapagalaw sa likod ng ganitong hakbangin ni LINTA......</v>
      </c>
      <c r="F3040" s="1">
        <f>IFERROR(__xludf.DUMMYFUNCTION("""COMPUTED_VALUE"""),7.0)</f>
        <v>7</v>
      </c>
      <c r="G3040" s="1" t="str">
        <f>IFERROR(__xludf.DUMMYFUNCTION("""COMPUTED_VALUE"""),"3 mos")</f>
        <v>3 mos</v>
      </c>
      <c r="H3040" s="1" t="str">
        <f>IFERROR(__xludf.DUMMYFUNCTION("""COMPUTED_VALUE"""),"comment")</f>
        <v>comment</v>
      </c>
      <c r="I3040" s="2" t="str">
        <f>IFERROR(__xludf.DUMMYFUNCTION("""COMPUTED_VALUE"""),"https://www.facebook.com/rapplerdotcom/photos/a.317154781638645/5594359700584767/")</f>
        <v>https://www.facebook.com/rapplerdotcom/photos/a.317154781638645/5594359700584767/</v>
      </c>
      <c r="J3040" s="1" t="str">
        <f>IFERROR(__xludf.DUMMYFUNCTION("""COMPUTED_VALUE"""),"2022-07-04T21:38:13.905Z")</f>
        <v>2022-07-04T21:38:13.905Z</v>
      </c>
      <c r="K3040" s="1"/>
    </row>
    <row r="3041">
      <c r="A3041" s="2" t="str">
        <f>IFERROR(__xludf.DUMMYFUNCTION("""COMPUTED_VALUE"""),"https://www.facebook.com/ragrag.alb")</f>
        <v>https://www.facebook.com/ragrag.alb</v>
      </c>
      <c r="B3041" s="1" t="str">
        <f>IFERROR(__xludf.DUMMYFUNCTION("""COMPUTED_VALUE"""),"Rag Rag Alb")</f>
        <v>Rag Rag Alb</v>
      </c>
      <c r="C3041" s="1" t="str">
        <f>IFERROR(__xludf.DUMMYFUNCTION("""COMPUTED_VALUE"""),"Rag")</f>
        <v>Rag</v>
      </c>
      <c r="D3041" s="1" t="str">
        <f>IFERROR(__xludf.DUMMYFUNCTION("""COMPUTED_VALUE"""),"Rag Alb")</f>
        <v>Rag Alb</v>
      </c>
      <c r="E3041" s="1" t="str">
        <f>IFERROR(__xludf.DUMMYFUNCTION("""COMPUTED_VALUE"""),"Leon HG tama ka sir")</f>
        <v>Leon HG tama ka sir</v>
      </c>
      <c r="F3041" s="1"/>
      <c r="G3041" s="1" t="str">
        <f>IFERROR(__xludf.DUMMYFUNCTION("""COMPUTED_VALUE"""),"3 mos")</f>
        <v>3 mos</v>
      </c>
      <c r="H3041" s="1" t="str">
        <f>IFERROR(__xludf.DUMMYFUNCTION("""COMPUTED_VALUE"""),"reply")</f>
        <v>reply</v>
      </c>
      <c r="I3041" s="2" t="str">
        <f>IFERROR(__xludf.DUMMYFUNCTION("""COMPUTED_VALUE"""),"https://www.facebook.com/rapplerdotcom/photos/a.317154781638645/5594359700584767/")</f>
        <v>https://www.facebook.com/rapplerdotcom/photos/a.317154781638645/5594359700584767/</v>
      </c>
      <c r="J3041" s="1" t="str">
        <f>IFERROR(__xludf.DUMMYFUNCTION("""COMPUTED_VALUE"""),"2022-07-04T21:38:13.905Z")</f>
        <v>2022-07-04T21:38:13.905Z</v>
      </c>
      <c r="K3041" s="1"/>
    </row>
    <row r="3042">
      <c r="A3042" s="2" t="str">
        <f>IFERROR(__xludf.DUMMYFUNCTION("""COMPUTED_VALUE"""),"https://www.facebook.com/aldrin.reyes.3760430")</f>
        <v>https://www.facebook.com/aldrin.reyes.3760430</v>
      </c>
      <c r="B3042" s="1" t="str">
        <f>IFERROR(__xludf.DUMMYFUNCTION("""COMPUTED_VALUE"""),"Aldrin Reyes")</f>
        <v>Aldrin Reyes</v>
      </c>
      <c r="C3042" s="1" t="str">
        <f>IFERROR(__xludf.DUMMYFUNCTION("""COMPUTED_VALUE"""),"Aldrin")</f>
        <v>Aldrin</v>
      </c>
      <c r="D3042" s="1" t="str">
        <f>IFERROR(__xludf.DUMMYFUNCTION("""COMPUTED_VALUE"""),"Reyes")</f>
        <v>Reyes</v>
      </c>
      <c r="E3042" s="1" t="str">
        <f>IFERROR(__xludf.DUMMYFUNCTION("""COMPUTED_VALUE"""),"Hindi kaya may HIDDEN AGENDA si pogi...")</f>
        <v>Hindi kaya may HIDDEN AGENDA si pogi...</v>
      </c>
      <c r="F3042" s="1"/>
      <c r="G3042" s="1" t="str">
        <f>IFERROR(__xludf.DUMMYFUNCTION("""COMPUTED_VALUE"""),"3 mos")</f>
        <v>3 mos</v>
      </c>
      <c r="H3042" s="1" t="str">
        <f>IFERROR(__xludf.DUMMYFUNCTION("""COMPUTED_VALUE"""),"comment")</f>
        <v>comment</v>
      </c>
      <c r="I3042" s="2" t="str">
        <f>IFERROR(__xludf.DUMMYFUNCTION("""COMPUTED_VALUE"""),"https://www.facebook.com/rapplerdotcom/photos/a.317154781638645/5594359700584767/")</f>
        <v>https://www.facebook.com/rapplerdotcom/photos/a.317154781638645/5594359700584767/</v>
      </c>
      <c r="J3042" s="1" t="str">
        <f>IFERROR(__xludf.DUMMYFUNCTION("""COMPUTED_VALUE"""),"2022-07-04T21:38:13.905Z")</f>
        <v>2022-07-04T21:38:13.905Z</v>
      </c>
      <c r="K3042" s="1"/>
    </row>
    <row r="3043">
      <c r="A3043" s="2" t="str">
        <f>IFERROR(__xludf.DUMMYFUNCTION("""COMPUTED_VALUE"""),"https://www.facebook.com/edwin.asis.58")</f>
        <v>https://www.facebook.com/edwin.asis.58</v>
      </c>
      <c r="B3043" s="1" t="str">
        <f>IFERROR(__xludf.DUMMYFUNCTION("""COMPUTED_VALUE"""),"Edwin Llames Asis")</f>
        <v>Edwin Llames Asis</v>
      </c>
      <c r="C3043" s="1" t="str">
        <f>IFERROR(__xludf.DUMMYFUNCTION("""COMPUTED_VALUE"""),"Edwin")</f>
        <v>Edwin</v>
      </c>
      <c r="D3043" s="1" t="str">
        <f>IFERROR(__xludf.DUMMYFUNCTION("""COMPUTED_VALUE"""),"Llames Asis")</f>
        <v>Llames Asis</v>
      </c>
      <c r="E3043" s="1" t="str">
        <f>IFERROR(__xludf.DUMMYFUNCTION("""COMPUTED_VALUE"""),"Honyango")</f>
        <v>Honyango</v>
      </c>
      <c r="F3043" s="1"/>
      <c r="G3043" s="1" t="str">
        <f>IFERROR(__xludf.DUMMYFUNCTION("""COMPUTED_VALUE"""),"3 mos")</f>
        <v>3 mos</v>
      </c>
      <c r="H3043" s="1" t="str">
        <f>IFERROR(__xludf.DUMMYFUNCTION("""COMPUTED_VALUE"""),"comment")</f>
        <v>comment</v>
      </c>
      <c r="I3043" s="2" t="str">
        <f>IFERROR(__xludf.DUMMYFUNCTION("""COMPUTED_VALUE"""),"https://www.facebook.com/rapplerdotcom/photos/a.317154781638645/5594359700584767/")</f>
        <v>https://www.facebook.com/rapplerdotcom/photos/a.317154781638645/5594359700584767/</v>
      </c>
      <c r="J3043" s="1" t="str">
        <f>IFERROR(__xludf.DUMMYFUNCTION("""COMPUTED_VALUE"""),"2022-07-04T21:38:13.905Z")</f>
        <v>2022-07-04T21:38:13.905Z</v>
      </c>
      <c r="K3043" s="1"/>
    </row>
    <row r="3044">
      <c r="A3044" s="2" t="str">
        <f>IFERROR(__xludf.DUMMYFUNCTION("""COMPUTED_VALUE"""),"https://www.facebook.com/profile.php?id=100005251668716")</f>
        <v>https://www.facebook.com/profile.php?id=100005251668716</v>
      </c>
      <c r="B3044" s="1" t="str">
        <f>IFERROR(__xludf.DUMMYFUNCTION("""COMPUTED_VALUE"""),"Mario Natural")</f>
        <v>Mario Natural</v>
      </c>
      <c r="C3044" s="1" t="str">
        <f>IFERROR(__xludf.DUMMYFUNCTION("""COMPUTED_VALUE"""),"Mario")</f>
        <v>Mario</v>
      </c>
      <c r="D3044" s="1" t="str">
        <f>IFERROR(__xludf.DUMMYFUNCTION("""COMPUTED_VALUE"""),"Natural")</f>
        <v>Natural</v>
      </c>
      <c r="E3044" s="1" t="str">
        <f>IFERROR(__xludf.DUMMYFUNCTION("""COMPUTED_VALUE"""),"All smile, Kwarta! na.🤣")</f>
        <v>All smile, Kwarta! na.🤣</v>
      </c>
      <c r="F3044" s="1">
        <f>IFERROR(__xludf.DUMMYFUNCTION("""COMPUTED_VALUE"""),1.0)</f>
        <v>1</v>
      </c>
      <c r="G3044" s="1" t="str">
        <f>IFERROR(__xludf.DUMMYFUNCTION("""COMPUTED_VALUE"""),"3 mos")</f>
        <v>3 mos</v>
      </c>
      <c r="H3044" s="1" t="str">
        <f>IFERROR(__xludf.DUMMYFUNCTION("""COMPUTED_VALUE"""),"comment")</f>
        <v>comment</v>
      </c>
      <c r="I3044" s="2" t="str">
        <f>IFERROR(__xludf.DUMMYFUNCTION("""COMPUTED_VALUE"""),"https://www.facebook.com/rapplerdotcom/photos/a.317154781638645/5594359700584767/")</f>
        <v>https://www.facebook.com/rapplerdotcom/photos/a.317154781638645/5594359700584767/</v>
      </c>
      <c r="J3044" s="1" t="str">
        <f>IFERROR(__xludf.DUMMYFUNCTION("""COMPUTED_VALUE"""),"2022-07-04T21:38:13.905Z")</f>
        <v>2022-07-04T21:38:13.905Z</v>
      </c>
      <c r="K3044" s="1"/>
    </row>
    <row r="3045">
      <c r="A3045" s="2" t="str">
        <f>IFERROR(__xludf.DUMMYFUNCTION("""COMPUTED_VALUE"""),"https://www.facebook.com/355wat")</f>
        <v>https://www.facebook.com/355wat</v>
      </c>
      <c r="B3045" s="1" t="str">
        <f>IFERROR(__xludf.DUMMYFUNCTION("""COMPUTED_VALUE"""),"Jack Diy")</f>
        <v>Jack Diy</v>
      </c>
      <c r="C3045" s="1" t="str">
        <f>IFERROR(__xludf.DUMMYFUNCTION("""COMPUTED_VALUE"""),"Jack")</f>
        <v>Jack</v>
      </c>
      <c r="D3045" s="1" t="str">
        <f>IFERROR(__xludf.DUMMYFUNCTION("""COMPUTED_VALUE"""),"Diy")</f>
        <v>Diy</v>
      </c>
      <c r="E3045" s="1" t="str">
        <f>IFERROR(__xludf.DUMMYFUNCTION("""COMPUTED_VALUE"""),"Desperadong hunyango!")</f>
        <v>Desperadong hunyango!</v>
      </c>
      <c r="F3045" s="1"/>
      <c r="G3045" s="1" t="str">
        <f>IFERROR(__xludf.DUMMYFUNCTION("""COMPUTED_VALUE"""),"3 mos")</f>
        <v>3 mos</v>
      </c>
      <c r="H3045" s="1" t="str">
        <f>IFERROR(__xludf.DUMMYFUNCTION("""COMPUTED_VALUE"""),"comment")</f>
        <v>comment</v>
      </c>
      <c r="I3045" s="2" t="str">
        <f>IFERROR(__xludf.DUMMYFUNCTION("""COMPUTED_VALUE"""),"https://www.facebook.com/rapplerdotcom/photos/a.317154781638645/5594359700584767/")</f>
        <v>https://www.facebook.com/rapplerdotcom/photos/a.317154781638645/5594359700584767/</v>
      </c>
      <c r="J3045" s="1" t="str">
        <f>IFERROR(__xludf.DUMMYFUNCTION("""COMPUTED_VALUE"""),"2022-07-04T21:38:13.905Z")</f>
        <v>2022-07-04T21:38:13.905Z</v>
      </c>
      <c r="K3045" s="1"/>
    </row>
    <row r="3046">
      <c r="A3046" s="2" t="str">
        <f>IFERROR(__xludf.DUMMYFUNCTION("""COMPUTED_VALUE"""),"https://www.facebook.com/antonio.yap.712")</f>
        <v>https://www.facebook.com/antonio.yap.712</v>
      </c>
      <c r="B3046" s="1" t="str">
        <f>IFERROR(__xludf.DUMMYFUNCTION("""COMPUTED_VALUE"""),"Antonio Yap")</f>
        <v>Antonio Yap</v>
      </c>
      <c r="C3046" s="1" t="str">
        <f>IFERROR(__xludf.DUMMYFUNCTION("""COMPUTED_VALUE"""),"Antonio")</f>
        <v>Antonio</v>
      </c>
      <c r="D3046" s="1" t="str">
        <f>IFERROR(__xludf.DUMMYFUNCTION("""COMPUTED_VALUE"""),"Yap")</f>
        <v>Yap</v>
      </c>
      <c r="E3046" s="1" t="str">
        <f>IFERROR(__xludf.DUMMYFUNCTION("""COMPUTED_VALUE"""),"baLIMBING YAN.")</f>
        <v>baLIMBING YAN.</v>
      </c>
      <c r="F3046" s="1"/>
      <c r="G3046" s="1" t="str">
        <f>IFERROR(__xludf.DUMMYFUNCTION("""COMPUTED_VALUE"""),"3 mos")</f>
        <v>3 mos</v>
      </c>
      <c r="H3046" s="1" t="str">
        <f>IFERROR(__xludf.DUMMYFUNCTION("""COMPUTED_VALUE"""),"comment")</f>
        <v>comment</v>
      </c>
      <c r="I3046" s="2" t="str">
        <f>IFERROR(__xludf.DUMMYFUNCTION("""COMPUTED_VALUE"""),"https://www.facebook.com/rapplerdotcom/photos/a.317154781638645/5594359700584767/")</f>
        <v>https://www.facebook.com/rapplerdotcom/photos/a.317154781638645/5594359700584767/</v>
      </c>
      <c r="J3046" s="1" t="str">
        <f>IFERROR(__xludf.DUMMYFUNCTION("""COMPUTED_VALUE"""),"2022-07-04T21:38:13.905Z")</f>
        <v>2022-07-04T21:38:13.905Z</v>
      </c>
      <c r="K3046" s="1"/>
    </row>
    <row r="3047">
      <c r="A3047" s="2" t="str">
        <f>IFERROR(__xludf.DUMMYFUNCTION("""COMPUTED_VALUE"""),"https://www.facebook.com/perryjun.agustin")</f>
        <v>https://www.facebook.com/perryjun.agustin</v>
      </c>
      <c r="B3047" s="1" t="str">
        <f>IFERROR(__xludf.DUMMYFUNCTION("""COMPUTED_VALUE"""),"Jun Ags")</f>
        <v>Jun Ags</v>
      </c>
      <c r="C3047" s="1" t="str">
        <f>IFERROR(__xludf.DUMMYFUNCTION("""COMPUTED_VALUE"""),"Jun")</f>
        <v>Jun</v>
      </c>
      <c r="D3047" s="1" t="str">
        <f>IFERROR(__xludf.DUMMYFUNCTION("""COMPUTED_VALUE"""),"Ags")</f>
        <v>Ags</v>
      </c>
      <c r="E3047" s="1" t="str">
        <f>IFERROR(__xludf.DUMMYFUNCTION("""COMPUTED_VALUE"""),"ganyan talaga and balimbing")</f>
        <v>ganyan talaga and balimbing</v>
      </c>
      <c r="F3047" s="1">
        <f>IFERROR(__xludf.DUMMYFUNCTION("""COMPUTED_VALUE"""),3.0)</f>
        <v>3</v>
      </c>
      <c r="G3047" s="1" t="str">
        <f>IFERROR(__xludf.DUMMYFUNCTION("""COMPUTED_VALUE"""),"3 mos")</f>
        <v>3 mos</v>
      </c>
      <c r="H3047" s="1" t="str">
        <f>IFERROR(__xludf.DUMMYFUNCTION("""COMPUTED_VALUE"""),"comment")</f>
        <v>comment</v>
      </c>
      <c r="I3047" s="2" t="str">
        <f>IFERROR(__xludf.DUMMYFUNCTION("""COMPUTED_VALUE"""),"https://www.facebook.com/rapplerdotcom/photos/a.317154781638645/5594359700584767/")</f>
        <v>https://www.facebook.com/rapplerdotcom/photos/a.317154781638645/5594359700584767/</v>
      </c>
      <c r="J3047" s="1" t="str">
        <f>IFERROR(__xludf.DUMMYFUNCTION("""COMPUTED_VALUE"""),"2022-07-04T21:38:13.905Z")</f>
        <v>2022-07-04T21:38:13.905Z</v>
      </c>
      <c r="K3047" s="1"/>
    </row>
    <row r="3048">
      <c r="A3048" s="2" t="str">
        <f>IFERROR(__xludf.DUMMYFUNCTION("""COMPUTED_VALUE"""),"https://www.facebook.com/maribeth.algodon")</f>
        <v>https://www.facebook.com/maribeth.algodon</v>
      </c>
      <c r="B3048" s="1" t="str">
        <f>IFERROR(__xludf.DUMMYFUNCTION("""COMPUTED_VALUE"""),"Reman Remandaban Rabannmde")</f>
        <v>Reman Remandaban Rabannmde</v>
      </c>
      <c r="C3048" s="1" t="str">
        <f>IFERROR(__xludf.DUMMYFUNCTION("""COMPUTED_VALUE"""),"Reman")</f>
        <v>Reman</v>
      </c>
      <c r="D3048" s="1" t="str">
        <f>IFERROR(__xludf.DUMMYFUNCTION("""COMPUTED_VALUE"""),"Remandaban Rabannmde")</f>
        <v>Remandaban Rabannmde</v>
      </c>
      <c r="E3048" s="1" t="str">
        <f>IFERROR(__xludf.DUMMYFUNCTION("""COMPUTED_VALUE"""),"Back2backperaperalang")</f>
        <v>Back2backperaperalang</v>
      </c>
      <c r="F3048" s="1">
        <f>IFERROR(__xludf.DUMMYFUNCTION("""COMPUTED_VALUE"""),1.0)</f>
        <v>1</v>
      </c>
      <c r="G3048" s="1" t="str">
        <f>IFERROR(__xludf.DUMMYFUNCTION("""COMPUTED_VALUE"""),"3 mos")</f>
        <v>3 mos</v>
      </c>
      <c r="H3048" s="1" t="str">
        <f>IFERROR(__xludf.DUMMYFUNCTION("""COMPUTED_VALUE"""),"comment")</f>
        <v>comment</v>
      </c>
      <c r="I3048" s="2" t="str">
        <f>IFERROR(__xludf.DUMMYFUNCTION("""COMPUTED_VALUE"""),"https://www.facebook.com/rapplerdotcom/photos/a.317154781638645/5594359700584767/")</f>
        <v>https://www.facebook.com/rapplerdotcom/photos/a.317154781638645/5594359700584767/</v>
      </c>
      <c r="J3048" s="1" t="str">
        <f>IFERROR(__xludf.DUMMYFUNCTION("""COMPUTED_VALUE"""),"2022-07-04T21:38:13.905Z")</f>
        <v>2022-07-04T21:38:13.905Z</v>
      </c>
      <c r="K3048" s="1"/>
    </row>
    <row r="3049">
      <c r="A3049" s="2" t="str">
        <f>IFERROR(__xludf.DUMMYFUNCTION("""COMPUTED_VALUE"""),"https://www.facebook.com/verminda.raymundo.96")</f>
        <v>https://www.facebook.com/verminda.raymundo.96</v>
      </c>
      <c r="B3049" s="1" t="str">
        <f>IFERROR(__xludf.DUMMYFUNCTION("""COMPUTED_VALUE"""),"Verminda Raymundo")</f>
        <v>Verminda Raymundo</v>
      </c>
      <c r="C3049" s="1" t="str">
        <f>IFERROR(__xludf.DUMMYFUNCTION("""COMPUTED_VALUE"""),"Verminda")</f>
        <v>Verminda</v>
      </c>
      <c r="D3049" s="1" t="str">
        <f>IFERROR(__xludf.DUMMYFUNCTION("""COMPUTED_VALUE"""),"Raymundo")</f>
        <v>Raymundo</v>
      </c>
      <c r="E3049" s="1" t="str">
        <f>IFERROR(__xludf.DUMMYFUNCTION("""COMPUTED_VALUE"""),"Uso pa ba ang balimbing ngayon?🤔")</f>
        <v>Uso pa ba ang balimbing ngayon?🤔</v>
      </c>
      <c r="F3049" s="1"/>
      <c r="G3049" s="1" t="str">
        <f>IFERROR(__xludf.DUMMYFUNCTION("""COMPUTED_VALUE"""),"3 mos")</f>
        <v>3 mos</v>
      </c>
      <c r="H3049" s="1" t="str">
        <f>IFERROR(__xludf.DUMMYFUNCTION("""COMPUTED_VALUE"""),"comment")</f>
        <v>comment</v>
      </c>
      <c r="I3049" s="2" t="str">
        <f>IFERROR(__xludf.DUMMYFUNCTION("""COMPUTED_VALUE"""),"https://www.facebook.com/rapplerdotcom/photos/a.317154781638645/5594359700584767/")</f>
        <v>https://www.facebook.com/rapplerdotcom/photos/a.317154781638645/5594359700584767/</v>
      </c>
      <c r="J3049" s="1" t="str">
        <f>IFERROR(__xludf.DUMMYFUNCTION("""COMPUTED_VALUE"""),"2022-07-04T21:38:13.905Z")</f>
        <v>2022-07-04T21:38:13.905Z</v>
      </c>
      <c r="K3049" s="1"/>
    </row>
    <row r="3050">
      <c r="A3050" s="2" t="str">
        <f>IFERROR(__xludf.DUMMYFUNCTION("""COMPUTED_VALUE"""),"https://www.facebook.com/profile.php?id=100069846437904")</f>
        <v>https://www.facebook.com/profile.php?id=100069846437904</v>
      </c>
      <c r="B3050" s="1" t="str">
        <f>IFERROR(__xludf.DUMMYFUNCTION("""COMPUTED_VALUE"""),"Romelito Boiser")</f>
        <v>Romelito Boiser</v>
      </c>
      <c r="C3050" s="1" t="str">
        <f>IFERROR(__xludf.DUMMYFUNCTION("""COMPUTED_VALUE"""),"Romelito")</f>
        <v>Romelito</v>
      </c>
      <c r="D3050" s="1" t="str">
        <f>IFERROR(__xludf.DUMMYFUNCTION("""COMPUTED_VALUE"""),"Boiser")</f>
        <v>Boiser</v>
      </c>
      <c r="E3050" s="1" t="str">
        <f>IFERROR(__xludf.DUMMYFUNCTION("""COMPUTED_VALUE"""),"Dapat hindi na yan ibuto.ng taga davao del norte.")</f>
        <v>Dapat hindi na yan ibuto.ng taga davao del norte.</v>
      </c>
      <c r="F3050" s="1"/>
      <c r="G3050" s="1" t="str">
        <f>IFERROR(__xludf.DUMMYFUNCTION("""COMPUTED_VALUE"""),"3 mos")</f>
        <v>3 mos</v>
      </c>
      <c r="H3050" s="1" t="str">
        <f>IFERROR(__xludf.DUMMYFUNCTION("""COMPUTED_VALUE"""),"comment")</f>
        <v>comment</v>
      </c>
      <c r="I3050" s="2" t="str">
        <f>IFERROR(__xludf.DUMMYFUNCTION("""COMPUTED_VALUE"""),"https://www.facebook.com/rapplerdotcom/photos/a.317154781638645/5594359700584767/")</f>
        <v>https://www.facebook.com/rapplerdotcom/photos/a.317154781638645/5594359700584767/</v>
      </c>
      <c r="J3050" s="1" t="str">
        <f>IFERROR(__xludf.DUMMYFUNCTION("""COMPUTED_VALUE"""),"2022-07-04T21:38:13.905Z")</f>
        <v>2022-07-04T21:38:13.905Z</v>
      </c>
      <c r="K3050" s="1"/>
    </row>
    <row r="3051">
      <c r="A3051" s="2" t="str">
        <f>IFERROR(__xludf.DUMMYFUNCTION("""COMPUTED_VALUE"""),"https://www.facebook.com/maldz.marcial04")</f>
        <v>https://www.facebook.com/maldz.marcial04</v>
      </c>
      <c r="B3051" s="1" t="str">
        <f>IFERROR(__xludf.DUMMYFUNCTION("""COMPUTED_VALUE"""),"Maldz Marcial")</f>
        <v>Maldz Marcial</v>
      </c>
      <c r="C3051" s="1" t="str">
        <f>IFERROR(__xludf.DUMMYFUNCTION("""COMPUTED_VALUE"""),"Maldz")</f>
        <v>Maldz</v>
      </c>
      <c r="D3051" s="1" t="str">
        <f>IFERROR(__xludf.DUMMYFUNCTION("""COMPUTED_VALUE"""),"Marcial")</f>
        <v>Marcial</v>
      </c>
      <c r="E3051" s="1" t="str">
        <f>IFERROR(__xludf.DUMMYFUNCTION("""COMPUTED_VALUE"""),"Ganid at mukhang pera talaga")</f>
        <v>Ganid at mukhang pera talaga</v>
      </c>
      <c r="F3051" s="1"/>
      <c r="G3051" s="1" t="str">
        <f>IFERROR(__xludf.DUMMYFUNCTION("""COMPUTED_VALUE"""),"3 mos")</f>
        <v>3 mos</v>
      </c>
      <c r="H3051" s="1" t="str">
        <f>IFERROR(__xludf.DUMMYFUNCTION("""COMPUTED_VALUE"""),"comment")</f>
        <v>comment</v>
      </c>
      <c r="I3051" s="2" t="str">
        <f>IFERROR(__xludf.DUMMYFUNCTION("""COMPUTED_VALUE"""),"https://www.facebook.com/rapplerdotcom/photos/a.317154781638645/5594359700584767/")</f>
        <v>https://www.facebook.com/rapplerdotcom/photos/a.317154781638645/5594359700584767/</v>
      </c>
      <c r="J3051" s="1" t="str">
        <f>IFERROR(__xludf.DUMMYFUNCTION("""COMPUTED_VALUE"""),"2022-07-04T21:38:13.905Z")</f>
        <v>2022-07-04T21:38:13.905Z</v>
      </c>
      <c r="K3051" s="1"/>
    </row>
    <row r="3052">
      <c r="A3052" s="2" t="str">
        <f>IFERROR(__xludf.DUMMYFUNCTION("""COMPUTED_VALUE"""),"https://www.facebook.com/eusebiobutchgarcia")</f>
        <v>https://www.facebook.com/eusebiobutchgarcia</v>
      </c>
      <c r="B3052" s="1" t="str">
        <f>IFERROR(__xludf.DUMMYFUNCTION("""COMPUTED_VALUE"""),"Eusebio Butch Garcia")</f>
        <v>Eusebio Butch Garcia</v>
      </c>
      <c r="C3052" s="1" t="str">
        <f>IFERROR(__xludf.DUMMYFUNCTION("""COMPUTED_VALUE"""),"Eusebio")</f>
        <v>Eusebio</v>
      </c>
      <c r="D3052" s="1" t="str">
        <f>IFERROR(__xludf.DUMMYFUNCTION("""COMPUTED_VALUE"""),"Butch Garcia")</f>
        <v>Butch Garcia</v>
      </c>
      <c r="E3052" s="1" t="str">
        <f>IFERROR(__xludf.DUMMYFUNCTION("""COMPUTED_VALUE"""),"Wala na bang makakapitan?")</f>
        <v>Wala na bang makakapitan?</v>
      </c>
      <c r="F3052" s="1"/>
      <c r="G3052" s="1" t="str">
        <f>IFERROR(__xludf.DUMMYFUNCTION("""COMPUTED_VALUE"""),"3 mos")</f>
        <v>3 mos</v>
      </c>
      <c r="H3052" s="1" t="str">
        <f>IFERROR(__xludf.DUMMYFUNCTION("""COMPUTED_VALUE"""),"comment")</f>
        <v>comment</v>
      </c>
      <c r="I3052" s="2" t="str">
        <f>IFERROR(__xludf.DUMMYFUNCTION("""COMPUTED_VALUE"""),"https://www.facebook.com/rapplerdotcom/photos/a.317154781638645/5594359700584767/")</f>
        <v>https://www.facebook.com/rapplerdotcom/photos/a.317154781638645/5594359700584767/</v>
      </c>
      <c r="J3052" s="1" t="str">
        <f>IFERROR(__xludf.DUMMYFUNCTION("""COMPUTED_VALUE"""),"2022-07-04T21:38:13.905Z")</f>
        <v>2022-07-04T21:38:13.905Z</v>
      </c>
      <c r="K3052" s="1"/>
    </row>
    <row r="3053">
      <c r="A3053" s="2" t="str">
        <f>IFERROR(__xludf.DUMMYFUNCTION("""COMPUTED_VALUE"""),"https://www.facebook.com/sue.idaloy")</f>
        <v>https://www.facebook.com/sue.idaloy</v>
      </c>
      <c r="B3053" s="1" t="str">
        <f>IFERROR(__xludf.DUMMYFUNCTION("""COMPUTED_VALUE"""),"NhoySue Bautista Idaloy")</f>
        <v>NhoySue Bautista Idaloy</v>
      </c>
      <c r="C3053" s="1" t="str">
        <f>IFERROR(__xludf.DUMMYFUNCTION("""COMPUTED_VALUE"""),"NhoySue")</f>
        <v>NhoySue</v>
      </c>
      <c r="D3053" s="1" t="str">
        <f>IFERROR(__xludf.DUMMYFUNCTION("""COMPUTED_VALUE"""),"Bautista Idaloy")</f>
        <v>Bautista Idaloy</v>
      </c>
      <c r="E3053" s="1" t="str">
        <f>IFERROR(__xludf.DUMMYFUNCTION("""COMPUTED_VALUE"""),"Itaas ang kamay ng mga balimbing,Mabuhay ang mga balimbing😂😂😂")</f>
        <v>Itaas ang kamay ng mga balimbing,Mabuhay ang mga balimbing😂😂😂</v>
      </c>
      <c r="F3053" s="1"/>
      <c r="G3053" s="1" t="str">
        <f>IFERROR(__xludf.DUMMYFUNCTION("""COMPUTED_VALUE"""),"3 mos")</f>
        <v>3 mos</v>
      </c>
      <c r="H3053" s="1" t="str">
        <f>IFERROR(__xludf.DUMMYFUNCTION("""COMPUTED_VALUE"""),"comment")</f>
        <v>comment</v>
      </c>
      <c r="I3053" s="2" t="str">
        <f>IFERROR(__xludf.DUMMYFUNCTION("""COMPUTED_VALUE"""),"https://www.facebook.com/rapplerdotcom/photos/a.317154781638645/5594359700584767/")</f>
        <v>https://www.facebook.com/rapplerdotcom/photos/a.317154781638645/5594359700584767/</v>
      </c>
      <c r="J3053" s="1" t="str">
        <f>IFERROR(__xludf.DUMMYFUNCTION("""COMPUTED_VALUE"""),"2022-07-04T21:38:13.905Z")</f>
        <v>2022-07-04T21:38:13.905Z</v>
      </c>
      <c r="K3053" s="1"/>
    </row>
    <row r="3054">
      <c r="A3054" s="2" t="str">
        <f>IFERROR(__xludf.DUMMYFUNCTION("""COMPUTED_VALUE"""),"https://www.facebook.com/phol.sanchez05")</f>
        <v>https://www.facebook.com/phol.sanchez05</v>
      </c>
      <c r="B3054" s="1" t="str">
        <f>IFERROR(__xludf.DUMMYFUNCTION("""COMPUTED_VALUE"""),"Phol Sanchez")</f>
        <v>Phol Sanchez</v>
      </c>
      <c r="C3054" s="1" t="str">
        <f>IFERROR(__xludf.DUMMYFUNCTION("""COMPUTED_VALUE"""),"Phol")</f>
        <v>Phol</v>
      </c>
      <c r="D3054" s="1" t="str">
        <f>IFERROR(__xludf.DUMMYFUNCTION("""COMPUTED_VALUE"""),"Sanchez")</f>
        <v>Sanchez</v>
      </c>
      <c r="E3054" s="1" t="str">
        <f>IFERROR(__xludf.DUMMYFUNCTION("""COMPUTED_VALUE"""),"bka mahirapan si jj idrived yan.")</f>
        <v>bka mahirapan si jj idrived yan.</v>
      </c>
      <c r="F3054" s="1"/>
      <c r="G3054" s="1" t="str">
        <f>IFERROR(__xludf.DUMMYFUNCTION("""COMPUTED_VALUE"""),"3 mos")</f>
        <v>3 mos</v>
      </c>
      <c r="H3054" s="1" t="str">
        <f>IFERROR(__xludf.DUMMYFUNCTION("""COMPUTED_VALUE"""),"comment")</f>
        <v>comment</v>
      </c>
      <c r="I3054" s="2" t="str">
        <f>IFERROR(__xludf.DUMMYFUNCTION("""COMPUTED_VALUE"""),"https://www.facebook.com/rapplerdotcom/photos/a.317154781638645/5594359700584767/")</f>
        <v>https://www.facebook.com/rapplerdotcom/photos/a.317154781638645/5594359700584767/</v>
      </c>
      <c r="J3054" s="1" t="str">
        <f>IFERROR(__xludf.DUMMYFUNCTION("""COMPUTED_VALUE"""),"2022-07-04T21:38:13.905Z")</f>
        <v>2022-07-04T21:38:13.905Z</v>
      </c>
      <c r="K3054" s="1"/>
    </row>
    <row r="3055">
      <c r="A3055" s="2" t="str">
        <f>IFERROR(__xludf.DUMMYFUNCTION("""COMPUTED_VALUE"""),"https://www.facebook.com/jake.arceno.new")</f>
        <v>https://www.facebook.com/jake.arceno.new</v>
      </c>
      <c r="B3055" s="1" t="str">
        <f>IFERROR(__xludf.DUMMYFUNCTION("""COMPUTED_VALUE"""),"Jąke Arcęno")</f>
        <v>Jąke Arcęno</v>
      </c>
      <c r="C3055" s="1" t="str">
        <f>IFERROR(__xludf.DUMMYFUNCTION("""COMPUTED_VALUE"""),"Jąke")</f>
        <v>Jąke</v>
      </c>
      <c r="D3055" s="1" t="str">
        <f>IFERROR(__xludf.DUMMYFUNCTION("""COMPUTED_VALUE"""),"Arcęno")</f>
        <v>Arcęno</v>
      </c>
      <c r="E3055" s="1" t="str">
        <f>IFERROR(__xludf.DUMMYFUNCTION("""COMPUTED_VALUE"""),"ingat sa mga balimbing.....")</f>
        <v>ingat sa mga balimbing.....</v>
      </c>
      <c r="F3055" s="1"/>
      <c r="G3055" s="1" t="str">
        <f>IFERROR(__xludf.DUMMYFUNCTION("""COMPUTED_VALUE"""),"3 mos")</f>
        <v>3 mos</v>
      </c>
      <c r="H3055" s="1" t="str">
        <f>IFERROR(__xludf.DUMMYFUNCTION("""COMPUTED_VALUE"""),"comment")</f>
        <v>comment</v>
      </c>
      <c r="I3055" s="2" t="str">
        <f>IFERROR(__xludf.DUMMYFUNCTION("""COMPUTED_VALUE"""),"https://www.facebook.com/rapplerdotcom/photos/a.317154781638645/5594359700584767/")</f>
        <v>https://www.facebook.com/rapplerdotcom/photos/a.317154781638645/5594359700584767/</v>
      </c>
      <c r="J3055" s="1" t="str">
        <f>IFERROR(__xludf.DUMMYFUNCTION("""COMPUTED_VALUE"""),"2022-07-04T21:38:13.905Z")</f>
        <v>2022-07-04T21:38:13.905Z</v>
      </c>
      <c r="K3055" s="1"/>
    </row>
    <row r="3056">
      <c r="A3056" s="2" t="str">
        <f>IFERROR(__xludf.DUMMYFUNCTION("""COMPUTED_VALUE"""),"https://www.facebook.com/merly.vederas")</f>
        <v>https://www.facebook.com/merly.vederas</v>
      </c>
      <c r="B3056" s="1" t="str">
        <f>IFERROR(__xludf.DUMMYFUNCTION("""COMPUTED_VALUE"""),"Merly Vederas")</f>
        <v>Merly Vederas</v>
      </c>
      <c r="C3056" s="1" t="str">
        <f>IFERROR(__xludf.DUMMYFUNCTION("""COMPUTED_VALUE"""),"Merly")</f>
        <v>Merly</v>
      </c>
      <c r="D3056" s="1" t="str">
        <f>IFERROR(__xludf.DUMMYFUNCTION("""COMPUTED_VALUE"""),"Vederas")</f>
        <v>Vederas</v>
      </c>
      <c r="E3056" s="1" t="str">
        <f>IFERROR(__xludf.DUMMYFUNCTION("""COMPUTED_VALUE"""),"Balimbing lang peg")</f>
        <v>Balimbing lang peg</v>
      </c>
      <c r="F3056" s="1"/>
      <c r="G3056" s="1" t="str">
        <f>IFERROR(__xludf.DUMMYFUNCTION("""COMPUTED_VALUE"""),"3 mos")</f>
        <v>3 mos</v>
      </c>
      <c r="H3056" s="1" t="str">
        <f>IFERROR(__xludf.DUMMYFUNCTION("""COMPUTED_VALUE"""),"comment")</f>
        <v>comment</v>
      </c>
      <c r="I3056" s="2" t="str">
        <f>IFERROR(__xludf.DUMMYFUNCTION("""COMPUTED_VALUE"""),"https://www.facebook.com/rapplerdotcom/photos/a.317154781638645/5594359700584767/")</f>
        <v>https://www.facebook.com/rapplerdotcom/photos/a.317154781638645/5594359700584767/</v>
      </c>
      <c r="J3056" s="1" t="str">
        <f>IFERROR(__xludf.DUMMYFUNCTION("""COMPUTED_VALUE"""),"2022-07-04T21:38:13.905Z")</f>
        <v>2022-07-04T21:38:13.905Z</v>
      </c>
      <c r="K3056" s="1"/>
    </row>
    <row r="3057">
      <c r="A3057" s="2" t="str">
        <f>IFERROR(__xludf.DUMMYFUNCTION("""COMPUTED_VALUE"""),"https://www.facebook.com/ces.lopez")</f>
        <v>https://www.facebook.com/ces.lopez</v>
      </c>
      <c r="B3057" s="1" t="str">
        <f>IFERROR(__xludf.DUMMYFUNCTION("""COMPUTED_VALUE"""),"Frances Lopez")</f>
        <v>Frances Lopez</v>
      </c>
      <c r="C3057" s="1" t="str">
        <f>IFERROR(__xludf.DUMMYFUNCTION("""COMPUTED_VALUE"""),"Frances")</f>
        <v>Frances</v>
      </c>
      <c r="D3057" s="1" t="str">
        <f>IFERROR(__xludf.DUMMYFUNCTION("""COMPUTED_VALUE"""),"Lopez")</f>
        <v>Lopez</v>
      </c>
      <c r="E3057" s="1" t="str">
        <f>IFERROR(__xludf.DUMMYFUNCTION("""COMPUTED_VALUE"""),"HAHAHAHAHAH! NAGKAGULO NA ANG MGA TRAYDOR.✌️✌️✌️")</f>
        <v>HAHAHAHAHAH! NAGKAGULO NA ANG MGA TRAYDOR.✌️✌️✌️</v>
      </c>
      <c r="F3057" s="1">
        <f>IFERROR(__xludf.DUMMYFUNCTION("""COMPUTED_VALUE"""),3.0)</f>
        <v>3</v>
      </c>
      <c r="G3057" s="1" t="str">
        <f>IFERROR(__xludf.DUMMYFUNCTION("""COMPUTED_VALUE"""),"3 mos")</f>
        <v>3 mos</v>
      </c>
      <c r="H3057" s="1" t="str">
        <f>IFERROR(__xludf.DUMMYFUNCTION("""COMPUTED_VALUE"""),"comment")</f>
        <v>comment</v>
      </c>
      <c r="I3057" s="2" t="str">
        <f>IFERROR(__xludf.DUMMYFUNCTION("""COMPUTED_VALUE"""),"https://www.facebook.com/rapplerdotcom/photos/a.317154781638645/5594359700584767/")</f>
        <v>https://www.facebook.com/rapplerdotcom/photos/a.317154781638645/5594359700584767/</v>
      </c>
      <c r="J3057" s="1" t="str">
        <f>IFERROR(__xludf.DUMMYFUNCTION("""COMPUTED_VALUE"""),"2022-07-04T21:38:13.905Z")</f>
        <v>2022-07-04T21:38:13.905Z</v>
      </c>
      <c r="K3057" s="1"/>
    </row>
    <row r="3058">
      <c r="A3058" s="2" t="str">
        <f>IFERROR(__xludf.DUMMYFUNCTION("""COMPUTED_VALUE"""),"https://www.facebook.com/jenny.o.lew")</f>
        <v>https://www.facebook.com/jenny.o.lew</v>
      </c>
      <c r="B3058" s="1" t="str">
        <f>IFERROR(__xludf.DUMMYFUNCTION("""COMPUTED_VALUE"""),"Jenny Oliva Lew")</f>
        <v>Jenny Oliva Lew</v>
      </c>
      <c r="C3058" s="1" t="str">
        <f>IFERROR(__xludf.DUMMYFUNCTION("""COMPUTED_VALUE"""),"Jenny")</f>
        <v>Jenny</v>
      </c>
      <c r="D3058" s="1" t="str">
        <f>IFERROR(__xludf.DUMMYFUNCTION("""COMPUTED_VALUE"""),"Oliva Lew")</f>
        <v>Oliva Lew</v>
      </c>
      <c r="E3058" s="1" t="str">
        <f>IFERROR(__xludf.DUMMYFUNCTION("""COMPUTED_VALUE"""),"Kasi gong gong yan na Tao.")</f>
        <v>Kasi gong gong yan na Tao.</v>
      </c>
      <c r="F3058" s="1"/>
      <c r="G3058" s="1" t="str">
        <f>IFERROR(__xludf.DUMMYFUNCTION("""COMPUTED_VALUE"""),"3 mos")</f>
        <v>3 mos</v>
      </c>
      <c r="H3058" s="1" t="str">
        <f>IFERROR(__xludf.DUMMYFUNCTION("""COMPUTED_VALUE"""),"comment")</f>
        <v>comment</v>
      </c>
      <c r="I3058" s="2" t="str">
        <f>IFERROR(__xludf.DUMMYFUNCTION("""COMPUTED_VALUE"""),"https://www.facebook.com/rapplerdotcom/photos/a.317154781638645/5594359700584767/")</f>
        <v>https://www.facebook.com/rapplerdotcom/photos/a.317154781638645/5594359700584767/</v>
      </c>
      <c r="J3058" s="1" t="str">
        <f>IFERROR(__xludf.DUMMYFUNCTION("""COMPUTED_VALUE"""),"2022-07-04T21:38:13.905Z")</f>
        <v>2022-07-04T21:38:13.905Z</v>
      </c>
      <c r="K3058" s="1"/>
    </row>
    <row r="3059">
      <c r="A3059" s="2" t="str">
        <f>IFERROR(__xludf.DUMMYFUNCTION("""COMPUTED_VALUE"""),"https://www.facebook.com/profile.php?id=100078610847597")</f>
        <v>https://www.facebook.com/profile.php?id=100078610847597</v>
      </c>
      <c r="B3059" s="1" t="str">
        <f>IFERROR(__xludf.DUMMYFUNCTION("""COMPUTED_VALUE"""),"Erin Domingo")</f>
        <v>Erin Domingo</v>
      </c>
      <c r="C3059" s="1" t="str">
        <f>IFERROR(__xludf.DUMMYFUNCTION("""COMPUTED_VALUE"""),"Erin")</f>
        <v>Erin</v>
      </c>
      <c r="D3059" s="1" t="str">
        <f>IFERROR(__xludf.DUMMYFUNCTION("""COMPUTED_VALUE"""),"Domingo")</f>
        <v>Domingo</v>
      </c>
      <c r="E3059" s="1" t="str">
        <f>IFERROR(__xludf.DUMMYFUNCTION("""COMPUTED_VALUE"""),"isko lang ang boboto namin. I wish Isko for president of our country")</f>
        <v>isko lang ang boboto namin. I wish Isko for president of our country</v>
      </c>
      <c r="F3059" s="1">
        <f>IFERROR(__xludf.DUMMYFUNCTION("""COMPUTED_VALUE"""),1.0)</f>
        <v>1</v>
      </c>
      <c r="G3059" s="1" t="str">
        <f>IFERROR(__xludf.DUMMYFUNCTION("""COMPUTED_VALUE"""),"3 mos")</f>
        <v>3 mos</v>
      </c>
      <c r="H3059" s="1" t="str">
        <f>IFERROR(__xludf.DUMMYFUNCTION("""COMPUTED_VALUE"""),"comment")</f>
        <v>comment</v>
      </c>
      <c r="I3059"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59" s="1" t="str">
        <f>IFERROR(__xludf.DUMMYFUNCTION("""COMPUTED_VALUE"""),"2022-07-04T21:38:41.009Z")</f>
        <v>2022-07-04T21:38:41.009Z</v>
      </c>
      <c r="K3059" s="1"/>
    </row>
    <row r="3060">
      <c r="A3060" s="2" t="str">
        <f>IFERROR(__xludf.DUMMYFUNCTION("""COMPUTED_VALUE"""),"https://www.facebook.com/profile.php?id=100078704860464")</f>
        <v>https://www.facebook.com/profile.php?id=100078704860464</v>
      </c>
      <c r="B3060" s="1" t="str">
        <f>IFERROR(__xludf.DUMMYFUNCTION("""COMPUTED_VALUE"""),"Fermina Hadjirul")</f>
        <v>Fermina Hadjirul</v>
      </c>
      <c r="C3060" s="1" t="str">
        <f>IFERROR(__xludf.DUMMYFUNCTION("""COMPUTED_VALUE"""),"Fermina")</f>
        <v>Fermina</v>
      </c>
      <c r="D3060" s="1" t="str">
        <f>IFERROR(__xludf.DUMMYFUNCTION("""COMPUTED_VALUE"""),"Hadjirul")</f>
        <v>Hadjirul</v>
      </c>
      <c r="E3060" s="1" t="str">
        <f>IFERROR(__xludf.DUMMYFUNCTION("""COMPUTED_VALUE"""),"kay kaya ni isko usbon ang bansa saan kapa duon kana sa leader na maaasahan talaga kungdi si Isko 💙 #3ParaKayIsko #3forme  Isko has proven something so I will vote for him")</f>
        <v>kay kaya ni isko usbon ang bansa saan kapa duon kana sa leader na maaasahan talaga kungdi si Isko 💙 #3ParaKayIsko #3forme  Isko has proven something so I will vote for him</v>
      </c>
      <c r="F3060" s="1"/>
      <c r="G3060" s="1" t="str">
        <f>IFERROR(__xludf.DUMMYFUNCTION("""COMPUTED_VALUE"""),"3 mos")</f>
        <v>3 mos</v>
      </c>
      <c r="H3060" s="1" t="str">
        <f>IFERROR(__xludf.DUMMYFUNCTION("""COMPUTED_VALUE"""),"comment")</f>
        <v>comment</v>
      </c>
      <c r="I3060"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0" s="1" t="str">
        <f>IFERROR(__xludf.DUMMYFUNCTION("""COMPUTED_VALUE"""),"2022-07-04T21:38:41.009Z")</f>
        <v>2022-07-04T21:38:41.009Z</v>
      </c>
      <c r="K3060" s="1"/>
    </row>
    <row r="3061">
      <c r="A3061" s="2" t="str">
        <f>IFERROR(__xludf.DUMMYFUNCTION("""COMPUTED_VALUE"""),"https://www.facebook.com/profile.php?id=100078424016875")</f>
        <v>https://www.facebook.com/profile.php?id=100078424016875</v>
      </c>
      <c r="B3061" s="1" t="str">
        <f>IFERROR(__xludf.DUMMYFUNCTION("""COMPUTED_VALUE"""),"Luiza Talon")</f>
        <v>Luiza Talon</v>
      </c>
      <c r="C3061" s="1" t="str">
        <f>IFERROR(__xludf.DUMMYFUNCTION("""COMPUTED_VALUE"""),"Luiza")</f>
        <v>Luiza</v>
      </c>
      <c r="D3061" s="1" t="str">
        <f>IFERROR(__xludf.DUMMYFUNCTION("""COMPUTED_VALUE"""),"Talon")</f>
        <v>Talon</v>
      </c>
      <c r="E3061" s="1" t="str">
        <f>IFERROR(__xludf.DUMMYFUNCTION("""COMPUTED_VALUE"""),"Gumanda maynila dahil kay Isko kaya siya ang mananalo Nice Yorme sana marami ka maantig si isko talaga ang pag asa ng bayan na ito")</f>
        <v>Gumanda maynila dahil kay Isko kaya siya ang mananalo Nice Yorme sana marami ka maantig si isko talaga ang pag asa ng bayan na ito</v>
      </c>
      <c r="F3061" s="1"/>
      <c r="G3061" s="1" t="str">
        <f>IFERROR(__xludf.DUMMYFUNCTION("""COMPUTED_VALUE"""),"3 mos")</f>
        <v>3 mos</v>
      </c>
      <c r="H3061" s="1" t="str">
        <f>IFERROR(__xludf.DUMMYFUNCTION("""COMPUTED_VALUE"""),"comment")</f>
        <v>comment</v>
      </c>
      <c r="I3061"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1" s="1" t="str">
        <f>IFERROR(__xludf.DUMMYFUNCTION("""COMPUTED_VALUE"""),"2022-07-04T21:38:41.009Z")</f>
        <v>2022-07-04T21:38:41.009Z</v>
      </c>
      <c r="K3061" s="1"/>
    </row>
    <row r="3062">
      <c r="A3062" s="2" t="str">
        <f>IFERROR(__xludf.DUMMYFUNCTION("""COMPUTED_VALUE"""),"https://www.facebook.com/profile.php?id=100077431578233")</f>
        <v>https://www.facebook.com/profile.php?id=100077431578233</v>
      </c>
      <c r="B3062" s="1" t="str">
        <f>IFERROR(__xludf.DUMMYFUNCTION("""COMPUTED_VALUE"""),"Mollie Verano")</f>
        <v>Mollie Verano</v>
      </c>
      <c r="C3062" s="1" t="str">
        <f>IFERROR(__xludf.DUMMYFUNCTION("""COMPUTED_VALUE"""),"Mollie")</f>
        <v>Mollie</v>
      </c>
      <c r="D3062" s="1" t="str">
        <f>IFERROR(__xludf.DUMMYFUNCTION("""COMPUTED_VALUE"""),"Verano")</f>
        <v>Verano</v>
      </c>
      <c r="E3062" s="1" t="str">
        <f>IFERROR(__xludf.DUMMYFUNCTION("""COMPUTED_VALUE"""),"Aahon tayo sa kahirapan pag nanalo si Isko ikaw ang may malaking naitulong mayor isko")</f>
        <v>Aahon tayo sa kahirapan pag nanalo si Isko ikaw ang may malaking naitulong mayor isko</v>
      </c>
      <c r="F3062" s="1"/>
      <c r="G3062" s="1" t="str">
        <f>IFERROR(__xludf.DUMMYFUNCTION("""COMPUTED_VALUE"""),"3 mos")</f>
        <v>3 mos</v>
      </c>
      <c r="H3062" s="1" t="str">
        <f>IFERROR(__xludf.DUMMYFUNCTION("""COMPUTED_VALUE"""),"comment")</f>
        <v>comment</v>
      </c>
      <c r="I3062"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2" s="1" t="str">
        <f>IFERROR(__xludf.DUMMYFUNCTION("""COMPUTED_VALUE"""),"2022-07-04T21:38:41.009Z")</f>
        <v>2022-07-04T21:38:41.009Z</v>
      </c>
      <c r="K3062" s="1"/>
    </row>
    <row r="3063">
      <c r="A3063" s="2" t="str">
        <f>IFERROR(__xludf.DUMMYFUNCTION("""COMPUTED_VALUE"""),"https://www.facebook.com/vsalmario")</f>
        <v>https://www.facebook.com/vsalmario</v>
      </c>
      <c r="B3063" s="1" t="str">
        <f>IFERROR(__xludf.DUMMYFUNCTION("""COMPUTED_VALUE"""),"Virgilio Almario")</f>
        <v>Virgilio Almario</v>
      </c>
      <c r="C3063" s="1" t="str">
        <f>IFERROR(__xludf.DUMMYFUNCTION("""COMPUTED_VALUE"""),"Virgilio")</f>
        <v>Virgilio</v>
      </c>
      <c r="D3063" s="1" t="str">
        <f>IFERROR(__xludf.DUMMYFUNCTION("""COMPUTED_VALUE"""),"Almario")</f>
        <v>Almario</v>
      </c>
      <c r="E3063" s="1" t="str">
        <f>IFERROR(__xludf.DUMMYFUNCTION("""COMPUTED_VALUE"""),"E magkapareho lang naman ng takbo ng utak si isko at si banayo.")</f>
        <v>E magkapareho lang naman ng takbo ng utak si isko at si banayo.</v>
      </c>
      <c r="F3063" s="1">
        <f>IFERROR(__xludf.DUMMYFUNCTION("""COMPUTED_VALUE"""),8.0)</f>
        <v>8</v>
      </c>
      <c r="G3063" s="1" t="str">
        <f>IFERROR(__xludf.DUMMYFUNCTION("""COMPUTED_VALUE"""),"3 mos")</f>
        <v>3 mos</v>
      </c>
      <c r="H3063" s="1" t="str">
        <f>IFERROR(__xludf.DUMMYFUNCTION("""COMPUTED_VALUE"""),"comment")</f>
        <v>comment</v>
      </c>
      <c r="I3063"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3" s="1" t="str">
        <f>IFERROR(__xludf.DUMMYFUNCTION("""COMPUTED_VALUE"""),"2022-07-04T21:38:41.009Z")</f>
        <v>2022-07-04T21:38:41.009Z</v>
      </c>
      <c r="K3063" s="1"/>
    </row>
    <row r="3064">
      <c r="A3064" s="2" t="str">
        <f>IFERROR(__xludf.DUMMYFUNCTION("""COMPUTED_VALUE"""),"https://www.facebook.com/bin.abdulmalikimam")</f>
        <v>https://www.facebook.com/bin.abdulmalikimam</v>
      </c>
      <c r="B3064" s="1" t="str">
        <f>IFERROR(__xludf.DUMMYFUNCTION("""COMPUTED_VALUE"""),"Bin Malik")</f>
        <v>Bin Malik</v>
      </c>
      <c r="C3064" s="1" t="str">
        <f>IFERROR(__xludf.DUMMYFUNCTION("""COMPUTED_VALUE"""),"Bin")</f>
        <v>Bin</v>
      </c>
      <c r="D3064" s="1" t="str">
        <f>IFERROR(__xludf.DUMMYFUNCTION("""COMPUTED_VALUE"""),"Malik")</f>
        <v>Malik</v>
      </c>
      <c r="E3064" s="1" t="str">
        <f>IFERROR(__xludf.DUMMYFUNCTION("""COMPUTED_VALUE"""),"Virgilio Almario ndi nga ano to feeling magaLing sa mundo😅☝️💙")</f>
        <v>Virgilio Almario ndi nga ano to feeling magaLing sa mundo😅☝️💙</v>
      </c>
      <c r="F3064" s="1">
        <f>IFERROR(__xludf.DUMMYFUNCTION("""COMPUTED_VALUE"""),2.0)</f>
        <v>2</v>
      </c>
      <c r="G3064" s="1" t="str">
        <f>IFERROR(__xludf.DUMMYFUNCTION("""COMPUTED_VALUE"""),"3 mos")</f>
        <v>3 mos</v>
      </c>
      <c r="H3064" s="1" t="str">
        <f>IFERROR(__xludf.DUMMYFUNCTION("""COMPUTED_VALUE"""),"reply")</f>
        <v>reply</v>
      </c>
      <c r="I3064"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4" s="1" t="str">
        <f>IFERROR(__xludf.DUMMYFUNCTION("""COMPUTED_VALUE"""),"2022-07-04T21:38:41.009Z")</f>
        <v>2022-07-04T21:38:41.009Z</v>
      </c>
      <c r="K3064" s="1"/>
    </row>
    <row r="3065">
      <c r="A3065" s="2" t="str">
        <f>IFERROR(__xludf.DUMMYFUNCTION("""COMPUTED_VALUE"""),"https://www.facebook.com/mariajovitzzz")</f>
        <v>https://www.facebook.com/mariajovitzzz</v>
      </c>
      <c r="B3065" s="1" t="str">
        <f>IFERROR(__xludf.DUMMYFUNCTION("""COMPUTED_VALUE"""),"Maria Jovita")</f>
        <v>Maria Jovita</v>
      </c>
      <c r="C3065" s="1" t="str">
        <f>IFERROR(__xludf.DUMMYFUNCTION("""COMPUTED_VALUE"""),"Maria")</f>
        <v>Maria</v>
      </c>
      <c r="D3065" s="1" t="str">
        <f>IFERROR(__xludf.DUMMYFUNCTION("""COMPUTED_VALUE"""),"Jovita")</f>
        <v>Jovita</v>
      </c>
      <c r="E3065" s="1" t="str">
        <f>IFERROR(__xludf.DUMMYFUNCTION("""COMPUTED_VALUE"""),"Virgilio Almario utak biya!")</f>
        <v>Virgilio Almario utak biya!</v>
      </c>
      <c r="F3065" s="1"/>
      <c r="G3065" s="1" t="str">
        <f>IFERROR(__xludf.DUMMYFUNCTION("""COMPUTED_VALUE"""),"3 mos")</f>
        <v>3 mos</v>
      </c>
      <c r="H3065" s="1" t="str">
        <f>IFERROR(__xludf.DUMMYFUNCTION("""COMPUTED_VALUE"""),"reply")</f>
        <v>reply</v>
      </c>
      <c r="I3065"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5" s="1" t="str">
        <f>IFERROR(__xludf.DUMMYFUNCTION("""COMPUTED_VALUE"""),"2022-07-04T21:38:41.009Z")</f>
        <v>2022-07-04T21:38:41.009Z</v>
      </c>
      <c r="K3065" s="1"/>
    </row>
    <row r="3066">
      <c r="A3066" s="2" t="str">
        <f>IFERROR(__xludf.DUMMYFUNCTION("""COMPUTED_VALUE"""),"https://www.facebook.com/profile.php?id=100077170219530")</f>
        <v>https://www.facebook.com/profile.php?id=100077170219530</v>
      </c>
      <c r="B3066" s="1" t="str">
        <f>IFERROR(__xludf.DUMMYFUNCTION("""COMPUTED_VALUE"""),"Juanetta Jenkins")</f>
        <v>Juanetta Jenkins</v>
      </c>
      <c r="C3066" s="1" t="str">
        <f>IFERROR(__xludf.DUMMYFUNCTION("""COMPUTED_VALUE"""),"Juanetta")</f>
        <v>Juanetta</v>
      </c>
      <c r="D3066" s="1" t="str">
        <f>IFERROR(__xludf.DUMMYFUNCTION("""COMPUTED_VALUE"""),"Jenkins")</f>
        <v>Jenkins</v>
      </c>
      <c r="E3066" s="1" t="str">
        <f>IFERROR(__xludf.DUMMYFUNCTION("""COMPUTED_VALUE"""),"Salamat sa mabubuting gawa isko si Mayor Isko Moreno ang sagot sa Bayan Magaling si isko kaya sya ang iboboto ko.")</f>
        <v>Salamat sa mabubuting gawa isko si Mayor Isko Moreno ang sagot sa Bayan Magaling si isko kaya sya ang iboboto ko.</v>
      </c>
      <c r="F3066" s="1"/>
      <c r="G3066" s="1" t="str">
        <f>IFERROR(__xludf.DUMMYFUNCTION("""COMPUTED_VALUE"""),"3 mos")</f>
        <v>3 mos</v>
      </c>
      <c r="H3066" s="1" t="str">
        <f>IFERROR(__xludf.DUMMYFUNCTION("""COMPUTED_VALUE"""),"comment")</f>
        <v>comment</v>
      </c>
      <c r="I3066"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6" s="1" t="str">
        <f>IFERROR(__xludf.DUMMYFUNCTION("""COMPUTED_VALUE"""),"2022-07-04T21:38:41.009Z")</f>
        <v>2022-07-04T21:38:41.009Z</v>
      </c>
      <c r="K3066" s="1"/>
    </row>
    <row r="3067">
      <c r="A3067" s="2" t="str">
        <f>IFERROR(__xludf.DUMMYFUNCTION("""COMPUTED_VALUE"""),"https://www.facebook.com/profile.php?id=100075805955471")</f>
        <v>https://www.facebook.com/profile.php?id=100075805955471</v>
      </c>
      <c r="B3067" s="1" t="str">
        <f>IFERROR(__xludf.DUMMYFUNCTION("""COMPUTED_VALUE"""),"Kita Sharif")</f>
        <v>Kita Sharif</v>
      </c>
      <c r="C3067" s="1" t="str">
        <f>IFERROR(__xludf.DUMMYFUNCTION("""COMPUTED_VALUE"""),"Kita")</f>
        <v>Kita</v>
      </c>
      <c r="D3067" s="1" t="str">
        <f>IFERROR(__xludf.DUMMYFUNCTION("""COMPUTED_VALUE"""),"Sharif")</f>
        <v>Sharif</v>
      </c>
      <c r="E3067" s="1" t="str">
        <f>IFERROR(__xludf.DUMMYFUNCTION("""COMPUTED_VALUE"""),"si Mayor Isko Moreno talaga ang aking iboboto go lang po yorme#3ParaKayIsko #3forme #3ParaKayIsko #3forme #3ParaKayIsko #3forme #3ParaKayIsko #3forme")</f>
        <v>si Mayor Isko Moreno talaga ang aking iboboto go lang po yorme#3ParaKayIsko #3forme #3ParaKayIsko #3forme #3ParaKayIsko #3forme #3ParaKayIsko #3forme</v>
      </c>
      <c r="F3067" s="1"/>
      <c r="G3067" s="1" t="str">
        <f>IFERROR(__xludf.DUMMYFUNCTION("""COMPUTED_VALUE"""),"3 mos")</f>
        <v>3 mos</v>
      </c>
      <c r="H3067" s="1" t="str">
        <f>IFERROR(__xludf.DUMMYFUNCTION("""COMPUTED_VALUE"""),"comment")</f>
        <v>comment</v>
      </c>
      <c r="I3067"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7" s="1" t="str">
        <f>IFERROR(__xludf.DUMMYFUNCTION("""COMPUTED_VALUE"""),"2022-07-04T21:38:41.009Z")</f>
        <v>2022-07-04T21:38:41.009Z</v>
      </c>
      <c r="K3067" s="1"/>
    </row>
    <row r="3068">
      <c r="A3068" s="2" t="str">
        <f>IFERROR(__xludf.DUMMYFUNCTION("""COMPUTED_VALUE"""),"https://www.facebook.com/profile.php?id=100078360290135")</f>
        <v>https://www.facebook.com/profile.php?id=100078360290135</v>
      </c>
      <c r="B3068" s="1" t="str">
        <f>IFERROR(__xludf.DUMMYFUNCTION("""COMPUTED_VALUE"""),"Anbessa Paulin")</f>
        <v>Anbessa Paulin</v>
      </c>
      <c r="C3068" s="1" t="str">
        <f>IFERROR(__xludf.DUMMYFUNCTION("""COMPUTED_VALUE"""),"Anbessa")</f>
        <v>Anbessa</v>
      </c>
      <c r="D3068" s="1" t="str">
        <f>IFERROR(__xludf.DUMMYFUNCTION("""COMPUTED_VALUE"""),"Paulin")</f>
        <v>Paulin</v>
      </c>
      <c r="E3068" s="1" t="str">
        <f>IFERROR(__xludf.DUMMYFUNCTION("""COMPUTED_VALUE"""),"ang pagmamahal sa bayan ay si isko ang mayroon Kudos kay isko sayo kami. Kanunay nga adunay buhaton si Isko ug dali nga molihok")</f>
        <v>ang pagmamahal sa bayan ay si isko ang mayroon Kudos kay isko sayo kami. Kanunay nga adunay buhaton si Isko ug dali nga molihok</v>
      </c>
      <c r="F3068" s="1"/>
      <c r="G3068" s="1" t="str">
        <f>IFERROR(__xludf.DUMMYFUNCTION("""COMPUTED_VALUE"""),"3 mos")</f>
        <v>3 mos</v>
      </c>
      <c r="H3068" s="1" t="str">
        <f>IFERROR(__xludf.DUMMYFUNCTION("""COMPUTED_VALUE"""),"comment")</f>
        <v>comment</v>
      </c>
      <c r="I3068"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8" s="1" t="str">
        <f>IFERROR(__xludf.DUMMYFUNCTION("""COMPUTED_VALUE"""),"2022-07-04T21:38:41.009Z")</f>
        <v>2022-07-04T21:38:41.009Z</v>
      </c>
      <c r="K3068" s="1"/>
    </row>
    <row r="3069">
      <c r="A3069" s="2" t="str">
        <f>IFERROR(__xludf.DUMMYFUNCTION("""COMPUTED_VALUE"""),"https://www.facebook.com/profile.php?id=100078889116529")</f>
        <v>https://www.facebook.com/profile.php?id=100078889116529</v>
      </c>
      <c r="B3069" s="1" t="str">
        <f>IFERROR(__xludf.DUMMYFUNCTION("""COMPUTED_VALUE"""),"Leilani Daculug")</f>
        <v>Leilani Daculug</v>
      </c>
      <c r="C3069" s="1" t="str">
        <f>IFERROR(__xludf.DUMMYFUNCTION("""COMPUTED_VALUE"""),"Leilani")</f>
        <v>Leilani</v>
      </c>
      <c r="D3069" s="1" t="str">
        <f>IFERROR(__xludf.DUMMYFUNCTION("""COMPUTED_VALUE"""),"Daculug")</f>
        <v>Daculug</v>
      </c>
      <c r="E3069" s="1" t="str">
        <f>IFERROR(__xludf.DUMMYFUNCTION("""COMPUTED_VALUE"""),"si isko the best talaga sa lahat. Isko never do such corruption , he will serve as a good leader we should vote for him #3ParaKayIsko #3forme  Kay isko may boses ang mahihirap.")</f>
        <v>si isko the best talaga sa lahat. Isko never do such corruption , he will serve as a good leader we should vote for him #3ParaKayIsko #3forme  Kay isko may boses ang mahihirap.</v>
      </c>
      <c r="F3069" s="1"/>
      <c r="G3069" s="1" t="str">
        <f>IFERROR(__xludf.DUMMYFUNCTION("""COMPUTED_VALUE"""),"3 mos")</f>
        <v>3 mos</v>
      </c>
      <c r="H3069" s="1" t="str">
        <f>IFERROR(__xludf.DUMMYFUNCTION("""COMPUTED_VALUE"""),"comment")</f>
        <v>comment</v>
      </c>
      <c r="I3069"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69" s="1" t="str">
        <f>IFERROR(__xludf.DUMMYFUNCTION("""COMPUTED_VALUE"""),"2022-07-04T21:38:41.009Z")</f>
        <v>2022-07-04T21:38:41.009Z</v>
      </c>
      <c r="K3069" s="1"/>
    </row>
    <row r="3070">
      <c r="A3070" s="2" t="str">
        <f>IFERROR(__xludf.DUMMYFUNCTION("""COMPUTED_VALUE"""),"https://www.facebook.com/profile.php?id=100077311853138")</f>
        <v>https://www.facebook.com/profile.php?id=100077311853138</v>
      </c>
      <c r="B3070" s="1" t="str">
        <f>IFERROR(__xludf.DUMMYFUNCTION("""COMPUTED_VALUE"""),"David Dilanggalen")</f>
        <v>David Dilanggalen</v>
      </c>
      <c r="C3070" s="1" t="str">
        <f>IFERROR(__xludf.DUMMYFUNCTION("""COMPUTED_VALUE"""),"David")</f>
        <v>David</v>
      </c>
      <c r="D3070" s="1" t="str">
        <f>IFERROR(__xludf.DUMMYFUNCTION("""COMPUTED_VALUE"""),"Dilanggalen")</f>
        <v>Dilanggalen</v>
      </c>
      <c r="E3070" s="1" t="str">
        <f>IFERROR(__xludf.DUMMYFUNCTION("""COMPUTED_VALUE"""),"Lagi talagang may aksyon si Isko kay isko kami talagang magaling. Talagang si isko ang nararapat.")</f>
        <v>Lagi talagang may aksyon si Isko kay isko kami talagang magaling. Talagang si isko ang nararapat.</v>
      </c>
      <c r="F3070" s="1"/>
      <c r="G3070" s="1" t="str">
        <f>IFERROR(__xludf.DUMMYFUNCTION("""COMPUTED_VALUE"""),"3 mos")</f>
        <v>3 mos</v>
      </c>
      <c r="H3070" s="1" t="str">
        <f>IFERROR(__xludf.DUMMYFUNCTION("""COMPUTED_VALUE"""),"comment")</f>
        <v>comment</v>
      </c>
      <c r="I3070"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0" s="1" t="str">
        <f>IFERROR(__xludf.DUMMYFUNCTION("""COMPUTED_VALUE"""),"2022-07-04T21:38:41.009Z")</f>
        <v>2022-07-04T21:38:41.009Z</v>
      </c>
      <c r="K3070" s="1"/>
    </row>
    <row r="3071">
      <c r="A3071" s="2" t="str">
        <f>IFERROR(__xludf.DUMMYFUNCTION("""COMPUTED_VALUE"""),"https://www.facebook.com/profile.php?id=100078635051322")</f>
        <v>https://www.facebook.com/profile.php?id=100078635051322</v>
      </c>
      <c r="B3071" s="1" t="str">
        <f>IFERROR(__xludf.DUMMYFUNCTION("""COMPUTED_VALUE"""),"Madelyn Caldero")</f>
        <v>Madelyn Caldero</v>
      </c>
      <c r="C3071" s="1" t="str">
        <f>IFERROR(__xludf.DUMMYFUNCTION("""COMPUTED_VALUE"""),"Madelyn")</f>
        <v>Madelyn</v>
      </c>
      <c r="D3071" s="1" t="str">
        <f>IFERROR(__xludf.DUMMYFUNCTION("""COMPUTED_VALUE"""),"Caldero")</f>
        <v>Caldero</v>
      </c>
      <c r="E3071" s="1" t="str">
        <f>IFERROR(__xludf.DUMMYFUNCTION("""COMPUTED_VALUE"""),"Kaya ko iboboto si Isko kase marami nagawa at mapapatunayan Salute to isko moreno. Totoo at maasahan natin si Isko")</f>
        <v>Kaya ko iboboto si Isko kase marami nagawa at mapapatunayan Salute to isko moreno. Totoo at maasahan natin si Isko</v>
      </c>
      <c r="F3071" s="1"/>
      <c r="G3071" s="1" t="str">
        <f>IFERROR(__xludf.DUMMYFUNCTION("""COMPUTED_VALUE"""),"3 mos")</f>
        <v>3 mos</v>
      </c>
      <c r="H3071" s="1" t="str">
        <f>IFERROR(__xludf.DUMMYFUNCTION("""COMPUTED_VALUE"""),"comment")</f>
        <v>comment</v>
      </c>
      <c r="I3071"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1" s="1" t="str">
        <f>IFERROR(__xludf.DUMMYFUNCTION("""COMPUTED_VALUE"""),"2022-07-04T21:38:41.009Z")</f>
        <v>2022-07-04T21:38:41.009Z</v>
      </c>
      <c r="K3071" s="1"/>
    </row>
    <row r="3072">
      <c r="A3072" s="2" t="str">
        <f>IFERROR(__xludf.DUMMYFUNCTION("""COMPUTED_VALUE"""),"https://www.facebook.com/profile.php?id=100078958080591")</f>
        <v>https://www.facebook.com/profile.php?id=100078958080591</v>
      </c>
      <c r="B3072" s="1" t="str">
        <f>IFERROR(__xludf.DUMMYFUNCTION("""COMPUTED_VALUE"""),"Valentina Salvador")</f>
        <v>Valentina Salvador</v>
      </c>
      <c r="C3072" s="1" t="str">
        <f>IFERROR(__xludf.DUMMYFUNCTION("""COMPUTED_VALUE"""),"Valentina")</f>
        <v>Valentina</v>
      </c>
      <c r="D3072" s="1" t="str">
        <f>IFERROR(__xludf.DUMMYFUNCTION("""COMPUTED_VALUE"""),"Salvador")</f>
        <v>Salvador</v>
      </c>
      <c r="E3072" s="1" t="str">
        <f>IFERROR(__xludf.DUMMYFUNCTION("""COMPUTED_VALUE"""),"Sge nga? Sino lang ba ang kandidatong maraming gawa? ISKO MORENO DBA? ikaw ang susuportahan namin")</f>
        <v>Sge nga? Sino lang ba ang kandidatong maraming gawa? ISKO MORENO DBA? ikaw ang susuportahan namin</v>
      </c>
      <c r="F3072" s="1"/>
      <c r="G3072" s="1" t="str">
        <f>IFERROR(__xludf.DUMMYFUNCTION("""COMPUTED_VALUE"""),"3 mos")</f>
        <v>3 mos</v>
      </c>
      <c r="H3072" s="1" t="str">
        <f>IFERROR(__xludf.DUMMYFUNCTION("""COMPUTED_VALUE"""),"comment")</f>
        <v>comment</v>
      </c>
      <c r="I3072"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2" s="1" t="str">
        <f>IFERROR(__xludf.DUMMYFUNCTION("""COMPUTED_VALUE"""),"2022-07-04T21:38:41.009Z")</f>
        <v>2022-07-04T21:38:41.009Z</v>
      </c>
      <c r="K3072" s="1"/>
    </row>
    <row r="3073">
      <c r="A3073" s="2" t="str">
        <f>IFERROR(__xludf.DUMMYFUNCTION("""COMPUTED_VALUE"""),"https://www.facebook.com/profile.php?id=100078791799526")</f>
        <v>https://www.facebook.com/profile.php?id=100078791799526</v>
      </c>
      <c r="B3073" s="1" t="str">
        <f>IFERROR(__xludf.DUMMYFUNCTION("""COMPUTED_VALUE"""),"Connor Magalona")</f>
        <v>Connor Magalona</v>
      </c>
      <c r="C3073" s="1" t="str">
        <f>IFERROR(__xludf.DUMMYFUNCTION("""COMPUTED_VALUE"""),"Connor")</f>
        <v>Connor</v>
      </c>
      <c r="D3073" s="1" t="str">
        <f>IFERROR(__xludf.DUMMYFUNCTION("""COMPUTED_VALUE"""),"Magalona")</f>
        <v>Magalona</v>
      </c>
      <c r="E3073" s="1" t="str">
        <f>IFERROR(__xludf.DUMMYFUNCTION("""COMPUTED_VALUE"""),"Mabisa maging leader si isko. Grabe umaksyon si isko kaya dyan kami. Isko is diligent in his duty")</f>
        <v>Mabisa maging leader si isko. Grabe umaksyon si isko kaya dyan kami. Isko is diligent in his duty</v>
      </c>
      <c r="F3073" s="1"/>
      <c r="G3073" s="1" t="str">
        <f>IFERROR(__xludf.DUMMYFUNCTION("""COMPUTED_VALUE"""),"3 mos")</f>
        <v>3 mos</v>
      </c>
      <c r="H3073" s="1" t="str">
        <f>IFERROR(__xludf.DUMMYFUNCTION("""COMPUTED_VALUE"""),"comment")</f>
        <v>comment</v>
      </c>
      <c r="I3073"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3" s="1" t="str">
        <f>IFERROR(__xludf.DUMMYFUNCTION("""COMPUTED_VALUE"""),"2022-07-04T21:38:41.009Z")</f>
        <v>2022-07-04T21:38:41.009Z</v>
      </c>
      <c r="K3073" s="1"/>
    </row>
    <row r="3074">
      <c r="A3074" s="2" t="str">
        <f>IFERROR(__xludf.DUMMYFUNCTION("""COMPUTED_VALUE"""),"https://www.facebook.com/profile.php?id=100078910084321")</f>
        <v>https://www.facebook.com/profile.php?id=100078910084321</v>
      </c>
      <c r="B3074" s="1" t="str">
        <f>IFERROR(__xludf.DUMMYFUNCTION("""COMPUTED_VALUE"""),"Kyleigh Lauzon")</f>
        <v>Kyleigh Lauzon</v>
      </c>
      <c r="C3074" s="1" t="str">
        <f>IFERROR(__xludf.DUMMYFUNCTION("""COMPUTED_VALUE"""),"Kyleigh")</f>
        <v>Kyleigh</v>
      </c>
      <c r="D3074" s="1" t="str">
        <f>IFERROR(__xludf.DUMMYFUNCTION("""COMPUTED_VALUE"""),"Lauzon")</f>
        <v>Lauzon</v>
      </c>
      <c r="E3074" s="1" t="str">
        <f>IFERROR(__xludf.DUMMYFUNCTION("""COMPUTED_VALUE"""),"isa ako sa mga natulungan mo na po Isko always has action that helps filipino Kanunay adunay buhaton si Isko")</f>
        <v>isa ako sa mga natulungan mo na po Isko always has action that helps filipino Kanunay adunay buhaton si Isko</v>
      </c>
      <c r="F3074" s="1"/>
      <c r="G3074" s="1" t="str">
        <f>IFERROR(__xludf.DUMMYFUNCTION("""COMPUTED_VALUE"""),"3 mos")</f>
        <v>3 mos</v>
      </c>
      <c r="H3074" s="1" t="str">
        <f>IFERROR(__xludf.DUMMYFUNCTION("""COMPUTED_VALUE"""),"comment")</f>
        <v>comment</v>
      </c>
      <c r="I3074"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4" s="1" t="str">
        <f>IFERROR(__xludf.DUMMYFUNCTION("""COMPUTED_VALUE"""),"2022-07-04T21:38:41.009Z")</f>
        <v>2022-07-04T21:38:41.009Z</v>
      </c>
      <c r="K3074" s="1"/>
    </row>
    <row r="3075">
      <c r="A3075" s="2" t="str">
        <f>IFERROR(__xludf.DUMMYFUNCTION("""COMPUTED_VALUE"""),"https://www.facebook.com/profile.php?id=100078431061985")</f>
        <v>https://www.facebook.com/profile.php?id=100078431061985</v>
      </c>
      <c r="B3075" s="1" t="str">
        <f>IFERROR(__xludf.DUMMYFUNCTION("""COMPUTED_VALUE"""),"Orquidia Sason")</f>
        <v>Orquidia Sason</v>
      </c>
      <c r="C3075" s="1" t="str">
        <f>IFERROR(__xludf.DUMMYFUNCTION("""COMPUTED_VALUE"""),"Orquidia")</f>
        <v>Orquidia</v>
      </c>
      <c r="D3075" s="1" t="str">
        <f>IFERROR(__xludf.DUMMYFUNCTION("""COMPUTED_VALUE"""),"Sason")</f>
        <v>Sason</v>
      </c>
      <c r="E3075" s="1" t="str">
        <f>IFERROR(__xludf.DUMMYFUNCTION("""COMPUTED_VALUE"""),"Kahit anong mangyare isko parin. go Isko, nasa likod mo ang buong bansa#3ParaKayIsko #3forme")</f>
        <v>Kahit anong mangyare isko parin. go Isko, nasa likod mo ang buong bansa#3ParaKayIsko #3forme</v>
      </c>
      <c r="F3075" s="1"/>
      <c r="G3075" s="1" t="str">
        <f>IFERROR(__xludf.DUMMYFUNCTION("""COMPUTED_VALUE"""),"3 mos")</f>
        <v>3 mos</v>
      </c>
      <c r="H3075" s="1" t="str">
        <f>IFERROR(__xludf.DUMMYFUNCTION("""COMPUTED_VALUE"""),"comment")</f>
        <v>comment</v>
      </c>
      <c r="I3075"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5" s="1" t="str">
        <f>IFERROR(__xludf.DUMMYFUNCTION("""COMPUTED_VALUE"""),"2022-07-04T21:38:41.009Z")</f>
        <v>2022-07-04T21:38:41.009Z</v>
      </c>
      <c r="K3075" s="1"/>
    </row>
    <row r="3076">
      <c r="A3076" s="2" t="str">
        <f>IFERROR(__xludf.DUMMYFUNCTION("""COMPUTED_VALUE"""),"https://www.facebook.com/profile.php?id=100078847867707")</f>
        <v>https://www.facebook.com/profile.php?id=100078847867707</v>
      </c>
      <c r="B3076" s="1" t="str">
        <f>IFERROR(__xludf.DUMMYFUNCTION("""COMPUTED_VALUE"""),"Adrien Magsino")</f>
        <v>Adrien Magsino</v>
      </c>
      <c r="C3076" s="1" t="str">
        <f>IFERROR(__xludf.DUMMYFUNCTION("""COMPUTED_VALUE"""),"Adrien")</f>
        <v>Adrien</v>
      </c>
      <c r="D3076" s="1" t="str">
        <f>IFERROR(__xludf.DUMMYFUNCTION("""COMPUTED_VALUE"""),"Magsino")</f>
        <v>Magsino</v>
      </c>
      <c r="E3076" s="1" t="str">
        <f>IFERROR(__xludf.DUMMYFUNCTION("""COMPUTED_VALUE"""),"sa mahihirap nandiyan si Isko noon paman tiwala na ako kay Isko #3ParaKayIsko #3forme")</f>
        <v>sa mahihirap nandiyan si Isko noon paman tiwala na ako kay Isko #3ParaKayIsko #3forme</v>
      </c>
      <c r="F3076" s="1"/>
      <c r="G3076" s="1" t="str">
        <f>IFERROR(__xludf.DUMMYFUNCTION("""COMPUTED_VALUE"""),"3 mos")</f>
        <v>3 mos</v>
      </c>
      <c r="H3076" s="1" t="str">
        <f>IFERROR(__xludf.DUMMYFUNCTION("""COMPUTED_VALUE"""),"comment")</f>
        <v>comment</v>
      </c>
      <c r="I3076"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6" s="1" t="str">
        <f>IFERROR(__xludf.DUMMYFUNCTION("""COMPUTED_VALUE"""),"2022-07-04T21:38:41.009Z")</f>
        <v>2022-07-04T21:38:41.009Z</v>
      </c>
      <c r="K3076" s="1"/>
    </row>
    <row r="3077">
      <c r="A3077" s="2" t="str">
        <f>IFERROR(__xludf.DUMMYFUNCTION("""COMPUTED_VALUE"""),"https://www.facebook.com/rey.delabe.988")</f>
        <v>https://www.facebook.com/rey.delabe.988</v>
      </c>
      <c r="B3077" s="1" t="str">
        <f>IFERROR(__xludf.DUMMYFUNCTION("""COMPUTED_VALUE"""),"Rey Delabe")</f>
        <v>Rey Delabe</v>
      </c>
      <c r="C3077" s="1" t="str">
        <f>IFERROR(__xludf.DUMMYFUNCTION("""COMPUTED_VALUE"""),"Rey")</f>
        <v>Rey</v>
      </c>
      <c r="D3077" s="1" t="str">
        <f>IFERROR(__xludf.DUMMYFUNCTION("""COMPUTED_VALUE"""),"Delabe")</f>
        <v>Delabe</v>
      </c>
      <c r="E3077" s="1" t="str">
        <f>IFERROR(__xludf.DUMMYFUNCTION("""COMPUTED_VALUE"""),"Hahaha kahit ke Madam Lugs lotayan si Eskopatiko🤣🤣🤣")</f>
        <v>Hahaha kahit ke Madam Lugs lotayan si Eskopatiko🤣🤣🤣</v>
      </c>
      <c r="F3077" s="1"/>
      <c r="G3077" s="1" t="str">
        <f>IFERROR(__xludf.DUMMYFUNCTION("""COMPUTED_VALUE"""),"3 mos")</f>
        <v>3 mos</v>
      </c>
      <c r="H3077" s="1" t="str">
        <f>IFERROR(__xludf.DUMMYFUNCTION("""COMPUTED_VALUE"""),"comment")</f>
        <v>comment</v>
      </c>
      <c r="I3077"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7" s="1" t="str">
        <f>IFERROR(__xludf.DUMMYFUNCTION("""COMPUTED_VALUE"""),"2022-07-04T21:38:41.009Z")</f>
        <v>2022-07-04T21:38:41.009Z</v>
      </c>
      <c r="K3077" s="1"/>
    </row>
    <row r="3078">
      <c r="A3078" s="2" t="str">
        <f>IFERROR(__xludf.DUMMYFUNCTION("""COMPUTED_VALUE"""),"https://www.facebook.com/profile.php?id=100078672788984")</f>
        <v>https://www.facebook.com/profile.php?id=100078672788984</v>
      </c>
      <c r="B3078" s="1" t="str">
        <f>IFERROR(__xludf.DUMMYFUNCTION("""COMPUTED_VALUE"""),"Harry Lacsamana")</f>
        <v>Harry Lacsamana</v>
      </c>
      <c r="C3078" s="1" t="str">
        <f>IFERROR(__xludf.DUMMYFUNCTION("""COMPUTED_VALUE"""),"Harry")</f>
        <v>Harry</v>
      </c>
      <c r="D3078" s="1" t="str">
        <f>IFERROR(__xludf.DUMMYFUNCTION("""COMPUTED_VALUE"""),"Lacsamana")</f>
        <v>Lacsamana</v>
      </c>
      <c r="E3078" s="1" t="str">
        <f>IFERROR(__xludf.DUMMYFUNCTION("""COMPUTED_VALUE"""),"Dyan kami kay isko solid mangalaga. isko moreno talagang marunong kaya dyan ako.")</f>
        <v>Dyan kami kay isko solid mangalaga. isko moreno talagang marunong kaya dyan ako.</v>
      </c>
      <c r="F3078" s="1"/>
      <c r="G3078" s="1" t="str">
        <f>IFERROR(__xludf.DUMMYFUNCTION("""COMPUTED_VALUE"""),"3 mos")</f>
        <v>3 mos</v>
      </c>
      <c r="H3078" s="1" t="str">
        <f>IFERROR(__xludf.DUMMYFUNCTION("""COMPUTED_VALUE"""),"comment")</f>
        <v>comment</v>
      </c>
      <c r="I3078"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8" s="1" t="str">
        <f>IFERROR(__xludf.DUMMYFUNCTION("""COMPUTED_VALUE"""),"2022-07-04T21:38:41.009Z")</f>
        <v>2022-07-04T21:38:41.009Z</v>
      </c>
      <c r="K3078" s="1"/>
    </row>
    <row r="3079">
      <c r="A3079" s="2" t="str">
        <f>IFERROR(__xludf.DUMMYFUNCTION("""COMPUTED_VALUE"""),"https://www.facebook.com/bin.abdulmalikimam")</f>
        <v>https://www.facebook.com/bin.abdulmalikimam</v>
      </c>
      <c r="B3079" s="1" t="str">
        <f>IFERROR(__xludf.DUMMYFUNCTION("""COMPUTED_VALUE"""),"Bin Malik")</f>
        <v>Bin Malik</v>
      </c>
      <c r="C3079" s="1" t="str">
        <f>IFERROR(__xludf.DUMMYFUNCTION("""COMPUTED_VALUE"""),"Bin")</f>
        <v>Bin</v>
      </c>
      <c r="D3079" s="1" t="str">
        <f>IFERROR(__xludf.DUMMYFUNCTION("""COMPUTED_VALUE"""),"Malik")</f>
        <v>Malik</v>
      </c>
      <c r="E3079" s="1" t="str">
        <f>IFERROR(__xludf.DUMMYFUNCTION("""COMPUTED_VALUE"""),"Good job drieza ang sumalpal kay weak leader sa senado☝️💙 isko lang kami wala ng iba☝️")</f>
        <v>Good job drieza ang sumalpal kay weak leader sa senado☝️💙 isko lang kami wala ng iba☝️</v>
      </c>
      <c r="F3079" s="1"/>
      <c r="G3079" s="1" t="str">
        <f>IFERROR(__xludf.DUMMYFUNCTION("""COMPUTED_VALUE"""),"3 mos")</f>
        <v>3 mos</v>
      </c>
      <c r="H3079" s="1" t="str">
        <f>IFERROR(__xludf.DUMMYFUNCTION("""COMPUTED_VALUE"""),"comment")</f>
        <v>comment</v>
      </c>
      <c r="I3079"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79" s="1" t="str">
        <f>IFERROR(__xludf.DUMMYFUNCTION("""COMPUTED_VALUE"""),"2022-07-04T21:38:41.009Z")</f>
        <v>2022-07-04T21:38:41.009Z</v>
      </c>
      <c r="K3079" s="1"/>
    </row>
    <row r="3080">
      <c r="A3080" s="2" t="str">
        <f>IFERROR(__xludf.DUMMYFUNCTION("""COMPUTED_VALUE"""),"https://www.facebook.com/dennismanaladd")</f>
        <v>https://www.facebook.com/dennismanaladd</v>
      </c>
      <c r="B3080" s="1" t="str">
        <f>IFERROR(__xludf.DUMMYFUNCTION("""COMPUTED_VALUE"""),"Dennis Manalad")</f>
        <v>Dennis Manalad</v>
      </c>
      <c r="C3080" s="1" t="str">
        <f>IFERROR(__xludf.DUMMYFUNCTION("""COMPUTED_VALUE"""),"Dennis")</f>
        <v>Dennis</v>
      </c>
      <c r="D3080" s="1" t="str">
        <f>IFERROR(__xludf.DUMMYFUNCTION("""COMPUTED_VALUE"""),"Manalad")</f>
        <v>Manalad</v>
      </c>
      <c r="E3080" s="1" t="str">
        <f>IFERROR(__xludf.DUMMYFUNCTION("""COMPUTED_VALUE"""),"kung nakukulangan po sa strategy  campaign sana po suggest tayo para mas gumanda at maging successful ang campaign rally ng ating pambato. Isko Moreno Domagoso for President.")</f>
        <v>kung nakukulangan po sa strategy  campaign sana po suggest tayo para mas gumanda at maging successful ang campaign rally ng ating pambato. Isko Moreno Domagoso for President.</v>
      </c>
      <c r="F3080" s="1"/>
      <c r="G3080" s="1" t="str">
        <f>IFERROR(__xludf.DUMMYFUNCTION("""COMPUTED_VALUE"""),"3 mos")</f>
        <v>3 mos</v>
      </c>
      <c r="H3080" s="1" t="str">
        <f>IFERROR(__xludf.DUMMYFUNCTION("""COMPUTED_VALUE"""),"comment")</f>
        <v>comment</v>
      </c>
      <c r="I3080"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80" s="1" t="str">
        <f>IFERROR(__xludf.DUMMYFUNCTION("""COMPUTED_VALUE"""),"2022-07-04T21:38:41.009Z")</f>
        <v>2022-07-04T21:38:41.009Z</v>
      </c>
      <c r="K3080" s="1"/>
    </row>
    <row r="3081">
      <c r="A3081" s="2" t="str">
        <f>IFERROR(__xludf.DUMMYFUNCTION("""COMPUTED_VALUE"""),"https://www.facebook.com/profile.php?id=100074253206798")</f>
        <v>https://www.facebook.com/profile.php?id=100074253206798</v>
      </c>
      <c r="B3081" s="1" t="str">
        <f>IFERROR(__xludf.DUMMYFUNCTION("""COMPUTED_VALUE"""),"Allan Guerrero Gaddi")</f>
        <v>Allan Guerrero Gaddi</v>
      </c>
      <c r="C3081" s="1" t="str">
        <f>IFERROR(__xludf.DUMMYFUNCTION("""COMPUTED_VALUE"""),"Allan")</f>
        <v>Allan</v>
      </c>
      <c r="D3081" s="1" t="str">
        <f>IFERROR(__xludf.DUMMYFUNCTION("""COMPUTED_VALUE"""),"Guerrero Gaddi")</f>
        <v>Guerrero Gaddi</v>
      </c>
      <c r="E3081" s="1" t="str">
        <f>IFERROR(__xludf.DUMMYFUNCTION("""COMPUTED_VALUE"""),"ISKO NA TALAGA!! #SWITCHTOISKO #BILISKILOS")</f>
        <v>ISKO NA TALAGA!! #SWITCHTOISKO #BILISKILOS</v>
      </c>
      <c r="F3081" s="1">
        <f>IFERROR(__xludf.DUMMYFUNCTION("""COMPUTED_VALUE"""),3.0)</f>
        <v>3</v>
      </c>
      <c r="G3081" s="1" t="str">
        <f>IFERROR(__xludf.DUMMYFUNCTION("""COMPUTED_VALUE"""),"3 mos")</f>
        <v>3 mos</v>
      </c>
      <c r="H3081" s="1" t="str">
        <f>IFERROR(__xludf.DUMMYFUNCTION("""COMPUTED_VALUE"""),"comment")</f>
        <v>comment</v>
      </c>
      <c r="I3081"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81" s="1" t="str">
        <f>IFERROR(__xludf.DUMMYFUNCTION("""COMPUTED_VALUE"""),"2022-07-04T21:38:41.009Z")</f>
        <v>2022-07-04T21:38:41.009Z</v>
      </c>
      <c r="K3081" s="1"/>
    </row>
    <row r="3082">
      <c r="A3082" s="2" t="str">
        <f>IFERROR(__xludf.DUMMYFUNCTION("""COMPUTED_VALUE"""),"https://www.facebook.com/jed.alegado")</f>
        <v>https://www.facebook.com/jed.alegado</v>
      </c>
      <c r="B3082" s="1" t="str">
        <f>IFERROR(__xludf.DUMMYFUNCTION("""COMPUTED_VALUE"""),"Jed Baluyot Alegado")</f>
        <v>Jed Baluyot Alegado</v>
      </c>
      <c r="C3082" s="1" t="str">
        <f>IFERROR(__xludf.DUMMYFUNCTION("""COMPUTED_VALUE"""),"Jed")</f>
        <v>Jed</v>
      </c>
      <c r="D3082" s="1" t="str">
        <f>IFERROR(__xludf.DUMMYFUNCTION("""COMPUTED_VALUE"""),"Baluyot Alegado")</f>
        <v>Baluyot Alegado</v>
      </c>
      <c r="E3082" s="1" t="str">
        <f>IFERROR(__xludf.DUMMYFUNCTION("""COMPUTED_VALUE"""),"Argee Gallardo")</f>
        <v>Argee Gallardo</v>
      </c>
      <c r="F3082" s="1"/>
      <c r="G3082" s="1" t="str">
        <f>IFERROR(__xludf.DUMMYFUNCTION("""COMPUTED_VALUE"""),"3 mos")</f>
        <v>3 mos</v>
      </c>
      <c r="H3082" s="1" t="str">
        <f>IFERROR(__xludf.DUMMYFUNCTION("""COMPUTED_VALUE"""),"comment")</f>
        <v>comment</v>
      </c>
      <c r="I3082"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82" s="1" t="str">
        <f>IFERROR(__xludf.DUMMYFUNCTION("""COMPUTED_VALUE"""),"2022-07-04T21:38:41.009Z")</f>
        <v>2022-07-04T21:38:41.009Z</v>
      </c>
      <c r="K3082" s="1"/>
    </row>
    <row r="3083">
      <c r="A3083" s="2" t="str">
        <f>IFERROR(__xludf.DUMMYFUNCTION("""COMPUTED_VALUE"""),"https://www.facebook.com/gobi.castle.9")</f>
        <v>https://www.facebook.com/gobi.castle.9</v>
      </c>
      <c r="B3083" s="1" t="str">
        <f>IFERROR(__xludf.DUMMYFUNCTION("""COMPUTED_VALUE"""),"Rommel Constantine Castillo")</f>
        <v>Rommel Constantine Castillo</v>
      </c>
      <c r="C3083" s="1" t="str">
        <f>IFERROR(__xludf.DUMMYFUNCTION("""COMPUTED_VALUE"""),"Rommel")</f>
        <v>Rommel</v>
      </c>
      <c r="D3083" s="1" t="str">
        <f>IFERROR(__xludf.DUMMYFUNCTION("""COMPUTED_VALUE"""),"Constantine Castillo")</f>
        <v>Constantine Castillo</v>
      </c>
      <c r="E3083" s="1" t="str">
        <f>IFERROR(__xludf.DUMMYFUNCTION("""COMPUTED_VALUE"""),"Eh DDS halos lahat ng campaign team nya and DDS naman talaga si Isko di nya maitatago ... Trapo in short.")</f>
        <v>Eh DDS halos lahat ng campaign team nya and DDS naman talaga si Isko di nya maitatago ... Trapo in short.</v>
      </c>
      <c r="F3083" s="1"/>
      <c r="G3083" s="1" t="str">
        <f>IFERROR(__xludf.DUMMYFUNCTION("""COMPUTED_VALUE"""),"3 mos")</f>
        <v>3 mos</v>
      </c>
      <c r="H3083" s="1" t="str">
        <f>IFERROR(__xludf.DUMMYFUNCTION("""COMPUTED_VALUE"""),"comment")</f>
        <v>comment</v>
      </c>
      <c r="I3083" s="2" t="str">
        <f>IFERROR(__xludf.DUMMYFUNCTION("""COMPUTED_VALUE"""),"https://www.facebook.com/rapplerdotcom/posts/pfbid0JJW97xH5fR5tDSLUQ8AnEgkPMU9Aigs9CgcNy2Q7AzJY4R8mRoicBgu3PLdqpf2Tl")</f>
        <v>https://www.facebook.com/rapplerdotcom/posts/pfbid0JJW97xH5fR5tDSLUQ8AnEgkPMU9Aigs9CgcNy2Q7AzJY4R8mRoicBgu3PLdqpf2Tl</v>
      </c>
      <c r="J3083" s="1" t="str">
        <f>IFERROR(__xludf.DUMMYFUNCTION("""COMPUTED_VALUE"""),"2022-07-04T21:38:41.009Z")</f>
        <v>2022-07-04T21:38:41.009Z</v>
      </c>
      <c r="K3083" s="1"/>
    </row>
    <row r="3084">
      <c r="A3084" s="2" t="str">
        <f>IFERROR(__xludf.DUMMYFUNCTION("""COMPUTED_VALUE"""),"https://www.facebook.com/johndiazcortez")</f>
        <v>https://www.facebook.com/johndiazcortez</v>
      </c>
      <c r="B3084" s="1" t="str">
        <f>IFERROR(__xludf.DUMMYFUNCTION("""COMPUTED_VALUE"""),"John Diaz Cortez")</f>
        <v>John Diaz Cortez</v>
      </c>
      <c r="C3084" s="1" t="str">
        <f>IFERROR(__xludf.DUMMYFUNCTION("""COMPUTED_VALUE"""),"John")</f>
        <v>John</v>
      </c>
      <c r="D3084" s="1" t="str">
        <f>IFERROR(__xludf.DUMMYFUNCTION("""COMPUTED_VALUE"""),"Diaz Cortez")</f>
        <v>Diaz Cortez</v>
      </c>
      <c r="E3084" s="1" t="str">
        <f>IFERROR(__xludf.DUMMYFUNCTION("""COMPUTED_VALUE"""),"#LetLeniLead #LeniKiko2022 #AngatBuhayLahat #KulayRosasAngBukas")</f>
        <v>#LetLeniLead #LeniKiko2022 #AngatBuhayLahat #KulayRosasAngBukas</v>
      </c>
      <c r="F3084" s="1">
        <f>IFERROR(__xludf.DUMMYFUNCTION("""COMPUTED_VALUE"""),4.0)</f>
        <v>4</v>
      </c>
      <c r="G3084" s="1" t="str">
        <f>IFERROR(__xludf.DUMMYFUNCTION("""COMPUTED_VALUE"""),"3 mos")</f>
        <v>3 mos</v>
      </c>
      <c r="H3084" s="1" t="str">
        <f>IFERROR(__xludf.DUMMYFUNCTION("""COMPUTED_VALUE"""),"comment")</f>
        <v>comment</v>
      </c>
      <c r="I3084" s="2" t="str">
        <f>IFERROR(__xludf.DUMMYFUNCTION("""COMPUTED_VALUE"""),"https://www.facebook.com/watch/?v=684555919511830")</f>
        <v>https://www.facebook.com/watch/?v=684555919511830</v>
      </c>
      <c r="J3084" s="1" t="str">
        <f>IFERROR(__xludf.DUMMYFUNCTION("""COMPUTED_VALUE"""),"2022-07-04T21:38:52.760Z")</f>
        <v>2022-07-04T21:38:52.760Z</v>
      </c>
      <c r="K3084" s="1"/>
    </row>
    <row r="3085">
      <c r="A3085" s="2" t="str">
        <f>IFERROR(__xludf.DUMMYFUNCTION("""COMPUTED_VALUE"""),"https://www.facebook.com/honesto.pabilando.7")</f>
        <v>https://www.facebook.com/honesto.pabilando.7</v>
      </c>
      <c r="B3085" s="1" t="str">
        <f>IFERROR(__xludf.DUMMYFUNCTION("""COMPUTED_VALUE"""),"Honesto Pabilando")</f>
        <v>Honesto Pabilando</v>
      </c>
      <c r="C3085" s="1" t="str">
        <f>IFERROR(__xludf.DUMMYFUNCTION("""COMPUTED_VALUE"""),"Honesto")</f>
        <v>Honesto</v>
      </c>
      <c r="D3085" s="1" t="str">
        <f>IFERROR(__xludf.DUMMYFUNCTION("""COMPUTED_VALUE"""),"Pabilando")</f>
        <v>Pabilando</v>
      </c>
      <c r="E3085" s="1" t="str">
        <f>IFERROR(__xludf.DUMMYFUNCTION("""COMPUTED_VALUE"""),"Robredo for a better Philippines!")</f>
        <v>Robredo for a better Philippines!</v>
      </c>
      <c r="F3085" s="1">
        <f>IFERROR(__xludf.DUMMYFUNCTION("""COMPUTED_VALUE"""),3.0)</f>
        <v>3</v>
      </c>
      <c r="G3085" s="1" t="str">
        <f>IFERROR(__xludf.DUMMYFUNCTION("""COMPUTED_VALUE"""),"3 mos")</f>
        <v>3 mos</v>
      </c>
      <c r="H3085" s="1" t="str">
        <f>IFERROR(__xludf.DUMMYFUNCTION("""COMPUTED_VALUE"""),"comment")</f>
        <v>comment</v>
      </c>
      <c r="I3085" s="2" t="str">
        <f>IFERROR(__xludf.DUMMYFUNCTION("""COMPUTED_VALUE"""),"https://www.facebook.com/watch/?v=684555919511830")</f>
        <v>https://www.facebook.com/watch/?v=684555919511830</v>
      </c>
      <c r="J3085" s="1" t="str">
        <f>IFERROR(__xludf.DUMMYFUNCTION("""COMPUTED_VALUE"""),"2022-07-04T21:38:52.760Z")</f>
        <v>2022-07-04T21:38:52.760Z</v>
      </c>
      <c r="K3085" s="1"/>
    </row>
    <row r="3086">
      <c r="A3086" s="2" t="str">
        <f>IFERROR(__xludf.DUMMYFUNCTION("""COMPUTED_VALUE"""),"https://www.facebook.com/mayette.miranda.9")</f>
        <v>https://www.facebook.com/mayette.miranda.9</v>
      </c>
      <c r="B3086" s="1" t="str">
        <f>IFERROR(__xludf.DUMMYFUNCTION("""COMPUTED_VALUE"""),"Mayette Miranda")</f>
        <v>Mayette Miranda</v>
      </c>
      <c r="C3086" s="1" t="str">
        <f>IFERROR(__xludf.DUMMYFUNCTION("""COMPUTED_VALUE"""),"Mayette")</f>
        <v>Mayette</v>
      </c>
      <c r="D3086" s="1" t="str">
        <f>IFERROR(__xludf.DUMMYFUNCTION("""COMPUTED_VALUE"""),"Miranda")</f>
        <v>Miranda</v>
      </c>
      <c r="E3086" s="1" t="str">
        <f>IFERROR(__xludf.DUMMYFUNCTION("""COMPUTED_VALUE"""),"#10RobredoForPresident  #7KikoPangilinanVicePresident  #TropangAngat  Vote Straight LeniKiko and Senatorial Slate-Tropang #PHVote  #WeDecide")</f>
        <v>#10RobredoForPresident  #7KikoPangilinanVicePresident  #TropangAngat  Vote Straight LeniKiko and Senatorial Slate-Tropang #PHVote  #WeDecide</v>
      </c>
      <c r="F3086" s="1"/>
      <c r="G3086" s="1" t="str">
        <f>IFERROR(__xludf.DUMMYFUNCTION("""COMPUTED_VALUE"""),"3 mos")</f>
        <v>3 mos</v>
      </c>
      <c r="H3086" s="1" t="str">
        <f>IFERROR(__xludf.DUMMYFUNCTION("""COMPUTED_VALUE"""),"comment")</f>
        <v>comment</v>
      </c>
      <c r="I3086" s="2" t="str">
        <f>IFERROR(__xludf.DUMMYFUNCTION("""COMPUTED_VALUE"""),"https://www.facebook.com/watch/?v=684555919511830")</f>
        <v>https://www.facebook.com/watch/?v=684555919511830</v>
      </c>
      <c r="J3086" s="1" t="str">
        <f>IFERROR(__xludf.DUMMYFUNCTION("""COMPUTED_VALUE"""),"2022-07-04T21:38:52.760Z")</f>
        <v>2022-07-04T21:38:52.760Z</v>
      </c>
      <c r="K3086" s="1"/>
    </row>
    <row r="3087">
      <c r="A3087" s="2" t="str">
        <f>IFERROR(__xludf.DUMMYFUNCTION("""COMPUTED_VALUE"""),"https://www.facebook.com/julio.quian")</f>
        <v>https://www.facebook.com/julio.quian</v>
      </c>
      <c r="B3087" s="1" t="str">
        <f>IFERROR(__xludf.DUMMYFUNCTION("""COMPUTED_VALUE"""),"Julio Quian")</f>
        <v>Julio Quian</v>
      </c>
      <c r="C3087" s="1" t="str">
        <f>IFERROR(__xludf.DUMMYFUNCTION("""COMPUTED_VALUE"""),"Julio")</f>
        <v>Julio</v>
      </c>
      <c r="D3087" s="1" t="str">
        <f>IFERROR(__xludf.DUMMYFUNCTION("""COMPUTED_VALUE"""),"Quian")</f>
        <v>Quian</v>
      </c>
      <c r="E3087" s="1" t="str">
        <f>IFERROR(__xludf.DUMMYFUNCTION("""COMPUTED_VALUE"""),"Solid Sarah @Marco's nlang ako he is very good leader...!!!!")</f>
        <v>Solid Sarah @Marco's nlang ako he is very good leader...!!!!</v>
      </c>
      <c r="F3087" s="1">
        <f>IFERROR(__xludf.DUMMYFUNCTION("""COMPUTED_VALUE"""),2.0)</f>
        <v>2</v>
      </c>
      <c r="G3087" s="1" t="str">
        <f>IFERROR(__xludf.DUMMYFUNCTION("""COMPUTED_VALUE"""),"3 mos")</f>
        <v>3 mos</v>
      </c>
      <c r="H3087" s="1" t="str">
        <f>IFERROR(__xludf.DUMMYFUNCTION("""COMPUTED_VALUE"""),"comment")</f>
        <v>comment</v>
      </c>
      <c r="I3087" s="2" t="str">
        <f>IFERROR(__xludf.DUMMYFUNCTION("""COMPUTED_VALUE"""),"https://www.facebook.com/watch/?v=684555919511830")</f>
        <v>https://www.facebook.com/watch/?v=684555919511830</v>
      </c>
      <c r="J3087" s="1" t="str">
        <f>IFERROR(__xludf.DUMMYFUNCTION("""COMPUTED_VALUE"""),"2022-07-04T21:38:52.760Z")</f>
        <v>2022-07-04T21:38:52.760Z</v>
      </c>
      <c r="K3087" s="1"/>
    </row>
    <row r="3088">
      <c r="A3088" s="2" t="str">
        <f>IFERROR(__xludf.DUMMYFUNCTION("""COMPUTED_VALUE"""),"https://www.facebook.com/mary.magaling.583")</f>
        <v>https://www.facebook.com/mary.magaling.583</v>
      </c>
      <c r="B3088" s="1" t="str">
        <f>IFERROR(__xludf.DUMMYFUNCTION("""COMPUTED_VALUE"""),"Princess Magaling")</f>
        <v>Princess Magaling</v>
      </c>
      <c r="C3088" s="1" t="str">
        <f>IFERROR(__xludf.DUMMYFUNCTION("""COMPUTED_VALUE"""),"Princess")</f>
        <v>Princess</v>
      </c>
      <c r="D3088" s="1" t="str">
        <f>IFERROR(__xludf.DUMMYFUNCTION("""COMPUTED_VALUE"""),"Magaling")</f>
        <v>Magaling</v>
      </c>
      <c r="E3088" s="1" t="str">
        <f>IFERROR(__xludf.DUMMYFUNCTION("""COMPUTED_VALUE"""),"Angat sa katalinuhan at lutang na lutang sa katalinuhan")</f>
        <v>Angat sa katalinuhan at lutang na lutang sa katalinuhan</v>
      </c>
      <c r="F3088" s="1">
        <f>IFERROR(__xludf.DUMMYFUNCTION("""COMPUTED_VALUE"""),4.0)</f>
        <v>4</v>
      </c>
      <c r="G3088" s="1" t="str">
        <f>IFERROR(__xludf.DUMMYFUNCTION("""COMPUTED_VALUE"""),"3 mos")</f>
        <v>3 mos</v>
      </c>
      <c r="H3088" s="1" t="str">
        <f>IFERROR(__xludf.DUMMYFUNCTION("""COMPUTED_VALUE"""),"comment")</f>
        <v>comment</v>
      </c>
      <c r="I3088" s="2" t="str">
        <f>IFERROR(__xludf.DUMMYFUNCTION("""COMPUTED_VALUE"""),"https://www.facebook.com/watch/?v=684555919511830")</f>
        <v>https://www.facebook.com/watch/?v=684555919511830</v>
      </c>
      <c r="J3088" s="1" t="str">
        <f>IFERROR(__xludf.DUMMYFUNCTION("""COMPUTED_VALUE"""),"2022-07-04T21:38:52.760Z")</f>
        <v>2022-07-04T21:38:52.760Z</v>
      </c>
      <c r="K3088" s="1"/>
    </row>
    <row r="3089">
      <c r="A3089" s="2" t="str">
        <f>IFERROR(__xludf.DUMMYFUNCTION("""COMPUTED_VALUE"""),"https://www.facebook.com/addie.arano")</f>
        <v>https://www.facebook.com/addie.arano</v>
      </c>
      <c r="B3089" s="1" t="str">
        <f>IFERROR(__xludf.DUMMYFUNCTION("""COMPUTED_VALUE"""),"Jullian Gaviola")</f>
        <v>Jullian Gaviola</v>
      </c>
      <c r="C3089" s="1" t="str">
        <f>IFERROR(__xludf.DUMMYFUNCTION("""COMPUTED_VALUE"""),"Jullian")</f>
        <v>Jullian</v>
      </c>
      <c r="D3089" s="1" t="str">
        <f>IFERROR(__xludf.DUMMYFUNCTION("""COMPUTED_VALUE"""),"Gaviola")</f>
        <v>Gaviola</v>
      </c>
      <c r="E3089" s="1" t="str">
        <f>IFERROR(__xludf.DUMMYFUNCTION("""COMPUTED_VALUE"""),"Princess Magaling bakit ganito Ang sulusyon niya sa simpling math na eto 160x40=1600, kung Lutang cya sa katalinuhan?? Hehehe Hilo Kapa yata dahilan na nasabio Yan..")</f>
        <v>Princess Magaling bakit ganito Ang sulusyon niya sa simpling math na eto 160x40=1600, kung Lutang cya sa katalinuhan?? Hehehe Hilo Kapa yata dahilan na nasabio Yan..</v>
      </c>
      <c r="F3089" s="1"/>
      <c r="G3089" s="1" t="str">
        <f>IFERROR(__xludf.DUMMYFUNCTION("""COMPUTED_VALUE"""),"3 mos")</f>
        <v>3 mos</v>
      </c>
      <c r="H3089" s="1" t="str">
        <f>IFERROR(__xludf.DUMMYFUNCTION("""COMPUTED_VALUE"""),"reply")</f>
        <v>reply</v>
      </c>
      <c r="I3089" s="2" t="str">
        <f>IFERROR(__xludf.DUMMYFUNCTION("""COMPUTED_VALUE"""),"https://www.facebook.com/watch/?v=684555919511830")</f>
        <v>https://www.facebook.com/watch/?v=684555919511830</v>
      </c>
      <c r="J3089" s="1" t="str">
        <f>IFERROR(__xludf.DUMMYFUNCTION("""COMPUTED_VALUE"""),"2022-07-04T21:38:52.760Z")</f>
        <v>2022-07-04T21:38:52.760Z</v>
      </c>
      <c r="K3089" s="1"/>
    </row>
    <row r="3090">
      <c r="A3090" s="2" t="str">
        <f>IFERROR(__xludf.DUMMYFUNCTION("""COMPUTED_VALUE"""),"https://www.facebook.com/tony.deguzman.104")</f>
        <v>https://www.facebook.com/tony.deguzman.104</v>
      </c>
      <c r="B3090" s="1" t="str">
        <f>IFERROR(__xludf.DUMMYFUNCTION("""COMPUTED_VALUE"""),"Tony de Guzman")</f>
        <v>Tony de Guzman</v>
      </c>
      <c r="C3090" s="1" t="str">
        <f>IFERROR(__xludf.DUMMYFUNCTION("""COMPUTED_VALUE"""),"Tony")</f>
        <v>Tony</v>
      </c>
      <c r="D3090" s="1" t="str">
        <f>IFERROR(__xludf.DUMMYFUNCTION("""COMPUTED_VALUE"""),"de Guzman")</f>
        <v>de Guzman</v>
      </c>
      <c r="E3090" s="1" t="str">
        <f>IFERROR(__xludf.DUMMYFUNCTION("""COMPUTED_VALUE"""),"Princess Magaling electric current sa baha,😂😂😂😂😂")</f>
        <v>Princess Magaling electric current sa baha,😂😂😂😂😂</v>
      </c>
      <c r="F3090" s="1"/>
      <c r="G3090" s="1" t="str">
        <f>IFERROR(__xludf.DUMMYFUNCTION("""COMPUTED_VALUE"""),"3 mos")</f>
        <v>3 mos</v>
      </c>
      <c r="H3090" s="1" t="str">
        <f>IFERROR(__xludf.DUMMYFUNCTION("""COMPUTED_VALUE"""),"reply")</f>
        <v>reply</v>
      </c>
      <c r="I3090" s="2" t="str">
        <f>IFERROR(__xludf.DUMMYFUNCTION("""COMPUTED_VALUE"""),"https://www.facebook.com/watch/?v=684555919511830")</f>
        <v>https://www.facebook.com/watch/?v=684555919511830</v>
      </c>
      <c r="J3090" s="1" t="str">
        <f>IFERROR(__xludf.DUMMYFUNCTION("""COMPUTED_VALUE"""),"2022-07-04T21:38:52.760Z")</f>
        <v>2022-07-04T21:38:52.760Z</v>
      </c>
      <c r="K3090" s="1"/>
    </row>
    <row r="3091">
      <c r="A3091" s="2" t="str">
        <f>IFERROR(__xludf.DUMMYFUNCTION("""COMPUTED_VALUE"""),"https://www.facebook.com/tambay.lang.7792")</f>
        <v>https://www.facebook.com/tambay.lang.7792</v>
      </c>
      <c r="B3091" s="1" t="str">
        <f>IFERROR(__xludf.DUMMYFUNCTION("""COMPUTED_VALUE"""),"Jb Walker")</f>
        <v>Jb Walker</v>
      </c>
      <c r="C3091" s="1" t="str">
        <f>IFERROR(__xludf.DUMMYFUNCTION("""COMPUTED_VALUE"""),"Jb")</f>
        <v>Jb</v>
      </c>
      <c r="D3091" s="1" t="str">
        <f>IFERROR(__xludf.DUMMYFUNCTION("""COMPUTED_VALUE"""),"Walker")</f>
        <v>Walker</v>
      </c>
      <c r="E3091" s="1" t="str">
        <f>IFERROR(__xludf.DUMMYFUNCTION("""COMPUTED_VALUE"""),"Do  DAYUNYOR will be able to answer that....  Yes  He would answer this way... PAGKAKAISA ..  and he was ask about SOLO PARENTS.... dayunyor answer with DAYCARE...  🤣🤣🤣🤣🤣🤣🤣")</f>
        <v>Do  DAYUNYOR will be able to answer that....  Yes  He would answer this way... PAGKAKAISA ..  and he was ask about SOLO PARENTS.... dayunyor answer with DAYCARE...  🤣🤣🤣🤣🤣🤣🤣</v>
      </c>
      <c r="F3091" s="1">
        <f>IFERROR(__xludf.DUMMYFUNCTION("""COMPUTED_VALUE"""),5.0)</f>
        <v>5</v>
      </c>
      <c r="G3091" s="1" t="str">
        <f>IFERROR(__xludf.DUMMYFUNCTION("""COMPUTED_VALUE"""),"3 mos")</f>
        <v>3 mos</v>
      </c>
      <c r="H3091" s="1" t="str">
        <f>IFERROR(__xludf.DUMMYFUNCTION("""COMPUTED_VALUE"""),"comment")</f>
        <v>comment</v>
      </c>
      <c r="I3091" s="2" t="str">
        <f>IFERROR(__xludf.DUMMYFUNCTION("""COMPUTED_VALUE"""),"https://www.facebook.com/watch/?v=684555919511830")</f>
        <v>https://www.facebook.com/watch/?v=684555919511830</v>
      </c>
      <c r="J3091" s="1" t="str">
        <f>IFERROR(__xludf.DUMMYFUNCTION("""COMPUTED_VALUE"""),"2022-07-04T21:38:52.760Z")</f>
        <v>2022-07-04T21:38:52.760Z</v>
      </c>
      <c r="K3091" s="1"/>
    </row>
    <row r="3092">
      <c r="A3092" s="2" t="str">
        <f>IFERROR(__xludf.DUMMYFUNCTION("""COMPUTED_VALUE"""),"https://www.facebook.com/irisbadinas")</f>
        <v>https://www.facebook.com/irisbadinas</v>
      </c>
      <c r="B3092" s="1" t="str">
        <f>IFERROR(__xludf.DUMMYFUNCTION("""COMPUTED_VALUE"""),"Mar JE Iv Iris")</f>
        <v>Mar JE Iv Iris</v>
      </c>
      <c r="C3092" s="1" t="str">
        <f>IFERROR(__xludf.DUMMYFUNCTION("""COMPUTED_VALUE"""),"Mar")</f>
        <v>Mar</v>
      </c>
      <c r="D3092" s="1" t="str">
        <f>IFERROR(__xludf.DUMMYFUNCTION("""COMPUTED_VALUE"""),"JE Iv Iris")</f>
        <v>JE Iv Iris</v>
      </c>
      <c r="E3092" s="1" t="str">
        <f>IFERROR(__xludf.DUMMYFUNCTION("""COMPUTED_VALUE"""),"Jb Walker ano nga po ginagawa sa atin pag lagi po tayo absent sa college- Drop out. Labas.. ay kaya pala..🤭🤫")</f>
        <v>Jb Walker ano nga po ginagawa sa atin pag lagi po tayo absent sa college- Drop out. Labas.. ay kaya pala..🤭🤫</v>
      </c>
      <c r="F3092" s="1">
        <f>IFERROR(__xludf.DUMMYFUNCTION("""COMPUTED_VALUE"""),1.0)</f>
        <v>1</v>
      </c>
      <c r="G3092" s="1" t="str">
        <f>IFERROR(__xludf.DUMMYFUNCTION("""COMPUTED_VALUE"""),"3 mos")</f>
        <v>3 mos</v>
      </c>
      <c r="H3092" s="1" t="str">
        <f>IFERROR(__xludf.DUMMYFUNCTION("""COMPUTED_VALUE"""),"reply")</f>
        <v>reply</v>
      </c>
      <c r="I3092" s="2" t="str">
        <f>IFERROR(__xludf.DUMMYFUNCTION("""COMPUTED_VALUE"""),"https://www.facebook.com/watch/?v=684555919511830")</f>
        <v>https://www.facebook.com/watch/?v=684555919511830</v>
      </c>
      <c r="J3092" s="1" t="str">
        <f>IFERROR(__xludf.DUMMYFUNCTION("""COMPUTED_VALUE"""),"2022-07-04T21:38:52.760Z")</f>
        <v>2022-07-04T21:38:52.760Z</v>
      </c>
      <c r="K3092" s="1"/>
    </row>
    <row r="3093">
      <c r="A3093" s="2" t="str">
        <f>IFERROR(__xludf.DUMMYFUNCTION("""COMPUTED_VALUE"""),"https://www.facebook.com/geronima.hansen")</f>
        <v>https://www.facebook.com/geronima.hansen</v>
      </c>
      <c r="B3093" s="1" t="str">
        <f>IFERROR(__xludf.DUMMYFUNCTION("""COMPUTED_VALUE"""),"Angie Hansen Hansen")</f>
        <v>Angie Hansen Hansen</v>
      </c>
      <c r="C3093" s="1" t="str">
        <f>IFERROR(__xludf.DUMMYFUNCTION("""COMPUTED_VALUE"""),"Angie")</f>
        <v>Angie</v>
      </c>
      <c r="D3093" s="1" t="str">
        <f>IFERROR(__xludf.DUMMYFUNCTION("""COMPUTED_VALUE"""),"Hansen Hansen")</f>
        <v>Hansen Hansen</v>
      </c>
      <c r="E3093" s="1" t="str">
        <f>IFERROR(__xludf.DUMMYFUNCTION("""COMPUTED_VALUE"""),"Eh bakit wala syang ginawa since naging politiko sya?????")</f>
        <v>Eh bakit wala syang ginawa since naging politiko sya?????</v>
      </c>
      <c r="F3093" s="1">
        <f>IFERROR(__xludf.DUMMYFUNCTION("""COMPUTED_VALUE"""),5.0)</f>
        <v>5</v>
      </c>
      <c r="G3093" s="1" t="str">
        <f>IFERROR(__xludf.DUMMYFUNCTION("""COMPUTED_VALUE"""),"3 mos")</f>
        <v>3 mos</v>
      </c>
      <c r="H3093" s="1" t="str">
        <f>IFERROR(__xludf.DUMMYFUNCTION("""COMPUTED_VALUE"""),"comment")</f>
        <v>comment</v>
      </c>
      <c r="I3093" s="2" t="str">
        <f>IFERROR(__xludf.DUMMYFUNCTION("""COMPUTED_VALUE"""),"https://www.facebook.com/watch/?v=684555919511830")</f>
        <v>https://www.facebook.com/watch/?v=684555919511830</v>
      </c>
      <c r="J3093" s="1" t="str">
        <f>IFERROR(__xludf.DUMMYFUNCTION("""COMPUTED_VALUE"""),"2022-07-04T21:38:52.760Z")</f>
        <v>2022-07-04T21:38:52.760Z</v>
      </c>
      <c r="K3093" s="1"/>
    </row>
    <row r="3094">
      <c r="A3094" s="2" t="str">
        <f>IFERROR(__xludf.DUMMYFUNCTION("""COMPUTED_VALUE"""),"https://www.facebook.com/mary.magaling.583")</f>
        <v>https://www.facebook.com/mary.magaling.583</v>
      </c>
      <c r="B3094" s="1" t="str">
        <f>IFERROR(__xludf.DUMMYFUNCTION("""COMPUTED_VALUE"""),"Princess Magaling")</f>
        <v>Princess Magaling</v>
      </c>
      <c r="C3094" s="1" t="str">
        <f>IFERROR(__xludf.DUMMYFUNCTION("""COMPUTED_VALUE"""),"Princess")</f>
        <v>Princess</v>
      </c>
      <c r="D3094" s="1" t="str">
        <f>IFERROR(__xludf.DUMMYFUNCTION("""COMPUTED_VALUE"""),"Magaling")</f>
        <v>Magaling</v>
      </c>
      <c r="E3094" s="1" t="str">
        <f>IFERROR(__xludf.DUMMYFUNCTION("""COMPUTED_VALUE"""),"Dami n nmsn ingit, klaro kase Ang Plano sa bansa")</f>
        <v>Dami n nmsn ingit, klaro kase Ang Plano sa bansa</v>
      </c>
      <c r="F3094" s="1">
        <f>IFERROR(__xludf.DUMMYFUNCTION("""COMPUTED_VALUE"""),4.0)</f>
        <v>4</v>
      </c>
      <c r="G3094" s="1" t="str">
        <f>IFERROR(__xludf.DUMMYFUNCTION("""COMPUTED_VALUE"""),"3 mos")</f>
        <v>3 mos</v>
      </c>
      <c r="H3094" s="1" t="str">
        <f>IFERROR(__xludf.DUMMYFUNCTION("""COMPUTED_VALUE"""),"comment")</f>
        <v>comment</v>
      </c>
      <c r="I3094" s="2" t="str">
        <f>IFERROR(__xludf.DUMMYFUNCTION("""COMPUTED_VALUE"""),"https://www.facebook.com/watch/?v=684555919511830")</f>
        <v>https://www.facebook.com/watch/?v=684555919511830</v>
      </c>
      <c r="J3094" s="1" t="str">
        <f>IFERROR(__xludf.DUMMYFUNCTION("""COMPUTED_VALUE"""),"2022-07-04T21:38:52.760Z")</f>
        <v>2022-07-04T21:38:52.760Z</v>
      </c>
      <c r="K3094" s="1"/>
    </row>
    <row r="3095">
      <c r="A3095" s="2" t="str">
        <f>IFERROR(__xludf.DUMMYFUNCTION("""COMPUTED_VALUE"""),"https://www.facebook.com/profile.php?id=100079559509251")</f>
        <v>https://www.facebook.com/profile.php?id=100079559509251</v>
      </c>
      <c r="B3095" s="1" t="str">
        <f>IFERROR(__xludf.DUMMYFUNCTION("""COMPUTED_VALUE"""),"Afa Kin Ho")</f>
        <v>Afa Kin Ho</v>
      </c>
      <c r="C3095" s="1" t="str">
        <f>IFERROR(__xludf.DUMMYFUNCTION("""COMPUTED_VALUE"""),"Afa")</f>
        <v>Afa</v>
      </c>
      <c r="D3095" s="1" t="str">
        <f>IFERROR(__xludf.DUMMYFUNCTION("""COMPUTED_VALUE"""),"Kin Ho")</f>
        <v>Kin Ho</v>
      </c>
      <c r="E3095" s="1" t="str">
        <f>IFERROR(__xludf.DUMMYFUNCTION("""COMPUTED_VALUE"""),"kesa naman puro unity yung sinasabi parang ibon na e ulit ulit")</f>
        <v>kesa naman puro unity yung sinasabi parang ibon na e ulit ulit</v>
      </c>
      <c r="F3095" s="1">
        <f>IFERROR(__xludf.DUMMYFUNCTION("""COMPUTED_VALUE"""),1.0)</f>
        <v>1</v>
      </c>
      <c r="G3095" s="1" t="str">
        <f>IFERROR(__xludf.DUMMYFUNCTION("""COMPUTED_VALUE"""),"3 mos")</f>
        <v>3 mos</v>
      </c>
      <c r="H3095" s="1" t="str">
        <f>IFERROR(__xludf.DUMMYFUNCTION("""COMPUTED_VALUE"""),"comment")</f>
        <v>comment</v>
      </c>
      <c r="I3095" s="2" t="str">
        <f>IFERROR(__xludf.DUMMYFUNCTION("""COMPUTED_VALUE"""),"https://www.facebook.com/watch/?v=684555919511830")</f>
        <v>https://www.facebook.com/watch/?v=684555919511830</v>
      </c>
      <c r="J3095" s="1" t="str">
        <f>IFERROR(__xludf.DUMMYFUNCTION("""COMPUTED_VALUE"""),"2022-07-04T21:38:52.761Z")</f>
        <v>2022-07-04T21:38:52.761Z</v>
      </c>
      <c r="K3095" s="1"/>
    </row>
    <row r="3096">
      <c r="A3096" s="2" t="str">
        <f>IFERROR(__xludf.DUMMYFUNCTION("""COMPUTED_VALUE"""),"https://www.facebook.com/olracyer.nadneba.3")</f>
        <v>https://www.facebook.com/olracyer.nadneba.3</v>
      </c>
      <c r="B3096" s="1" t="str">
        <f>IFERROR(__xludf.DUMMYFUNCTION("""COMPUTED_VALUE"""),"Olrac Yer Nadneba")</f>
        <v>Olrac Yer Nadneba</v>
      </c>
      <c r="C3096" s="1" t="str">
        <f>IFERROR(__xludf.DUMMYFUNCTION("""COMPUTED_VALUE"""),"Olrac")</f>
        <v>Olrac</v>
      </c>
      <c r="D3096" s="1" t="str">
        <f>IFERROR(__xludf.DUMMYFUNCTION("""COMPUTED_VALUE"""),"Yer Nadneba")</f>
        <v>Yer Nadneba</v>
      </c>
      <c r="E3096" s="1" t="str">
        <f>IFERROR(__xludf.DUMMYFUNCTION("""COMPUTED_VALUE"""),"Wag niyong gawing biro yan dahil pagdating naman ng 2015, hindi lang natin mapapabilis ang biyahe mula Baclaran hanggang Bacoor kundi madadagdagan din tayo ng tinatayong 250,000 na pasahero ang maisasakay kada araw dahil sa LRT Line 1 extension. At pag hi"&amp;"ndi ho nangyari ito, nandiyan po si Secretary Abaya na mangangasiwa ng proyektong to, dalawa na kaming magpapasagasa siguro sa tren.")</f>
        <v>Wag niyong gawing biro yan dahil pagdating naman ng 2015,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3096" s="1"/>
      <c r="G3096" s="1" t="str">
        <f>IFERROR(__xludf.DUMMYFUNCTION("""COMPUTED_VALUE"""),"3 mos")</f>
        <v>3 mos</v>
      </c>
      <c r="H3096" s="1" t="str">
        <f>IFERROR(__xludf.DUMMYFUNCTION("""COMPUTED_VALUE"""),"comment")</f>
        <v>comment</v>
      </c>
      <c r="I3096" s="2" t="str">
        <f>IFERROR(__xludf.DUMMYFUNCTION("""COMPUTED_VALUE"""),"https://www.facebook.com/watch/?v=684555919511830")</f>
        <v>https://www.facebook.com/watch/?v=684555919511830</v>
      </c>
      <c r="J3096" s="1" t="str">
        <f>IFERROR(__xludf.DUMMYFUNCTION("""COMPUTED_VALUE"""),"2022-07-04T21:38:52.761Z")</f>
        <v>2022-07-04T21:38:52.761Z</v>
      </c>
      <c r="K3096" s="1"/>
    </row>
    <row r="3097">
      <c r="A3097" s="2" t="str">
        <f>IFERROR(__xludf.DUMMYFUNCTION("""COMPUTED_VALUE"""),"https://www.facebook.com/profile.php?id=100008940702894")</f>
        <v>https://www.facebook.com/profile.php?id=100008940702894</v>
      </c>
      <c r="B3097" s="1" t="str">
        <f>IFERROR(__xludf.DUMMYFUNCTION("""COMPUTED_VALUE"""),"Ebang Abdon")</f>
        <v>Ebang Abdon</v>
      </c>
      <c r="C3097" s="1" t="str">
        <f>IFERROR(__xludf.DUMMYFUNCTION("""COMPUTED_VALUE"""),"Ebang")</f>
        <v>Ebang</v>
      </c>
      <c r="D3097" s="1" t="str">
        <f>IFERROR(__xludf.DUMMYFUNCTION("""COMPUTED_VALUE"""),"Abdon")</f>
        <v>Abdon</v>
      </c>
      <c r="E3097" s="1" t="str">
        <f>IFERROR(__xludf.DUMMYFUNCTION("""COMPUTED_VALUE"""),"go,go,go madam support kami syo samagagamnda mong plano para sa bansa")</f>
        <v>go,go,go madam support kami syo samagagamnda mong plano para sa bansa</v>
      </c>
      <c r="F3097" s="1">
        <f>IFERROR(__xludf.DUMMYFUNCTION("""COMPUTED_VALUE"""),3.0)</f>
        <v>3</v>
      </c>
      <c r="G3097" s="1" t="str">
        <f>IFERROR(__xludf.DUMMYFUNCTION("""COMPUTED_VALUE"""),"3 mos")</f>
        <v>3 mos</v>
      </c>
      <c r="H3097" s="1" t="str">
        <f>IFERROR(__xludf.DUMMYFUNCTION("""COMPUTED_VALUE"""),"comment")</f>
        <v>comment</v>
      </c>
      <c r="I3097" s="2" t="str">
        <f>IFERROR(__xludf.DUMMYFUNCTION("""COMPUTED_VALUE"""),"https://www.facebook.com/watch/?v=684555919511830")</f>
        <v>https://www.facebook.com/watch/?v=684555919511830</v>
      </c>
      <c r="J3097" s="1" t="str">
        <f>IFERROR(__xludf.DUMMYFUNCTION("""COMPUTED_VALUE"""),"2022-07-04T21:38:52.761Z")</f>
        <v>2022-07-04T21:38:52.761Z</v>
      </c>
      <c r="K3097" s="1"/>
    </row>
    <row r="3098">
      <c r="A3098" s="2" t="str">
        <f>IFERROR(__xludf.DUMMYFUNCTION("""COMPUTED_VALUE"""),"https://www.facebook.com/argen.azarcon.7")</f>
        <v>https://www.facebook.com/argen.azarcon.7</v>
      </c>
      <c r="B3098" s="1" t="str">
        <f>IFERROR(__xludf.DUMMYFUNCTION("""COMPUTED_VALUE"""),"TomBonbon ArgenCarpio Azarcon")</f>
        <v>TomBonbon ArgenCarpio Azarcon</v>
      </c>
      <c r="C3098" s="1" t="str">
        <f>IFERROR(__xludf.DUMMYFUNCTION("""COMPUTED_VALUE"""),"TomBonbon")</f>
        <v>TomBonbon</v>
      </c>
      <c r="D3098" s="1" t="str">
        <f>IFERROR(__xludf.DUMMYFUNCTION("""COMPUTED_VALUE"""),"ArgenCarpio Azarcon")</f>
        <v>ArgenCarpio Azarcon</v>
      </c>
      <c r="E3098" s="1" t="str">
        <f>IFERROR(__xludf.DUMMYFUNCTION("""COMPUTED_VALUE"""),"Dami dami mo nang pangako nanay lenlen!!!")</f>
        <v>Dami dami mo nang pangako nanay lenlen!!!</v>
      </c>
      <c r="F3098" s="1">
        <f>IFERROR(__xludf.DUMMYFUNCTION("""COMPUTED_VALUE"""),1.0)</f>
        <v>1</v>
      </c>
      <c r="G3098" s="1" t="str">
        <f>IFERROR(__xludf.DUMMYFUNCTION("""COMPUTED_VALUE"""),"3 mos")</f>
        <v>3 mos</v>
      </c>
      <c r="H3098" s="1" t="str">
        <f>IFERROR(__xludf.DUMMYFUNCTION("""COMPUTED_VALUE"""),"comment")</f>
        <v>comment</v>
      </c>
      <c r="I3098" s="2" t="str">
        <f>IFERROR(__xludf.DUMMYFUNCTION("""COMPUTED_VALUE"""),"https://www.facebook.com/watch/?v=684555919511830")</f>
        <v>https://www.facebook.com/watch/?v=684555919511830</v>
      </c>
      <c r="J3098" s="1" t="str">
        <f>IFERROR(__xludf.DUMMYFUNCTION("""COMPUTED_VALUE"""),"2022-07-04T21:38:52.761Z")</f>
        <v>2022-07-04T21:38:52.761Z</v>
      </c>
      <c r="K3098" s="1"/>
    </row>
    <row r="3099">
      <c r="A3099" s="2" t="str">
        <f>IFERROR(__xludf.DUMMYFUNCTION("""COMPUTED_VALUE"""),"https://www.facebook.com/mayette.miranda.9")</f>
        <v>https://www.facebook.com/mayette.miranda.9</v>
      </c>
      <c r="B3099" s="1" t="str">
        <f>IFERROR(__xludf.DUMMYFUNCTION("""COMPUTED_VALUE"""),"Mayette Miranda")</f>
        <v>Mayette Miranda</v>
      </c>
      <c r="C3099" s="1" t="str">
        <f>IFERROR(__xludf.DUMMYFUNCTION("""COMPUTED_VALUE"""),"Mayette")</f>
        <v>Mayette</v>
      </c>
      <c r="D3099" s="1" t="str">
        <f>IFERROR(__xludf.DUMMYFUNCTION("""COMPUTED_VALUE"""),"Miranda")</f>
        <v>Miranda</v>
      </c>
      <c r="E3099" s="1" t="str">
        <f>IFERROR(__xludf.DUMMYFUNCTION("""COMPUTED_VALUE"""),"#10RobredoForPresident  #7KikoPangilinanVicePresident  Vote Straight LeniKiko and Senatorial Slate-Tropang Angat")</f>
        <v>#10RobredoForPresident  #7KikoPangilinanVicePresident  Vote Straight LeniKiko and Senatorial Slate-Tropang Angat</v>
      </c>
      <c r="F3099" s="1"/>
      <c r="G3099" s="1" t="str">
        <f>IFERROR(__xludf.DUMMYFUNCTION("""COMPUTED_VALUE"""),"3 mos")</f>
        <v>3 mos</v>
      </c>
      <c r="H3099" s="1" t="str">
        <f>IFERROR(__xludf.DUMMYFUNCTION("""COMPUTED_VALUE"""),"comment")</f>
        <v>comment</v>
      </c>
      <c r="I3099" s="2" t="str">
        <f>IFERROR(__xludf.DUMMYFUNCTION("""COMPUTED_VALUE"""),"https://www.facebook.com/watch/?v=684555919511830")</f>
        <v>https://www.facebook.com/watch/?v=684555919511830</v>
      </c>
      <c r="J3099" s="1" t="str">
        <f>IFERROR(__xludf.DUMMYFUNCTION("""COMPUTED_VALUE"""),"2022-07-04T21:38:52.761Z")</f>
        <v>2022-07-04T21:38:52.761Z</v>
      </c>
      <c r="K3099" s="1"/>
    </row>
    <row r="3100">
      <c r="A3100" s="2" t="str">
        <f>IFERROR(__xludf.DUMMYFUNCTION("""COMPUTED_VALUE"""),"https://www.facebook.com/profile.php?id=100045960874317")</f>
        <v>https://www.facebook.com/profile.php?id=100045960874317</v>
      </c>
      <c r="B3100" s="1" t="str">
        <f>IFERROR(__xludf.DUMMYFUNCTION("""COMPUTED_VALUE"""),"Net Solis Fernandez")</f>
        <v>Net Solis Fernandez</v>
      </c>
      <c r="C3100" s="1" t="str">
        <f>IFERROR(__xludf.DUMMYFUNCTION("""COMPUTED_VALUE"""),"Net")</f>
        <v>Net</v>
      </c>
      <c r="D3100" s="1" t="str">
        <f>IFERROR(__xludf.DUMMYFUNCTION("""COMPUTED_VALUE"""),"Solis Fernandez")</f>
        <v>Solis Fernandez</v>
      </c>
      <c r="E3100" s="1" t="str">
        <f>IFERROR(__xludf.DUMMYFUNCTION("""COMPUTED_VALUE"""),"Eto presidente ko para sa mga employee")</f>
        <v>Eto presidente ko para sa mga employee</v>
      </c>
      <c r="F3100" s="1">
        <f>IFERROR(__xludf.DUMMYFUNCTION("""COMPUTED_VALUE"""),1.0)</f>
        <v>1</v>
      </c>
      <c r="G3100" s="1" t="str">
        <f>IFERROR(__xludf.DUMMYFUNCTION("""COMPUTED_VALUE"""),"3 mos")</f>
        <v>3 mos</v>
      </c>
      <c r="H3100" s="1" t="str">
        <f>IFERROR(__xludf.DUMMYFUNCTION("""COMPUTED_VALUE"""),"comment")</f>
        <v>comment</v>
      </c>
      <c r="I3100" s="2" t="str">
        <f>IFERROR(__xludf.DUMMYFUNCTION("""COMPUTED_VALUE"""),"https://www.facebook.com/watch/?v=684555919511830")</f>
        <v>https://www.facebook.com/watch/?v=684555919511830</v>
      </c>
      <c r="J3100" s="1" t="str">
        <f>IFERROR(__xludf.DUMMYFUNCTION("""COMPUTED_VALUE"""),"2022-07-04T21:38:52.761Z")</f>
        <v>2022-07-04T21:38:52.761Z</v>
      </c>
      <c r="K3100" s="1"/>
    </row>
    <row r="3101">
      <c r="A3101" s="2" t="str">
        <f>IFERROR(__xludf.DUMMYFUNCTION("""COMPUTED_VALUE"""),"https://www.facebook.com/angeles.soriben")</f>
        <v>https://www.facebook.com/angeles.soriben</v>
      </c>
      <c r="B3101" s="1" t="str">
        <f>IFERROR(__xludf.DUMMYFUNCTION("""COMPUTED_VALUE"""),"Angeles Soriben")</f>
        <v>Angeles Soriben</v>
      </c>
      <c r="C3101" s="1" t="str">
        <f>IFERROR(__xludf.DUMMYFUNCTION("""COMPUTED_VALUE"""),"Angeles")</f>
        <v>Angeles</v>
      </c>
      <c r="D3101" s="1" t="str">
        <f>IFERROR(__xludf.DUMMYFUNCTION("""COMPUTED_VALUE"""),"Soriben")</f>
        <v>Soriben</v>
      </c>
      <c r="E3101" s="1" t="str">
        <f>IFERROR(__xludf.DUMMYFUNCTION("""COMPUTED_VALUE"""),"Nangarap na gising..never in your dreams.. Cge ngawngaw")</f>
        <v>Nangarap na gising..never in your dreams.. Cge ngawngaw</v>
      </c>
      <c r="F3101" s="1"/>
      <c r="G3101" s="1" t="str">
        <f>IFERROR(__xludf.DUMMYFUNCTION("""COMPUTED_VALUE"""),"3 mos")</f>
        <v>3 mos</v>
      </c>
      <c r="H3101" s="1" t="str">
        <f>IFERROR(__xludf.DUMMYFUNCTION("""COMPUTED_VALUE"""),"comment")</f>
        <v>comment</v>
      </c>
      <c r="I3101" s="2" t="str">
        <f>IFERROR(__xludf.DUMMYFUNCTION("""COMPUTED_VALUE"""),"https://www.facebook.com/watch/?v=684555919511830")</f>
        <v>https://www.facebook.com/watch/?v=684555919511830</v>
      </c>
      <c r="J3101" s="1" t="str">
        <f>IFERROR(__xludf.DUMMYFUNCTION("""COMPUTED_VALUE"""),"2022-07-04T21:38:52.761Z")</f>
        <v>2022-07-04T21:38:52.761Z</v>
      </c>
      <c r="K3101" s="1"/>
    </row>
    <row r="3102">
      <c r="A3102" s="2" t="str">
        <f>IFERROR(__xludf.DUMMYFUNCTION("""COMPUTED_VALUE"""),"https://www.facebook.com/yztik.yaj")</f>
        <v>https://www.facebook.com/yztik.yaj</v>
      </c>
      <c r="B3102" s="1" t="str">
        <f>IFERROR(__xludf.DUMMYFUNCTION("""COMPUTED_VALUE"""),"Yaj Zetans")</f>
        <v>Yaj Zetans</v>
      </c>
      <c r="C3102" s="1" t="str">
        <f>IFERROR(__xludf.DUMMYFUNCTION("""COMPUTED_VALUE"""),"Yaj")</f>
        <v>Yaj</v>
      </c>
      <c r="D3102" s="1" t="str">
        <f>IFERROR(__xludf.DUMMYFUNCTION("""COMPUTED_VALUE"""),"Zetans")</f>
        <v>Zetans</v>
      </c>
      <c r="E3102" s="1" t="str">
        <f>IFERROR(__xludf.DUMMYFUNCTION("""COMPUTED_VALUE"""),"Hay nako narinig na namin yan sa mga nag daan mga presidente 🙄🙄")</f>
        <v>Hay nako narinig na namin yan sa mga nag daan mga presidente 🙄🙄</v>
      </c>
      <c r="F3102" s="1"/>
      <c r="G3102" s="1" t="str">
        <f>IFERROR(__xludf.DUMMYFUNCTION("""COMPUTED_VALUE"""),"3 mos")</f>
        <v>3 mos</v>
      </c>
      <c r="H3102" s="1" t="str">
        <f>IFERROR(__xludf.DUMMYFUNCTION("""COMPUTED_VALUE"""),"comment")</f>
        <v>comment</v>
      </c>
      <c r="I3102" s="2" t="str">
        <f>IFERROR(__xludf.DUMMYFUNCTION("""COMPUTED_VALUE"""),"https://www.facebook.com/watch/?v=684555919511830")</f>
        <v>https://www.facebook.com/watch/?v=684555919511830</v>
      </c>
      <c r="J3102" s="1" t="str">
        <f>IFERROR(__xludf.DUMMYFUNCTION("""COMPUTED_VALUE"""),"2022-07-04T21:38:52.761Z")</f>
        <v>2022-07-04T21:38:52.761Z</v>
      </c>
      <c r="K3102" s="1"/>
    </row>
    <row r="3103">
      <c r="A3103" s="2" t="str">
        <f>IFERROR(__xludf.DUMMYFUNCTION("""COMPUTED_VALUE"""),"https://www.facebook.com/profile.php?id=100010435327642")</f>
        <v>https://www.facebook.com/profile.php?id=100010435327642</v>
      </c>
      <c r="B3103" s="1" t="str">
        <f>IFERROR(__xludf.DUMMYFUNCTION("""COMPUTED_VALUE"""),"Bobby Mabanta")</f>
        <v>Bobby Mabanta</v>
      </c>
      <c r="C3103" s="1" t="str">
        <f>IFERROR(__xludf.DUMMYFUNCTION("""COMPUTED_VALUE"""),"Bobby")</f>
        <v>Bobby</v>
      </c>
      <c r="D3103" s="1" t="str">
        <f>IFERROR(__xludf.DUMMYFUNCTION("""COMPUTED_VALUE"""),"Mabanta")</f>
        <v>Mabanta</v>
      </c>
      <c r="E3103" s="1" t="str">
        <f>IFERROR(__xludf.DUMMYFUNCTION("""COMPUTED_VALUE"""),"Kung mananalo ka kaso hindi.")</f>
        <v>Kung mananalo ka kaso hindi.</v>
      </c>
      <c r="F3103" s="1"/>
      <c r="G3103" s="1" t="str">
        <f>IFERROR(__xludf.DUMMYFUNCTION("""COMPUTED_VALUE"""),"3 mos")</f>
        <v>3 mos</v>
      </c>
      <c r="H3103" s="1" t="str">
        <f>IFERROR(__xludf.DUMMYFUNCTION("""COMPUTED_VALUE"""),"comment")</f>
        <v>comment</v>
      </c>
      <c r="I3103" s="2" t="str">
        <f>IFERROR(__xludf.DUMMYFUNCTION("""COMPUTED_VALUE"""),"https://www.facebook.com/watch/?v=684555919511830")</f>
        <v>https://www.facebook.com/watch/?v=684555919511830</v>
      </c>
      <c r="J3103" s="1" t="str">
        <f>IFERROR(__xludf.DUMMYFUNCTION("""COMPUTED_VALUE"""),"2022-07-04T21:38:52.761Z")</f>
        <v>2022-07-04T21:38:52.761Z</v>
      </c>
      <c r="K3103" s="1"/>
    </row>
    <row r="3104">
      <c r="A3104" s="2" t="str">
        <f>IFERROR(__xludf.DUMMYFUNCTION("""COMPUTED_VALUE"""),"https://www.facebook.com/profile.php?id=100010628258142")</f>
        <v>https://www.facebook.com/profile.php?id=100010628258142</v>
      </c>
      <c r="B3104" s="1" t="str">
        <f>IFERROR(__xludf.DUMMYFUNCTION("""COMPUTED_VALUE"""),"Valera Dandan")</f>
        <v>Valera Dandan</v>
      </c>
      <c r="C3104" s="1" t="str">
        <f>IFERROR(__xludf.DUMMYFUNCTION("""COMPUTED_VALUE"""),"Valera")</f>
        <v>Valera</v>
      </c>
      <c r="D3104" s="1" t="str">
        <f>IFERROR(__xludf.DUMMYFUNCTION("""COMPUTED_VALUE"""),"Dandan")</f>
        <v>Dandan</v>
      </c>
      <c r="E3104" s="1" t="str">
        <f>IFERROR(__xludf.DUMMYFUNCTION("""COMPUTED_VALUE"""),"HAHAHA LOKOHIN MO LELONG MO")</f>
        <v>HAHAHA LOKOHIN MO LELONG MO</v>
      </c>
      <c r="F3104" s="1">
        <f>IFERROR(__xludf.DUMMYFUNCTION("""COMPUTED_VALUE"""),2.0)</f>
        <v>2</v>
      </c>
      <c r="G3104" s="1" t="str">
        <f>IFERROR(__xludf.DUMMYFUNCTION("""COMPUTED_VALUE"""),"3 mos")</f>
        <v>3 mos</v>
      </c>
      <c r="H3104" s="1" t="str">
        <f>IFERROR(__xludf.DUMMYFUNCTION("""COMPUTED_VALUE"""),"comment")</f>
        <v>comment</v>
      </c>
      <c r="I3104" s="2" t="str">
        <f>IFERROR(__xludf.DUMMYFUNCTION("""COMPUTED_VALUE"""),"https://www.facebook.com/watch/?v=684555919511830")</f>
        <v>https://www.facebook.com/watch/?v=684555919511830</v>
      </c>
      <c r="J3104" s="1" t="str">
        <f>IFERROR(__xludf.DUMMYFUNCTION("""COMPUTED_VALUE"""),"2022-07-04T21:38:52.761Z")</f>
        <v>2022-07-04T21:38:52.761Z</v>
      </c>
      <c r="K3104" s="1"/>
    </row>
    <row r="3105">
      <c r="A3105" s="2" t="str">
        <f>IFERROR(__xludf.DUMMYFUNCTION("""COMPUTED_VALUE"""),"https://www.facebook.com/ryan.ampasu.9")</f>
        <v>https://www.facebook.com/ryan.ampasu.9</v>
      </c>
      <c r="B3105" s="1" t="str">
        <f>IFERROR(__xludf.DUMMYFUNCTION("""COMPUTED_VALUE"""),"Ryan Ampasu")</f>
        <v>Ryan Ampasu</v>
      </c>
      <c r="C3105" s="1" t="str">
        <f>IFERROR(__xludf.DUMMYFUNCTION("""COMPUTED_VALUE"""),"Ryan")</f>
        <v>Ryan</v>
      </c>
      <c r="D3105" s="1" t="str">
        <f>IFERROR(__xludf.DUMMYFUNCTION("""COMPUTED_VALUE"""),"Ampasu")</f>
        <v>Ampasu</v>
      </c>
      <c r="E3105" s="1" t="str">
        <f>IFERROR(__xludf.DUMMYFUNCTION("""COMPUTED_VALUE"""),"👍👍👍👍👍👍💗💗💗💗")</f>
        <v>👍👍👍👍👍👍💗💗💗💗</v>
      </c>
      <c r="F3105" s="1"/>
      <c r="G3105" s="1" t="str">
        <f>IFERROR(__xludf.DUMMYFUNCTION("""COMPUTED_VALUE"""),"3 mos")</f>
        <v>3 mos</v>
      </c>
      <c r="H3105" s="1" t="str">
        <f>IFERROR(__xludf.DUMMYFUNCTION("""COMPUTED_VALUE"""),"comment")</f>
        <v>comment</v>
      </c>
      <c r="I3105" s="2" t="str">
        <f>IFERROR(__xludf.DUMMYFUNCTION("""COMPUTED_VALUE"""),"https://www.facebook.com/watch/?v=684555919511830")</f>
        <v>https://www.facebook.com/watch/?v=684555919511830</v>
      </c>
      <c r="J3105" s="1" t="str">
        <f>IFERROR(__xludf.DUMMYFUNCTION("""COMPUTED_VALUE"""),"2022-07-04T21:38:52.761Z")</f>
        <v>2022-07-04T21:38:52.761Z</v>
      </c>
      <c r="K3105" s="1"/>
    </row>
    <row r="3106">
      <c r="A3106" s="2" t="str">
        <f>IFERROR(__xludf.DUMMYFUNCTION("""COMPUTED_VALUE"""),"https://www.facebook.com/rlyn.caipang")</f>
        <v>https://www.facebook.com/rlyn.caipang</v>
      </c>
      <c r="B3106" s="1" t="str">
        <f>IFERROR(__xludf.DUMMYFUNCTION("""COMPUTED_VALUE"""),"Are Lene Caipang")</f>
        <v>Are Lene Caipang</v>
      </c>
      <c r="C3106" s="1" t="str">
        <f>IFERROR(__xludf.DUMMYFUNCTION("""COMPUTED_VALUE"""),"Are")</f>
        <v>Are</v>
      </c>
      <c r="D3106" s="1" t="str">
        <f>IFERROR(__xludf.DUMMYFUNCTION("""COMPUTED_VALUE"""),"Lene Caipang")</f>
        <v>Lene Caipang</v>
      </c>
      <c r="E3106" s="1" t="str">
        <f>IFERROR(__xludf.DUMMYFUNCTION("""COMPUTED_VALUE"""),"Are Lene Caipang")</f>
        <v>Are Lene Caipang</v>
      </c>
      <c r="F3106" s="1">
        <f>IFERROR(__xludf.DUMMYFUNCTION("""COMPUTED_VALUE"""),2.0)</f>
        <v>2</v>
      </c>
      <c r="G3106" s="1" t="str">
        <f>IFERROR(__xludf.DUMMYFUNCTION("""COMPUTED_VALUE"""),"3 mos")</f>
        <v>3 mos</v>
      </c>
      <c r="H3106" s="1" t="str">
        <f>IFERROR(__xludf.DUMMYFUNCTION("""COMPUTED_VALUE"""),"comment")</f>
        <v>comment</v>
      </c>
      <c r="I3106" s="2" t="str">
        <f>IFERROR(__xludf.DUMMYFUNCTION("""COMPUTED_VALUE"""),"https://www.facebook.com/watch/?v=684555919511830")</f>
        <v>https://www.facebook.com/watch/?v=684555919511830</v>
      </c>
      <c r="J3106" s="1" t="str">
        <f>IFERROR(__xludf.DUMMYFUNCTION("""COMPUTED_VALUE"""),"2022-07-04T21:38:52.761Z")</f>
        <v>2022-07-04T21:38:52.761Z</v>
      </c>
      <c r="K3106" s="1"/>
    </row>
    <row r="3107">
      <c r="A3107" s="2" t="str">
        <f>IFERROR(__xludf.DUMMYFUNCTION("""COMPUTED_VALUE"""),"https://www.facebook.com/donna.arepiso")</f>
        <v>https://www.facebook.com/donna.arepiso</v>
      </c>
      <c r="B3107" s="1" t="str">
        <f>IFERROR(__xludf.DUMMYFUNCTION("""COMPUTED_VALUE"""),"Madonna R. Araña")</f>
        <v>Madonna R. Araña</v>
      </c>
      <c r="C3107" s="1" t="str">
        <f>IFERROR(__xludf.DUMMYFUNCTION("""COMPUTED_VALUE"""),"Madonna")</f>
        <v>Madonna</v>
      </c>
      <c r="D3107" s="1" t="str">
        <f>IFERROR(__xludf.DUMMYFUNCTION("""COMPUTED_VALUE"""),"R. Araña")</f>
        <v>R. Araña</v>
      </c>
      <c r="E3107" s="1" t="str">
        <f>IFERROR(__xludf.DUMMYFUNCTION("""COMPUTED_VALUE"""),"c duterte.matagal na nya sana ginawa kasu lng marami naman ang mawalan ng trabaho oh di na mkapag trabaho ngtrabaho aku sa sm my kilala aku regular antayin dw ng h.r magresing yun bago cla ulit mghire😂😂😂")</f>
        <v>c duterte.matagal na nya sana ginawa kasu lng marami naman ang mawalan ng trabaho oh di na mkapag trabaho ngtrabaho aku sa sm my kilala aku regular antayin dw ng h.r magresing yun bago cla ulit mghire😂😂😂</v>
      </c>
      <c r="F3107" s="1"/>
      <c r="G3107" s="1" t="str">
        <f>IFERROR(__xludf.DUMMYFUNCTION("""COMPUTED_VALUE"""),"3 mos")</f>
        <v>3 mos</v>
      </c>
      <c r="H3107" s="1" t="str">
        <f>IFERROR(__xludf.DUMMYFUNCTION("""COMPUTED_VALUE"""),"comment")</f>
        <v>comment</v>
      </c>
      <c r="I3107" s="2" t="str">
        <f>IFERROR(__xludf.DUMMYFUNCTION("""COMPUTED_VALUE"""),"https://www.facebook.com/watch/?v=684555919511830")</f>
        <v>https://www.facebook.com/watch/?v=684555919511830</v>
      </c>
      <c r="J3107" s="1" t="str">
        <f>IFERROR(__xludf.DUMMYFUNCTION("""COMPUTED_VALUE"""),"2022-07-04T21:38:52.761Z")</f>
        <v>2022-07-04T21:38:52.761Z</v>
      </c>
      <c r="K3107" s="1"/>
    </row>
    <row r="3108">
      <c r="A3108" s="2" t="str">
        <f>IFERROR(__xludf.DUMMYFUNCTION("""COMPUTED_VALUE"""),"https://www.facebook.com/profile.php?id=100069544954062")</f>
        <v>https://www.facebook.com/profile.php?id=100069544954062</v>
      </c>
      <c r="B3108" s="1" t="str">
        <f>IFERROR(__xludf.DUMMYFUNCTION("""COMPUTED_VALUE"""),"Leonora Deligero")</f>
        <v>Leonora Deligero</v>
      </c>
      <c r="C3108" s="1" t="str">
        <f>IFERROR(__xludf.DUMMYFUNCTION("""COMPUTED_VALUE"""),"Leonora")</f>
        <v>Leonora</v>
      </c>
      <c r="D3108" s="1" t="str">
        <f>IFERROR(__xludf.DUMMYFUNCTION("""COMPUTED_VALUE"""),"Deligero")</f>
        <v>Deligero</v>
      </c>
      <c r="E3108" s="1" t="str">
        <f>IFERROR(__xludf.DUMMYFUNCTION("""COMPUTED_VALUE"""),"nku lutang")</f>
        <v>nku lutang</v>
      </c>
      <c r="F3108" s="1">
        <f>IFERROR(__xludf.DUMMYFUNCTION("""COMPUTED_VALUE"""),1.0)</f>
        <v>1</v>
      </c>
      <c r="G3108" s="1" t="str">
        <f>IFERROR(__xludf.DUMMYFUNCTION("""COMPUTED_VALUE"""),"3 mos")</f>
        <v>3 mos</v>
      </c>
      <c r="H3108" s="1" t="str">
        <f>IFERROR(__xludf.DUMMYFUNCTION("""COMPUTED_VALUE"""),"comment")</f>
        <v>comment</v>
      </c>
      <c r="I3108" s="2" t="str">
        <f>IFERROR(__xludf.DUMMYFUNCTION("""COMPUTED_VALUE"""),"https://www.facebook.com/watch/?v=684555919511830")</f>
        <v>https://www.facebook.com/watch/?v=684555919511830</v>
      </c>
      <c r="J3108" s="1" t="str">
        <f>IFERROR(__xludf.DUMMYFUNCTION("""COMPUTED_VALUE"""),"2022-07-04T21:38:52.761Z")</f>
        <v>2022-07-04T21:38:52.761Z</v>
      </c>
      <c r="K3108" s="1"/>
    </row>
    <row r="3109">
      <c r="A3109" s="2" t="str">
        <f>IFERROR(__xludf.DUMMYFUNCTION("""COMPUTED_VALUE"""),"https://www.facebook.com/rolly.dejesus.18")</f>
        <v>https://www.facebook.com/rolly.dejesus.18</v>
      </c>
      <c r="B3109" s="1" t="str">
        <f>IFERROR(__xludf.DUMMYFUNCTION("""COMPUTED_VALUE"""),"Rolly de Jesus")</f>
        <v>Rolly de Jesus</v>
      </c>
      <c r="C3109" s="1" t="str">
        <f>IFERROR(__xludf.DUMMYFUNCTION("""COMPUTED_VALUE"""),"Rolly")</f>
        <v>Rolly</v>
      </c>
      <c r="D3109" s="1" t="str">
        <f>IFERROR(__xludf.DUMMYFUNCTION("""COMPUTED_VALUE"""),"de Jesus")</f>
        <v>de Jesus</v>
      </c>
      <c r="E3109" s="1" t="str">
        <f>IFERROR(__xludf.DUMMYFUNCTION("""COMPUTED_VALUE"""),"Wag npo kyo mangarap madam")</f>
        <v>Wag npo kyo mangarap madam</v>
      </c>
      <c r="F3109" s="1"/>
      <c r="G3109" s="1" t="str">
        <f>IFERROR(__xludf.DUMMYFUNCTION("""COMPUTED_VALUE"""),"3 mos")</f>
        <v>3 mos</v>
      </c>
      <c r="H3109" s="1" t="str">
        <f>IFERROR(__xludf.DUMMYFUNCTION("""COMPUTED_VALUE"""),"comment")</f>
        <v>comment</v>
      </c>
      <c r="I3109" s="2" t="str">
        <f>IFERROR(__xludf.DUMMYFUNCTION("""COMPUTED_VALUE"""),"https://www.facebook.com/watch/?v=684555919511830")</f>
        <v>https://www.facebook.com/watch/?v=684555919511830</v>
      </c>
      <c r="J3109" s="1" t="str">
        <f>IFERROR(__xludf.DUMMYFUNCTION("""COMPUTED_VALUE"""),"2022-07-04T21:38:52.761Z")</f>
        <v>2022-07-04T21:38:52.761Z</v>
      </c>
      <c r="K3109" s="1"/>
    </row>
    <row r="3110">
      <c r="A3110" s="2" t="str">
        <f>IFERROR(__xludf.DUMMYFUNCTION("""COMPUTED_VALUE"""),"https://www.facebook.com/rigelle.fernandez.39")</f>
        <v>https://www.facebook.com/rigelle.fernandez.39</v>
      </c>
      <c r="B3110" s="1" t="str">
        <f>IFERROR(__xludf.DUMMYFUNCTION("""COMPUTED_VALUE"""),"Rigelle Fernandez")</f>
        <v>Rigelle Fernandez</v>
      </c>
      <c r="C3110" s="1" t="str">
        <f>IFERROR(__xludf.DUMMYFUNCTION("""COMPUTED_VALUE"""),"Rigelle")</f>
        <v>Rigelle</v>
      </c>
      <c r="D3110" s="1" t="str">
        <f>IFERROR(__xludf.DUMMYFUNCTION("""COMPUTED_VALUE"""),"Fernandez")</f>
        <v>Fernandez</v>
      </c>
      <c r="E3110" s="1" t="str">
        <f>IFERROR(__xludf.DUMMYFUNCTION("""COMPUTED_VALUE"""),"100% no vote..")</f>
        <v>100% no vote..</v>
      </c>
      <c r="F3110" s="1">
        <f>IFERROR(__xludf.DUMMYFUNCTION("""COMPUTED_VALUE"""),1.0)</f>
        <v>1</v>
      </c>
      <c r="G3110" s="1" t="str">
        <f>IFERROR(__xludf.DUMMYFUNCTION("""COMPUTED_VALUE"""),"3 mos")</f>
        <v>3 mos</v>
      </c>
      <c r="H3110" s="1" t="str">
        <f>IFERROR(__xludf.DUMMYFUNCTION("""COMPUTED_VALUE"""),"comment")</f>
        <v>comment</v>
      </c>
      <c r="I3110" s="2" t="str">
        <f>IFERROR(__xludf.DUMMYFUNCTION("""COMPUTED_VALUE"""),"https://www.facebook.com/watch/?v=684555919511830")</f>
        <v>https://www.facebook.com/watch/?v=684555919511830</v>
      </c>
      <c r="J3110" s="1" t="str">
        <f>IFERROR(__xludf.DUMMYFUNCTION("""COMPUTED_VALUE"""),"2022-07-04T21:38:52.761Z")</f>
        <v>2022-07-04T21:38:52.761Z</v>
      </c>
      <c r="K3110" s="1"/>
    </row>
    <row r="3111">
      <c r="A3111" s="2" t="str">
        <f>IFERROR(__xludf.DUMMYFUNCTION("""COMPUTED_VALUE"""),"https://www.facebook.com/profile.php?id=100073277073791")</f>
        <v>https://www.facebook.com/profile.php?id=100073277073791</v>
      </c>
      <c r="B3111" s="1" t="str">
        <f>IFERROR(__xludf.DUMMYFUNCTION("""COMPUTED_VALUE"""),"Journee TwentyFive")</f>
        <v>Journee TwentyFive</v>
      </c>
      <c r="C3111" s="1" t="str">
        <f>IFERROR(__xludf.DUMMYFUNCTION("""COMPUTED_VALUE"""),"Journee")</f>
        <v>Journee</v>
      </c>
      <c r="D3111" s="1" t="str">
        <f>IFERROR(__xludf.DUMMYFUNCTION("""COMPUTED_VALUE"""),"TwentyFive")</f>
        <v>TwentyFive</v>
      </c>
      <c r="E3111" s="1" t="str">
        <f>IFERROR(__xludf.DUMMYFUNCTION("""COMPUTED_VALUE"""),"Sus!!ganyan pala ang gusto dapat gnwa nia na sayang 6 years sa pgiging VP")</f>
        <v>Sus!!ganyan pala ang gusto dapat gnwa nia na sayang 6 years sa pgiging VP</v>
      </c>
      <c r="F3111" s="1"/>
      <c r="G3111" s="1" t="str">
        <f>IFERROR(__xludf.DUMMYFUNCTION("""COMPUTED_VALUE"""),"3 mos")</f>
        <v>3 mos</v>
      </c>
      <c r="H3111" s="1" t="str">
        <f>IFERROR(__xludf.DUMMYFUNCTION("""COMPUTED_VALUE"""),"comment")</f>
        <v>comment</v>
      </c>
      <c r="I3111" s="2" t="str">
        <f>IFERROR(__xludf.DUMMYFUNCTION("""COMPUTED_VALUE"""),"https://www.facebook.com/watch/?v=684555919511830")</f>
        <v>https://www.facebook.com/watch/?v=684555919511830</v>
      </c>
      <c r="J3111" s="1" t="str">
        <f>IFERROR(__xludf.DUMMYFUNCTION("""COMPUTED_VALUE"""),"2022-07-04T21:38:52.761Z")</f>
        <v>2022-07-04T21:38:52.761Z</v>
      </c>
      <c r="K3111" s="1"/>
    </row>
    <row r="3112">
      <c r="A3112" s="2" t="str">
        <f>IFERROR(__xludf.DUMMYFUNCTION("""COMPUTED_VALUE"""),"https://www.facebook.com/ivan.taneomoreno.9")</f>
        <v>https://www.facebook.com/ivan.taneomoreno.9</v>
      </c>
      <c r="B3112" s="1" t="str">
        <f>IFERROR(__xludf.DUMMYFUNCTION("""COMPUTED_VALUE"""),"Ivan Taneo")</f>
        <v>Ivan Taneo</v>
      </c>
      <c r="C3112" s="1" t="str">
        <f>IFERROR(__xludf.DUMMYFUNCTION("""COMPUTED_VALUE"""),"Ivan")</f>
        <v>Ivan</v>
      </c>
      <c r="D3112" s="1" t="str">
        <f>IFERROR(__xludf.DUMMYFUNCTION("""COMPUTED_VALUE"""),"Taneo")</f>
        <v>Taneo</v>
      </c>
      <c r="E3112" s="1" t="str">
        <f>IFERROR(__xludf.DUMMYFUNCTION("""COMPUTED_VALUE"""),"Di halatang may kinakampihan ah")</f>
        <v>Di halatang may kinakampihan ah</v>
      </c>
      <c r="F3112" s="1"/>
      <c r="G3112" s="1" t="str">
        <f>IFERROR(__xludf.DUMMYFUNCTION("""COMPUTED_VALUE"""),"3 mos")</f>
        <v>3 mos</v>
      </c>
      <c r="H3112" s="1" t="str">
        <f>IFERROR(__xludf.DUMMYFUNCTION("""COMPUTED_VALUE"""),"comment")</f>
        <v>comment</v>
      </c>
      <c r="I3112" s="2" t="str">
        <f>IFERROR(__xludf.DUMMYFUNCTION("""COMPUTED_VALUE"""),"https://www.facebook.com/watch/?v=684555919511830")</f>
        <v>https://www.facebook.com/watch/?v=684555919511830</v>
      </c>
      <c r="J3112" s="1" t="str">
        <f>IFERROR(__xludf.DUMMYFUNCTION("""COMPUTED_VALUE"""),"2022-07-04T21:38:52.761Z")</f>
        <v>2022-07-04T21:38:52.761Z</v>
      </c>
      <c r="K3112" s="1"/>
    </row>
    <row r="3113">
      <c r="A3113" s="2" t="str">
        <f>IFERROR(__xludf.DUMMYFUNCTION("""COMPUTED_VALUE"""),"https://www.facebook.com/richard.saveron")</f>
        <v>https://www.facebook.com/richard.saveron</v>
      </c>
      <c r="B3113" s="1" t="str">
        <f>IFERROR(__xludf.DUMMYFUNCTION("""COMPUTED_VALUE"""),"Richard Labor Saveron")</f>
        <v>Richard Labor Saveron</v>
      </c>
      <c r="C3113" s="1" t="str">
        <f>IFERROR(__xludf.DUMMYFUNCTION("""COMPUTED_VALUE"""),"Richard")</f>
        <v>Richard</v>
      </c>
      <c r="D3113" s="1" t="str">
        <f>IFERROR(__xludf.DUMMYFUNCTION("""COMPUTED_VALUE"""),"Labor Saveron")</f>
        <v>Labor Saveron</v>
      </c>
      <c r="E3113" s="1" t="str">
        <f>IFERROR(__xludf.DUMMYFUNCTION("""COMPUTED_VALUE"""),"Luslos!")</f>
        <v>Luslos!</v>
      </c>
      <c r="F3113" s="1">
        <f>IFERROR(__xludf.DUMMYFUNCTION("""COMPUTED_VALUE"""),1.0)</f>
        <v>1</v>
      </c>
      <c r="G3113" s="1" t="str">
        <f>IFERROR(__xludf.DUMMYFUNCTION("""COMPUTED_VALUE"""),"3 mos")</f>
        <v>3 mos</v>
      </c>
      <c r="H3113" s="1" t="str">
        <f>IFERROR(__xludf.DUMMYFUNCTION("""COMPUTED_VALUE"""),"comment")</f>
        <v>comment</v>
      </c>
      <c r="I3113" s="2" t="str">
        <f>IFERROR(__xludf.DUMMYFUNCTION("""COMPUTED_VALUE"""),"https://www.facebook.com/watch/?v=684555919511830")</f>
        <v>https://www.facebook.com/watch/?v=684555919511830</v>
      </c>
      <c r="J3113" s="1" t="str">
        <f>IFERROR(__xludf.DUMMYFUNCTION("""COMPUTED_VALUE"""),"2022-07-04T21:38:52.761Z")</f>
        <v>2022-07-04T21:38:52.761Z</v>
      </c>
      <c r="K3113" s="1"/>
    </row>
    <row r="3114">
      <c r="A3114" s="2" t="str">
        <f>IFERROR(__xludf.DUMMYFUNCTION("""COMPUTED_VALUE"""),"https://www.facebook.com/sumalpong.juwelsaberon")</f>
        <v>https://www.facebook.com/sumalpong.juwelsaberon</v>
      </c>
      <c r="B3114" s="1" t="str">
        <f>IFERROR(__xludf.DUMMYFUNCTION("""COMPUTED_VALUE"""),"Juwel Saberon Sumalpong")</f>
        <v>Juwel Saberon Sumalpong</v>
      </c>
      <c r="C3114" s="1" t="str">
        <f>IFERROR(__xludf.DUMMYFUNCTION("""COMPUTED_VALUE"""),"Juwel")</f>
        <v>Juwel</v>
      </c>
      <c r="D3114" s="1" t="str">
        <f>IFERROR(__xludf.DUMMYFUNCTION("""COMPUTED_VALUE"""),"Saberon Sumalpong")</f>
        <v>Saberon Sumalpong</v>
      </c>
      <c r="E3114" s="1" t="str">
        <f>IFERROR(__xludf.DUMMYFUNCTION("""COMPUTED_VALUE"""),"Anong indo bill ? Magagawa mo kaya yan?")</f>
        <v>Anong indo bill ? Magagawa mo kaya yan?</v>
      </c>
      <c r="F3114" s="1"/>
      <c r="G3114" s="1" t="str">
        <f>IFERROR(__xludf.DUMMYFUNCTION("""COMPUTED_VALUE"""),"3 mos")</f>
        <v>3 mos</v>
      </c>
      <c r="H3114" s="1" t="str">
        <f>IFERROR(__xludf.DUMMYFUNCTION("""COMPUTED_VALUE"""),"comment")</f>
        <v>comment</v>
      </c>
      <c r="I3114" s="2" t="str">
        <f>IFERROR(__xludf.DUMMYFUNCTION("""COMPUTED_VALUE"""),"https://www.facebook.com/watch/?v=684555919511830")</f>
        <v>https://www.facebook.com/watch/?v=684555919511830</v>
      </c>
      <c r="J3114" s="1" t="str">
        <f>IFERROR(__xludf.DUMMYFUNCTION("""COMPUTED_VALUE"""),"2022-07-04T21:38:52.761Z")</f>
        <v>2022-07-04T21:38:52.761Z</v>
      </c>
      <c r="K3114" s="1"/>
    </row>
    <row r="3115">
      <c r="A3115" s="2" t="str">
        <f>IFERROR(__xludf.DUMMYFUNCTION("""COMPUTED_VALUE"""),"https://www.facebook.com/ervin.alagao.5")</f>
        <v>https://www.facebook.com/ervin.alagao.5</v>
      </c>
      <c r="B3115" s="1" t="str">
        <f>IFERROR(__xludf.DUMMYFUNCTION("""COMPUTED_VALUE"""),"Ervin Alagao")</f>
        <v>Ervin Alagao</v>
      </c>
      <c r="C3115" s="1" t="str">
        <f>IFERROR(__xludf.DUMMYFUNCTION("""COMPUTED_VALUE"""),"Ervin")</f>
        <v>Ervin</v>
      </c>
      <c r="D3115" s="1" t="str">
        <f>IFERROR(__xludf.DUMMYFUNCTION("""COMPUTED_VALUE"""),"Alagao")</f>
        <v>Alagao</v>
      </c>
      <c r="E3115" s="1" t="str">
        <f>IFERROR(__xludf.DUMMYFUNCTION("""COMPUTED_VALUE"""),"Lutang yan c lenlen")</f>
        <v>Lutang yan c lenlen</v>
      </c>
      <c r="F3115" s="1"/>
      <c r="G3115" s="1" t="str">
        <f>IFERROR(__xludf.DUMMYFUNCTION("""COMPUTED_VALUE"""),"3 mos")</f>
        <v>3 mos</v>
      </c>
      <c r="H3115" s="1" t="str">
        <f>IFERROR(__xludf.DUMMYFUNCTION("""COMPUTED_VALUE"""),"comment")</f>
        <v>comment</v>
      </c>
      <c r="I3115" s="2" t="str">
        <f>IFERROR(__xludf.DUMMYFUNCTION("""COMPUTED_VALUE"""),"https://www.facebook.com/watch/?v=684555919511830")</f>
        <v>https://www.facebook.com/watch/?v=684555919511830</v>
      </c>
      <c r="J3115" s="1" t="str">
        <f>IFERROR(__xludf.DUMMYFUNCTION("""COMPUTED_VALUE"""),"2022-07-04T21:38:52.761Z")</f>
        <v>2022-07-04T21:38:52.761Z</v>
      </c>
      <c r="K3115" s="1"/>
    </row>
    <row r="3116">
      <c r="A3116" s="2" t="str">
        <f>IFERROR(__xludf.DUMMYFUNCTION("""COMPUTED_VALUE"""),"https://www.facebook.com/profile.php?id=100073839987788")</f>
        <v>https://www.facebook.com/profile.php?id=100073839987788</v>
      </c>
      <c r="B3116" s="1" t="str">
        <f>IFERROR(__xludf.DUMMYFUNCTION("""COMPUTED_VALUE"""),"Code Batiancila")</f>
        <v>Code Batiancila</v>
      </c>
      <c r="C3116" s="1" t="str">
        <f>IFERROR(__xludf.DUMMYFUNCTION("""COMPUTED_VALUE"""),"Code")</f>
        <v>Code</v>
      </c>
      <c r="D3116" s="1" t="str">
        <f>IFERROR(__xludf.DUMMYFUNCTION("""COMPUTED_VALUE"""),"Batiancila")</f>
        <v>Batiancila</v>
      </c>
      <c r="E3116" s="1" t="str">
        <f>IFERROR(__xludf.DUMMYFUNCTION("""COMPUTED_VALUE"""),"Ano?wala ngang ginawa sa 6 na taon nya puro batikos sa goberno,lalo na bise nya tumanda nalang sa senado sabagay nasa inyo yan..")</f>
        <v>Ano?wala ngang ginawa sa 6 na taon nya puro batikos sa goberno,lalo na bise nya tumanda nalang sa senado sabagay nasa inyo yan..</v>
      </c>
      <c r="F3116" s="1"/>
      <c r="G3116" s="1" t="str">
        <f>IFERROR(__xludf.DUMMYFUNCTION("""COMPUTED_VALUE"""),"3 mos")</f>
        <v>3 mos</v>
      </c>
      <c r="H3116" s="1" t="str">
        <f>IFERROR(__xludf.DUMMYFUNCTION("""COMPUTED_VALUE"""),"comment")</f>
        <v>comment</v>
      </c>
      <c r="I3116" s="2" t="str">
        <f>IFERROR(__xludf.DUMMYFUNCTION("""COMPUTED_VALUE"""),"https://www.facebook.com/watch/?v=684555919511830")</f>
        <v>https://www.facebook.com/watch/?v=684555919511830</v>
      </c>
      <c r="J3116" s="1" t="str">
        <f>IFERROR(__xludf.DUMMYFUNCTION("""COMPUTED_VALUE"""),"2022-07-04T21:38:52.761Z")</f>
        <v>2022-07-04T21:38:52.761Z</v>
      </c>
      <c r="K3116" s="1"/>
    </row>
  </sheetData>
  <hyperlinks>
    <hyperlink r:id="rId1" ref="A2"/>
    <hyperlink r:id="rId2" ref="I2"/>
    <hyperlink r:id="rId3" ref="A3"/>
    <hyperlink r:id="rId4" ref="I3"/>
    <hyperlink r:id="rId5" ref="A4"/>
    <hyperlink r:id="rId6" ref="I4"/>
    <hyperlink r:id="rId7" ref="A5"/>
    <hyperlink r:id="rId8" ref="I5"/>
    <hyperlink r:id="rId9" ref="A6"/>
    <hyperlink r:id="rId10" ref="I6"/>
    <hyperlink r:id="rId11" ref="A7"/>
    <hyperlink r:id="rId12" ref="I7"/>
    <hyperlink r:id="rId13" ref="A8"/>
    <hyperlink r:id="rId14" ref="I8"/>
    <hyperlink r:id="rId15" ref="A9"/>
    <hyperlink r:id="rId16" ref="I9"/>
    <hyperlink r:id="rId17" ref="A10"/>
    <hyperlink r:id="rId18" ref="I10"/>
    <hyperlink r:id="rId19" ref="A11"/>
    <hyperlink r:id="rId20" ref="I11"/>
    <hyperlink r:id="rId21" ref="A12"/>
    <hyperlink r:id="rId22" ref="I12"/>
    <hyperlink r:id="rId23" ref="A13"/>
    <hyperlink r:id="rId24" ref="I13"/>
    <hyperlink r:id="rId25" ref="A14"/>
    <hyperlink r:id="rId26" ref="I14"/>
    <hyperlink r:id="rId27" ref="A15"/>
    <hyperlink r:id="rId28" ref="I15"/>
    <hyperlink r:id="rId29" ref="A16"/>
    <hyperlink r:id="rId30" ref="I16"/>
    <hyperlink r:id="rId31" ref="A17"/>
    <hyperlink r:id="rId32" ref="I17"/>
    <hyperlink r:id="rId33" ref="A18"/>
    <hyperlink r:id="rId34" ref="I18"/>
    <hyperlink r:id="rId35" ref="A19"/>
    <hyperlink r:id="rId36" ref="I19"/>
    <hyperlink r:id="rId37" ref="A20"/>
    <hyperlink r:id="rId38" ref="I20"/>
    <hyperlink r:id="rId39" ref="A21"/>
    <hyperlink r:id="rId40" ref="I21"/>
    <hyperlink r:id="rId41" ref="A22"/>
    <hyperlink r:id="rId42" ref="I22"/>
    <hyperlink r:id="rId43" ref="A23"/>
    <hyperlink r:id="rId44" ref="I23"/>
    <hyperlink r:id="rId45" ref="A24"/>
    <hyperlink r:id="rId46" ref="I24"/>
    <hyperlink r:id="rId47" ref="A25"/>
    <hyperlink r:id="rId48" ref="I25"/>
    <hyperlink r:id="rId49" ref="A26"/>
    <hyperlink r:id="rId50" ref="I26"/>
    <hyperlink r:id="rId51" ref="A27"/>
    <hyperlink r:id="rId52" ref="I27"/>
    <hyperlink r:id="rId53" ref="A28"/>
    <hyperlink r:id="rId54" ref="I28"/>
    <hyperlink r:id="rId55" ref="A29"/>
    <hyperlink r:id="rId56" ref="I29"/>
    <hyperlink r:id="rId57" ref="A30"/>
    <hyperlink r:id="rId58" ref="I30"/>
    <hyperlink r:id="rId59" ref="A31"/>
    <hyperlink r:id="rId60" ref="I31"/>
    <hyperlink r:id="rId61" ref="A32"/>
    <hyperlink r:id="rId62" ref="I32"/>
    <hyperlink r:id="rId63" ref="A33"/>
    <hyperlink r:id="rId64" ref="I33"/>
    <hyperlink r:id="rId65" ref="A34"/>
    <hyperlink r:id="rId66" ref="I34"/>
    <hyperlink r:id="rId67" ref="A35"/>
    <hyperlink r:id="rId68" ref="I35"/>
    <hyperlink r:id="rId69" ref="A36"/>
    <hyperlink r:id="rId70" ref="I36"/>
    <hyperlink r:id="rId71" ref="A37"/>
    <hyperlink r:id="rId72" ref="I37"/>
    <hyperlink r:id="rId73" ref="A38"/>
    <hyperlink r:id="rId74" ref="I38"/>
    <hyperlink r:id="rId75" ref="A39"/>
    <hyperlink r:id="rId76" ref="I39"/>
    <hyperlink r:id="rId77" ref="A40"/>
    <hyperlink r:id="rId78" ref="I40"/>
    <hyperlink r:id="rId79" ref="A41"/>
    <hyperlink r:id="rId80" ref="I41"/>
    <hyperlink r:id="rId81" ref="A42"/>
    <hyperlink r:id="rId82" ref="I42"/>
    <hyperlink r:id="rId83" ref="A43"/>
    <hyperlink r:id="rId84" ref="I43"/>
    <hyperlink r:id="rId85" ref="A44"/>
    <hyperlink r:id="rId86" ref="I44"/>
    <hyperlink r:id="rId87" ref="A45"/>
    <hyperlink r:id="rId88" ref="I45"/>
    <hyperlink r:id="rId89" ref="A46"/>
    <hyperlink r:id="rId90" ref="I46"/>
    <hyperlink r:id="rId91" ref="A47"/>
    <hyperlink r:id="rId92" ref="I47"/>
    <hyperlink r:id="rId93" ref="A48"/>
    <hyperlink r:id="rId94" ref="I48"/>
    <hyperlink r:id="rId95" ref="A49"/>
    <hyperlink r:id="rId96" ref="I49"/>
    <hyperlink r:id="rId97" ref="A50"/>
    <hyperlink r:id="rId98" ref="I50"/>
    <hyperlink r:id="rId99" ref="A51"/>
    <hyperlink r:id="rId100" ref="I51"/>
    <hyperlink r:id="rId101" ref="A52"/>
    <hyperlink r:id="rId102" ref="I52"/>
    <hyperlink r:id="rId103" ref="A53"/>
    <hyperlink r:id="rId104" ref="I53"/>
    <hyperlink r:id="rId105" ref="A54"/>
    <hyperlink r:id="rId106" ref="I54"/>
    <hyperlink r:id="rId107" ref="A55"/>
    <hyperlink r:id="rId108" ref="I55"/>
    <hyperlink r:id="rId109" ref="A56"/>
    <hyperlink r:id="rId110" ref="I56"/>
    <hyperlink r:id="rId111" ref="A57"/>
    <hyperlink r:id="rId112" ref="I57"/>
    <hyperlink r:id="rId113" ref="A58"/>
    <hyperlink r:id="rId114" ref="I58"/>
    <hyperlink r:id="rId115" ref="A59"/>
    <hyperlink r:id="rId116" ref="I59"/>
    <hyperlink r:id="rId117" ref="A60"/>
    <hyperlink r:id="rId118" ref="I60"/>
    <hyperlink r:id="rId119" ref="A61"/>
    <hyperlink r:id="rId120" ref="I61"/>
    <hyperlink r:id="rId121" ref="A62"/>
    <hyperlink r:id="rId122" ref="I62"/>
    <hyperlink r:id="rId123" ref="A63"/>
    <hyperlink r:id="rId124" ref="I63"/>
    <hyperlink r:id="rId125" ref="A64"/>
    <hyperlink r:id="rId126" ref="I64"/>
    <hyperlink r:id="rId127" ref="A65"/>
    <hyperlink r:id="rId128" ref="I65"/>
    <hyperlink r:id="rId129" ref="A66"/>
    <hyperlink r:id="rId130" ref="I66"/>
    <hyperlink r:id="rId131" ref="A67"/>
    <hyperlink r:id="rId132" ref="I67"/>
    <hyperlink r:id="rId133" ref="A68"/>
    <hyperlink r:id="rId134" ref="I68"/>
    <hyperlink r:id="rId135" ref="A69"/>
    <hyperlink r:id="rId136" ref="I69"/>
    <hyperlink r:id="rId137" ref="A70"/>
    <hyperlink r:id="rId138" ref="I70"/>
    <hyperlink r:id="rId139" ref="A71"/>
    <hyperlink r:id="rId140" ref="I71"/>
    <hyperlink r:id="rId141" ref="A72"/>
    <hyperlink r:id="rId142" ref="I72"/>
    <hyperlink r:id="rId143" ref="A73"/>
    <hyperlink r:id="rId144" ref="I73"/>
    <hyperlink r:id="rId145" ref="A74"/>
    <hyperlink r:id="rId146" ref="I74"/>
    <hyperlink r:id="rId147" ref="A75"/>
    <hyperlink r:id="rId148" ref="I75"/>
    <hyperlink r:id="rId149" ref="A76"/>
    <hyperlink r:id="rId150" ref="I76"/>
    <hyperlink r:id="rId151" ref="A77"/>
    <hyperlink r:id="rId152" ref="I77"/>
    <hyperlink r:id="rId153" ref="A78"/>
    <hyperlink r:id="rId154" ref="I78"/>
    <hyperlink r:id="rId155" ref="A79"/>
    <hyperlink r:id="rId156" ref="I79"/>
    <hyperlink r:id="rId157" ref="A80"/>
    <hyperlink r:id="rId158" ref="I80"/>
    <hyperlink r:id="rId159" ref="A81"/>
    <hyperlink r:id="rId160" ref="I81"/>
    <hyperlink r:id="rId161" ref="A82"/>
    <hyperlink r:id="rId162" ref="I82"/>
    <hyperlink r:id="rId163" ref="A83"/>
    <hyperlink r:id="rId164" ref="I83"/>
    <hyperlink r:id="rId165" ref="A84"/>
    <hyperlink r:id="rId166" ref="I84"/>
    <hyperlink r:id="rId167" ref="A85"/>
    <hyperlink r:id="rId168" ref="I85"/>
    <hyperlink r:id="rId169" ref="A86"/>
    <hyperlink r:id="rId170" ref="I86"/>
    <hyperlink r:id="rId171" ref="A87"/>
    <hyperlink r:id="rId172" ref="I87"/>
    <hyperlink r:id="rId173" ref="A88"/>
    <hyperlink r:id="rId174" ref="I88"/>
    <hyperlink r:id="rId175" ref="A89"/>
    <hyperlink r:id="rId176" ref="I89"/>
    <hyperlink r:id="rId177" ref="A90"/>
    <hyperlink r:id="rId178" ref="I90"/>
    <hyperlink r:id="rId179" ref="A91"/>
    <hyperlink r:id="rId180" ref="I91"/>
    <hyperlink r:id="rId181" ref="A92"/>
    <hyperlink r:id="rId182" ref="I92"/>
    <hyperlink r:id="rId183" ref="A93"/>
    <hyperlink r:id="rId184" ref="I93"/>
    <hyperlink r:id="rId185" ref="A94"/>
    <hyperlink r:id="rId186" ref="I94"/>
    <hyperlink r:id="rId187" ref="A95"/>
    <hyperlink r:id="rId188" ref="I95"/>
    <hyperlink r:id="rId189" ref="A96"/>
    <hyperlink r:id="rId190" ref="I96"/>
    <hyperlink r:id="rId191" ref="A97"/>
    <hyperlink r:id="rId192" ref="I97"/>
    <hyperlink r:id="rId193" ref="A98"/>
    <hyperlink r:id="rId194" ref="I98"/>
    <hyperlink r:id="rId195" ref="A99"/>
    <hyperlink r:id="rId196" ref="I99"/>
    <hyperlink r:id="rId197" ref="A100"/>
    <hyperlink r:id="rId198" ref="I100"/>
    <hyperlink r:id="rId199" ref="A101"/>
    <hyperlink r:id="rId200" ref="I101"/>
    <hyperlink r:id="rId201" ref="A102"/>
    <hyperlink r:id="rId202" ref="I102"/>
    <hyperlink r:id="rId203" ref="A103"/>
    <hyperlink r:id="rId204" ref="I103"/>
    <hyperlink r:id="rId205" ref="A104"/>
    <hyperlink r:id="rId206" ref="I104"/>
    <hyperlink r:id="rId207" ref="A105"/>
    <hyperlink r:id="rId208" ref="I105"/>
    <hyperlink r:id="rId209" ref="A106"/>
    <hyperlink r:id="rId210" ref="I106"/>
    <hyperlink r:id="rId211" ref="A107"/>
    <hyperlink r:id="rId212" ref="I107"/>
    <hyperlink r:id="rId213" ref="A108"/>
    <hyperlink r:id="rId214" ref="I108"/>
    <hyperlink r:id="rId215" ref="A109"/>
    <hyperlink r:id="rId216" ref="I109"/>
    <hyperlink r:id="rId217" ref="A110"/>
    <hyperlink r:id="rId218" ref="I110"/>
    <hyperlink r:id="rId219" ref="A111"/>
    <hyperlink r:id="rId220" ref="I111"/>
    <hyperlink r:id="rId221" ref="A112"/>
    <hyperlink r:id="rId222" ref="I112"/>
    <hyperlink r:id="rId223" ref="A113"/>
    <hyperlink r:id="rId224" ref="I113"/>
    <hyperlink r:id="rId225" ref="A114"/>
    <hyperlink r:id="rId226" ref="I114"/>
    <hyperlink r:id="rId227" ref="I115"/>
    <hyperlink r:id="rId228" ref="A116"/>
    <hyperlink r:id="rId229" ref="I116"/>
    <hyperlink r:id="rId230" ref="A117"/>
    <hyperlink r:id="rId231" ref="I117"/>
    <hyperlink r:id="rId232" ref="A118"/>
    <hyperlink r:id="rId233" ref="I118"/>
    <hyperlink r:id="rId234" ref="A119"/>
    <hyperlink r:id="rId235" ref="I119"/>
    <hyperlink r:id="rId236" ref="A120"/>
    <hyperlink r:id="rId237" ref="I120"/>
    <hyperlink r:id="rId238" ref="A121"/>
    <hyperlink r:id="rId239" ref="I121"/>
    <hyperlink r:id="rId240" ref="A122"/>
    <hyperlink r:id="rId241" ref="I122"/>
    <hyperlink r:id="rId242" ref="A123"/>
    <hyperlink r:id="rId243" ref="I123"/>
    <hyperlink r:id="rId244" ref="A124"/>
    <hyperlink r:id="rId245" ref="I124"/>
    <hyperlink r:id="rId246" ref="A125"/>
    <hyperlink r:id="rId247" ref="I125"/>
    <hyperlink r:id="rId248" ref="A126"/>
    <hyperlink r:id="rId249" ref="I126"/>
    <hyperlink r:id="rId250" ref="A127"/>
    <hyperlink r:id="rId251" ref="I127"/>
    <hyperlink r:id="rId252" ref="A128"/>
    <hyperlink r:id="rId253" ref="I128"/>
    <hyperlink r:id="rId254" ref="A129"/>
    <hyperlink r:id="rId255" ref="I129"/>
    <hyperlink r:id="rId256" ref="A130"/>
    <hyperlink r:id="rId257" ref="I130"/>
    <hyperlink r:id="rId258" ref="A131"/>
    <hyperlink r:id="rId259" ref="I131"/>
    <hyperlink r:id="rId260" ref="A132"/>
    <hyperlink r:id="rId261" ref="I132"/>
    <hyperlink r:id="rId262" ref="A133"/>
    <hyperlink r:id="rId263" ref="I133"/>
    <hyperlink r:id="rId264" ref="A134"/>
    <hyperlink r:id="rId265" ref="I134"/>
    <hyperlink r:id="rId266" ref="A135"/>
    <hyperlink r:id="rId267" ref="I135"/>
    <hyperlink r:id="rId268" ref="A136"/>
    <hyperlink r:id="rId269" ref="I136"/>
    <hyperlink r:id="rId270" ref="A137"/>
    <hyperlink r:id="rId271" ref="I137"/>
    <hyperlink r:id="rId272" ref="A138"/>
    <hyperlink r:id="rId273" ref="I138"/>
    <hyperlink r:id="rId274" ref="A139"/>
    <hyperlink r:id="rId275" ref="I139"/>
    <hyperlink r:id="rId276" ref="A140"/>
    <hyperlink r:id="rId277" ref="I140"/>
    <hyperlink r:id="rId278" ref="A141"/>
    <hyperlink r:id="rId279" ref="I141"/>
    <hyperlink r:id="rId280" ref="A142"/>
    <hyperlink r:id="rId281" ref="I142"/>
    <hyperlink r:id="rId282" ref="A143"/>
    <hyperlink r:id="rId283" ref="I143"/>
    <hyperlink r:id="rId284" ref="A144"/>
    <hyperlink r:id="rId285" ref="I144"/>
    <hyperlink r:id="rId286" ref="A145"/>
    <hyperlink r:id="rId287" ref="I145"/>
    <hyperlink r:id="rId288" ref="A146"/>
    <hyperlink r:id="rId289" ref="I146"/>
    <hyperlink r:id="rId290" ref="A147"/>
    <hyperlink r:id="rId291" ref="I147"/>
    <hyperlink r:id="rId292" ref="A148"/>
    <hyperlink r:id="rId293" ref="I148"/>
    <hyperlink r:id="rId294" ref="A149"/>
    <hyperlink r:id="rId295" ref="I149"/>
    <hyperlink r:id="rId296" ref="A150"/>
    <hyperlink r:id="rId297" ref="I150"/>
    <hyperlink r:id="rId298" ref="A151"/>
    <hyperlink r:id="rId299" ref="I151"/>
    <hyperlink r:id="rId300" ref="A152"/>
    <hyperlink r:id="rId301" ref="I152"/>
    <hyperlink r:id="rId302" ref="A153"/>
    <hyperlink r:id="rId303" ref="I153"/>
    <hyperlink r:id="rId304" ref="A154"/>
    <hyperlink r:id="rId305" ref="I154"/>
    <hyperlink r:id="rId306" ref="A155"/>
    <hyperlink r:id="rId307" ref="I155"/>
    <hyperlink r:id="rId308" ref="A156"/>
    <hyperlink r:id="rId309" ref="I156"/>
    <hyperlink r:id="rId310" ref="A157"/>
    <hyperlink r:id="rId311" ref="I157"/>
    <hyperlink r:id="rId312" ref="A158"/>
    <hyperlink r:id="rId313" ref="I158"/>
    <hyperlink r:id="rId314" ref="A159"/>
    <hyperlink r:id="rId315" ref="I159"/>
    <hyperlink r:id="rId316" ref="A160"/>
    <hyperlink r:id="rId317" ref="I160"/>
    <hyperlink r:id="rId318" ref="A161"/>
    <hyperlink r:id="rId319" ref="I161"/>
    <hyperlink r:id="rId320" ref="A162"/>
    <hyperlink r:id="rId321" ref="I162"/>
    <hyperlink r:id="rId322" ref="A163"/>
    <hyperlink r:id="rId323" ref="I163"/>
    <hyperlink r:id="rId324" ref="A164"/>
    <hyperlink r:id="rId325" ref="I164"/>
    <hyperlink r:id="rId326" ref="A165"/>
    <hyperlink r:id="rId327" ref="I165"/>
    <hyperlink r:id="rId328" ref="A166"/>
    <hyperlink r:id="rId329" ref="I166"/>
    <hyperlink r:id="rId330" ref="A167"/>
    <hyperlink r:id="rId331" ref="I167"/>
    <hyperlink r:id="rId332" ref="A168"/>
    <hyperlink r:id="rId333" ref="I168"/>
    <hyperlink r:id="rId334" ref="A169"/>
    <hyperlink r:id="rId335" ref="I169"/>
    <hyperlink r:id="rId336" ref="A170"/>
    <hyperlink r:id="rId337" ref="I170"/>
    <hyperlink r:id="rId338" ref="A171"/>
    <hyperlink r:id="rId339" ref="I171"/>
    <hyperlink r:id="rId340" ref="A172"/>
    <hyperlink r:id="rId341" ref="I172"/>
    <hyperlink r:id="rId342" ref="A173"/>
    <hyperlink r:id="rId343" ref="I173"/>
    <hyperlink r:id="rId344" ref="A174"/>
    <hyperlink r:id="rId345" ref="I174"/>
    <hyperlink r:id="rId346" ref="A175"/>
    <hyperlink r:id="rId347" ref="I175"/>
    <hyperlink r:id="rId348" ref="A176"/>
    <hyperlink r:id="rId349" ref="I176"/>
    <hyperlink r:id="rId350" ref="A177"/>
    <hyperlink r:id="rId351" ref="I177"/>
    <hyperlink r:id="rId352" ref="A178"/>
    <hyperlink r:id="rId353" ref="I178"/>
    <hyperlink r:id="rId354" ref="A179"/>
    <hyperlink r:id="rId355" ref="I179"/>
    <hyperlink r:id="rId356" ref="A180"/>
    <hyperlink r:id="rId357" ref="I180"/>
    <hyperlink r:id="rId358" ref="A181"/>
    <hyperlink r:id="rId359" ref="I181"/>
    <hyperlink r:id="rId360" ref="A182"/>
    <hyperlink r:id="rId361" ref="I182"/>
    <hyperlink r:id="rId362" ref="A183"/>
    <hyperlink r:id="rId363" ref="I183"/>
    <hyperlink r:id="rId364" ref="A184"/>
    <hyperlink r:id="rId365" ref="I184"/>
    <hyperlink r:id="rId366" ref="A185"/>
    <hyperlink r:id="rId367" ref="I185"/>
    <hyperlink r:id="rId368" ref="A186"/>
    <hyperlink r:id="rId369" ref="I186"/>
    <hyperlink r:id="rId370" ref="A187"/>
    <hyperlink r:id="rId371" ref="I187"/>
    <hyperlink r:id="rId372" ref="A188"/>
    <hyperlink r:id="rId373" ref="I188"/>
    <hyperlink r:id="rId374" ref="A189"/>
    <hyperlink r:id="rId375" ref="I189"/>
    <hyperlink r:id="rId376" ref="A190"/>
    <hyperlink r:id="rId377" ref="I190"/>
    <hyperlink r:id="rId378" ref="A191"/>
    <hyperlink r:id="rId379" ref="I191"/>
    <hyperlink r:id="rId380" ref="A192"/>
    <hyperlink r:id="rId381" ref="I192"/>
    <hyperlink r:id="rId382" ref="A193"/>
    <hyperlink r:id="rId383" ref="I193"/>
    <hyperlink r:id="rId384" ref="A194"/>
    <hyperlink r:id="rId385" ref="I194"/>
    <hyperlink r:id="rId386" ref="A195"/>
    <hyperlink r:id="rId387" ref="I195"/>
    <hyperlink r:id="rId388" ref="A196"/>
    <hyperlink r:id="rId389" ref="I196"/>
    <hyperlink r:id="rId390" ref="A197"/>
    <hyperlink r:id="rId391" ref="I197"/>
    <hyperlink r:id="rId392" ref="A198"/>
    <hyperlink r:id="rId393" ref="I198"/>
    <hyperlink r:id="rId394" ref="A199"/>
    <hyperlink r:id="rId395" ref="I199"/>
    <hyperlink r:id="rId396" ref="A200"/>
    <hyperlink r:id="rId397" ref="I200"/>
    <hyperlink r:id="rId398" ref="A201"/>
    <hyperlink r:id="rId399" ref="I201"/>
    <hyperlink r:id="rId400" ref="A202"/>
    <hyperlink r:id="rId401" ref="I202"/>
    <hyperlink r:id="rId402" ref="A203"/>
    <hyperlink r:id="rId403" ref="I203"/>
    <hyperlink r:id="rId404" ref="A204"/>
    <hyperlink r:id="rId405" ref="I204"/>
    <hyperlink r:id="rId406" ref="A205"/>
    <hyperlink r:id="rId407" ref="I205"/>
    <hyperlink r:id="rId408" ref="A206"/>
    <hyperlink r:id="rId409" ref="I206"/>
    <hyperlink r:id="rId410" ref="A207"/>
    <hyperlink r:id="rId411" ref="I207"/>
    <hyperlink r:id="rId412" ref="A208"/>
    <hyperlink r:id="rId413" ref="I208"/>
    <hyperlink r:id="rId414" ref="A209"/>
    <hyperlink r:id="rId415" ref="I209"/>
    <hyperlink r:id="rId416" ref="A210"/>
    <hyperlink r:id="rId417" ref="I210"/>
    <hyperlink r:id="rId418" ref="A211"/>
    <hyperlink r:id="rId419" ref="I211"/>
    <hyperlink r:id="rId420" ref="A212"/>
    <hyperlink r:id="rId421" ref="I212"/>
    <hyperlink r:id="rId422" ref="A213"/>
    <hyperlink r:id="rId423" ref="I213"/>
    <hyperlink r:id="rId424" ref="A214"/>
    <hyperlink r:id="rId425" ref="I214"/>
    <hyperlink r:id="rId426" ref="A215"/>
    <hyperlink r:id="rId427" ref="I215"/>
    <hyperlink r:id="rId428" ref="A216"/>
    <hyperlink r:id="rId429" ref="I216"/>
    <hyperlink r:id="rId430" ref="A217"/>
    <hyperlink r:id="rId431" ref="I217"/>
    <hyperlink r:id="rId432" ref="A218"/>
    <hyperlink r:id="rId433" ref="I218"/>
    <hyperlink r:id="rId434" ref="A219"/>
    <hyperlink r:id="rId435" ref="I219"/>
    <hyperlink r:id="rId436" ref="A220"/>
    <hyperlink r:id="rId437" ref="I220"/>
    <hyperlink r:id="rId438" ref="A221"/>
    <hyperlink r:id="rId439" ref="I221"/>
    <hyperlink r:id="rId440" ref="A222"/>
    <hyperlink r:id="rId441" ref="I222"/>
    <hyperlink r:id="rId442" ref="A223"/>
    <hyperlink r:id="rId443" ref="I223"/>
    <hyperlink r:id="rId444" ref="A224"/>
    <hyperlink r:id="rId445" ref="I224"/>
    <hyperlink r:id="rId446" ref="A225"/>
    <hyperlink r:id="rId447" ref="I225"/>
    <hyperlink r:id="rId448" ref="A226"/>
    <hyperlink r:id="rId449" ref="I226"/>
    <hyperlink r:id="rId450" ref="A227"/>
    <hyperlink r:id="rId451" ref="I227"/>
    <hyperlink r:id="rId452" ref="A228"/>
    <hyperlink r:id="rId453" ref="I228"/>
    <hyperlink r:id="rId454" ref="A229"/>
    <hyperlink r:id="rId455" ref="I229"/>
    <hyperlink r:id="rId456" ref="A230"/>
    <hyperlink r:id="rId457" ref="I230"/>
    <hyperlink r:id="rId458" ref="A231"/>
    <hyperlink r:id="rId459" ref="I231"/>
    <hyperlink r:id="rId460" ref="A232"/>
    <hyperlink r:id="rId461" ref="I232"/>
    <hyperlink r:id="rId462" ref="A233"/>
    <hyperlink r:id="rId463" ref="I233"/>
    <hyperlink r:id="rId464" ref="A234"/>
    <hyperlink r:id="rId465" ref="I234"/>
    <hyperlink r:id="rId466" ref="A235"/>
    <hyperlink r:id="rId467" ref="I235"/>
    <hyperlink r:id="rId468" ref="A236"/>
    <hyperlink r:id="rId469" ref="I236"/>
    <hyperlink r:id="rId470" ref="A237"/>
    <hyperlink r:id="rId471" ref="I237"/>
    <hyperlink r:id="rId472" ref="A238"/>
    <hyperlink r:id="rId473" ref="I238"/>
    <hyperlink r:id="rId474" ref="A239"/>
    <hyperlink r:id="rId475" ref="I239"/>
    <hyperlink r:id="rId476" ref="A240"/>
    <hyperlink r:id="rId477" ref="I240"/>
    <hyperlink r:id="rId478" ref="A241"/>
    <hyperlink r:id="rId479" ref="I241"/>
    <hyperlink r:id="rId480" ref="A242"/>
    <hyperlink r:id="rId481" ref="I242"/>
    <hyperlink r:id="rId482" ref="A243"/>
    <hyperlink r:id="rId483" ref="I243"/>
    <hyperlink r:id="rId484" ref="A244"/>
    <hyperlink r:id="rId485" ref="I244"/>
    <hyperlink r:id="rId486" ref="A245"/>
    <hyperlink r:id="rId487" ref="I245"/>
    <hyperlink r:id="rId488" ref="A246"/>
    <hyperlink r:id="rId489" ref="I246"/>
    <hyperlink r:id="rId490" ref="A247"/>
    <hyperlink r:id="rId491" ref="I247"/>
    <hyperlink r:id="rId492" ref="A248"/>
    <hyperlink r:id="rId493" ref="I248"/>
    <hyperlink r:id="rId494" ref="A249"/>
    <hyperlink r:id="rId495" ref="I249"/>
    <hyperlink r:id="rId496" ref="A250"/>
    <hyperlink r:id="rId497" ref="I250"/>
    <hyperlink r:id="rId498" ref="A251"/>
    <hyperlink r:id="rId499" ref="I251"/>
    <hyperlink r:id="rId500" ref="A252"/>
    <hyperlink r:id="rId501" ref="I252"/>
    <hyperlink r:id="rId502" ref="A253"/>
    <hyperlink r:id="rId503" ref="I253"/>
    <hyperlink r:id="rId504" ref="A254"/>
    <hyperlink r:id="rId505" ref="I254"/>
    <hyperlink r:id="rId506" ref="A255"/>
    <hyperlink r:id="rId507" ref="I255"/>
    <hyperlink r:id="rId508" ref="A256"/>
    <hyperlink r:id="rId509" ref="I256"/>
    <hyperlink r:id="rId510" ref="A257"/>
    <hyperlink r:id="rId511" ref="I257"/>
    <hyperlink r:id="rId512" ref="A258"/>
    <hyperlink r:id="rId513" ref="I258"/>
    <hyperlink r:id="rId514" ref="A259"/>
    <hyperlink r:id="rId515" ref="I259"/>
    <hyperlink r:id="rId516" ref="A260"/>
    <hyperlink r:id="rId517" ref="I260"/>
    <hyperlink r:id="rId518" ref="A261"/>
    <hyperlink r:id="rId519" ref="I261"/>
    <hyperlink r:id="rId520" ref="A262"/>
    <hyperlink r:id="rId521" ref="I262"/>
    <hyperlink r:id="rId522" ref="A263"/>
    <hyperlink r:id="rId523" ref="I263"/>
    <hyperlink r:id="rId524" ref="A264"/>
    <hyperlink r:id="rId525" ref="I264"/>
    <hyperlink r:id="rId526" ref="A265"/>
    <hyperlink r:id="rId527" ref="I265"/>
    <hyperlink r:id="rId528" ref="A266"/>
    <hyperlink r:id="rId529" ref="I266"/>
    <hyperlink r:id="rId530" ref="A267"/>
    <hyperlink r:id="rId531" ref="I267"/>
    <hyperlink r:id="rId532" ref="A268"/>
    <hyperlink r:id="rId533" ref="I268"/>
    <hyperlink r:id="rId534" ref="A269"/>
    <hyperlink r:id="rId535" ref="I269"/>
    <hyperlink r:id="rId536" ref="A270"/>
    <hyperlink r:id="rId537" ref="I270"/>
    <hyperlink r:id="rId538" ref="A271"/>
    <hyperlink r:id="rId539" ref="I271"/>
    <hyperlink r:id="rId540" ref="A272"/>
    <hyperlink r:id="rId541" ref="I272"/>
    <hyperlink r:id="rId542" ref="A273"/>
    <hyperlink r:id="rId543" ref="I273"/>
    <hyperlink r:id="rId544" ref="I274"/>
    <hyperlink r:id="rId545" ref="A275"/>
    <hyperlink r:id="rId546" ref="I275"/>
    <hyperlink r:id="rId547" ref="A276"/>
    <hyperlink r:id="rId548" ref="I276"/>
    <hyperlink r:id="rId549" ref="A277"/>
    <hyperlink r:id="rId550" ref="I277"/>
    <hyperlink r:id="rId551" ref="A278"/>
    <hyperlink r:id="rId552" ref="I278"/>
    <hyperlink r:id="rId553" ref="A279"/>
    <hyperlink r:id="rId554" ref="I279"/>
    <hyperlink r:id="rId555" ref="A280"/>
    <hyperlink r:id="rId556" ref="I280"/>
    <hyperlink r:id="rId557" ref="A281"/>
    <hyperlink r:id="rId558" ref="I281"/>
    <hyperlink r:id="rId559" ref="A282"/>
    <hyperlink r:id="rId560" ref="I282"/>
    <hyperlink r:id="rId561" ref="A283"/>
    <hyperlink r:id="rId562" ref="I283"/>
    <hyperlink r:id="rId563" ref="A284"/>
    <hyperlink r:id="rId564" ref="I284"/>
    <hyperlink r:id="rId565" ref="A285"/>
    <hyperlink r:id="rId566" ref="I285"/>
    <hyperlink r:id="rId567" ref="A286"/>
    <hyperlink r:id="rId568" ref="I286"/>
    <hyperlink r:id="rId569" ref="A287"/>
    <hyperlink r:id="rId570" ref="I287"/>
    <hyperlink r:id="rId571" ref="A288"/>
    <hyperlink r:id="rId572" ref="I288"/>
    <hyperlink r:id="rId573" ref="A289"/>
    <hyperlink r:id="rId574" ref="I289"/>
    <hyperlink r:id="rId575" ref="A290"/>
    <hyperlink r:id="rId576" ref="I290"/>
    <hyperlink r:id="rId577" ref="A291"/>
    <hyperlink r:id="rId578" ref="I291"/>
    <hyperlink r:id="rId579" ref="A292"/>
    <hyperlink r:id="rId580" ref="I292"/>
    <hyperlink r:id="rId581" ref="A293"/>
    <hyperlink r:id="rId582" ref="I293"/>
    <hyperlink r:id="rId583" ref="A294"/>
    <hyperlink r:id="rId584" ref="I294"/>
    <hyperlink r:id="rId585" ref="A295"/>
    <hyperlink r:id="rId586" ref="I295"/>
    <hyperlink r:id="rId587" ref="A296"/>
    <hyperlink r:id="rId588" ref="I296"/>
    <hyperlink r:id="rId589" ref="A297"/>
    <hyperlink r:id="rId590" ref="I297"/>
    <hyperlink r:id="rId591" ref="A298"/>
    <hyperlink r:id="rId592" ref="I298"/>
    <hyperlink r:id="rId593" ref="A299"/>
    <hyperlink r:id="rId594" ref="I299"/>
    <hyperlink r:id="rId595" ref="A300"/>
    <hyperlink r:id="rId596" ref="I300"/>
    <hyperlink r:id="rId597" ref="A301"/>
    <hyperlink r:id="rId598" ref="I301"/>
    <hyperlink r:id="rId599" ref="A302"/>
    <hyperlink r:id="rId600" ref="I302"/>
    <hyperlink r:id="rId601" ref="A303"/>
    <hyperlink r:id="rId602" ref="I303"/>
    <hyperlink r:id="rId603" ref="A304"/>
    <hyperlink r:id="rId604" ref="I304"/>
    <hyperlink r:id="rId605" ref="A305"/>
    <hyperlink r:id="rId606" ref="I305"/>
    <hyperlink r:id="rId607" ref="A306"/>
    <hyperlink r:id="rId608" ref="I306"/>
    <hyperlink r:id="rId609" ref="A307"/>
    <hyperlink r:id="rId610" ref="I307"/>
    <hyperlink r:id="rId611" ref="A308"/>
    <hyperlink r:id="rId612" ref="I308"/>
    <hyperlink r:id="rId613" ref="A309"/>
    <hyperlink r:id="rId614" ref="I309"/>
    <hyperlink r:id="rId615" ref="A310"/>
    <hyperlink r:id="rId616" ref="I310"/>
    <hyperlink r:id="rId617" ref="A311"/>
    <hyperlink r:id="rId618" ref="I311"/>
    <hyperlink r:id="rId619" ref="A312"/>
    <hyperlink r:id="rId620" ref="I312"/>
    <hyperlink r:id="rId621" ref="A313"/>
    <hyperlink r:id="rId622" ref="I313"/>
    <hyperlink r:id="rId623" ref="A314"/>
    <hyperlink r:id="rId624" ref="I314"/>
    <hyperlink r:id="rId625" ref="A315"/>
    <hyperlink r:id="rId626" ref="I315"/>
    <hyperlink r:id="rId627" ref="A316"/>
    <hyperlink r:id="rId628" ref="I316"/>
    <hyperlink r:id="rId629" ref="A317"/>
    <hyperlink r:id="rId630" ref="I317"/>
    <hyperlink r:id="rId631" ref="A318"/>
    <hyperlink r:id="rId632" ref="I318"/>
    <hyperlink r:id="rId633" ref="A319"/>
    <hyperlink r:id="rId634" ref="I319"/>
    <hyperlink r:id="rId635" ref="A320"/>
    <hyperlink r:id="rId636" ref="I320"/>
    <hyperlink r:id="rId637" ref="A321"/>
    <hyperlink r:id="rId638" ref="I321"/>
    <hyperlink r:id="rId639" ref="A322"/>
    <hyperlink r:id="rId640" ref="I322"/>
    <hyperlink r:id="rId641" ref="A323"/>
    <hyperlink r:id="rId642" ref="I323"/>
    <hyperlink r:id="rId643" ref="A324"/>
    <hyperlink r:id="rId644" ref="I324"/>
    <hyperlink r:id="rId645" ref="A325"/>
    <hyperlink r:id="rId646" ref="I325"/>
    <hyperlink r:id="rId647" ref="A326"/>
    <hyperlink r:id="rId648" ref="I326"/>
    <hyperlink r:id="rId649" ref="A327"/>
    <hyperlink r:id="rId650" ref="I327"/>
    <hyperlink r:id="rId651" ref="A328"/>
    <hyperlink r:id="rId652" ref="I328"/>
    <hyperlink r:id="rId653" ref="A329"/>
    <hyperlink r:id="rId654" ref="I329"/>
    <hyperlink r:id="rId655" ref="A330"/>
    <hyperlink r:id="rId656" ref="I330"/>
    <hyperlink r:id="rId657" ref="A331"/>
    <hyperlink r:id="rId658" ref="I331"/>
    <hyperlink r:id="rId659" ref="A332"/>
    <hyperlink r:id="rId660" ref="I332"/>
    <hyperlink r:id="rId661" ref="A333"/>
    <hyperlink r:id="rId662" ref="I333"/>
    <hyperlink r:id="rId663" ref="A334"/>
    <hyperlink r:id="rId664" ref="I334"/>
    <hyperlink r:id="rId665" ref="A335"/>
    <hyperlink r:id="rId666" ref="I335"/>
    <hyperlink r:id="rId667" ref="A336"/>
    <hyperlink r:id="rId668" ref="I336"/>
    <hyperlink r:id="rId669" ref="A337"/>
    <hyperlink r:id="rId670" ref="I337"/>
    <hyperlink r:id="rId671" ref="A338"/>
    <hyperlink r:id="rId672" ref="I338"/>
    <hyperlink r:id="rId673" ref="A339"/>
    <hyperlink r:id="rId674" ref="I339"/>
    <hyperlink r:id="rId675" ref="A340"/>
    <hyperlink r:id="rId676" ref="I340"/>
    <hyperlink r:id="rId677" ref="A341"/>
    <hyperlink r:id="rId678" ref="I341"/>
    <hyperlink r:id="rId679" ref="A342"/>
    <hyperlink r:id="rId680" ref="I342"/>
    <hyperlink r:id="rId681" ref="A343"/>
    <hyperlink r:id="rId682" ref="I343"/>
    <hyperlink r:id="rId683" ref="A344"/>
    <hyperlink r:id="rId684" ref="I344"/>
    <hyperlink r:id="rId685" ref="A345"/>
    <hyperlink r:id="rId686" ref="I345"/>
    <hyperlink r:id="rId687" ref="A346"/>
    <hyperlink r:id="rId688" ref="I346"/>
    <hyperlink r:id="rId689" ref="A347"/>
    <hyperlink r:id="rId690" ref="I347"/>
    <hyperlink r:id="rId691" ref="A348"/>
    <hyperlink r:id="rId692" ref="I348"/>
    <hyperlink r:id="rId693" ref="A349"/>
    <hyperlink r:id="rId694" ref="I349"/>
    <hyperlink r:id="rId695" ref="A350"/>
    <hyperlink r:id="rId696" ref="I350"/>
    <hyperlink r:id="rId697" ref="A351"/>
    <hyperlink r:id="rId698" ref="I351"/>
    <hyperlink r:id="rId699" ref="A352"/>
    <hyperlink r:id="rId700" ref="I352"/>
    <hyperlink r:id="rId701" ref="A353"/>
    <hyperlink r:id="rId702" ref="I353"/>
    <hyperlink r:id="rId703" ref="A354"/>
    <hyperlink r:id="rId704" ref="I354"/>
    <hyperlink r:id="rId705" ref="A355"/>
    <hyperlink r:id="rId706" ref="I355"/>
    <hyperlink r:id="rId707" ref="A356"/>
    <hyperlink r:id="rId708" ref="I356"/>
    <hyperlink r:id="rId709" ref="A357"/>
    <hyperlink r:id="rId710" ref="I357"/>
    <hyperlink r:id="rId711" ref="A358"/>
    <hyperlink r:id="rId712" ref="I358"/>
    <hyperlink r:id="rId713" ref="A359"/>
    <hyperlink r:id="rId714" ref="I359"/>
    <hyperlink r:id="rId715" ref="A360"/>
    <hyperlink r:id="rId716" ref="I360"/>
    <hyperlink r:id="rId717" ref="A361"/>
    <hyperlink r:id="rId718" ref="I361"/>
    <hyperlink r:id="rId719" ref="A362"/>
    <hyperlink r:id="rId720" ref="I362"/>
    <hyperlink r:id="rId721" ref="A363"/>
    <hyperlink r:id="rId722" ref="I363"/>
    <hyperlink r:id="rId723" ref="A364"/>
    <hyperlink r:id="rId724" ref="I364"/>
    <hyperlink r:id="rId725" ref="A365"/>
    <hyperlink r:id="rId726" ref="I365"/>
    <hyperlink r:id="rId727" ref="A366"/>
    <hyperlink r:id="rId728" ref="I366"/>
    <hyperlink r:id="rId729" ref="A367"/>
    <hyperlink r:id="rId730" ref="I367"/>
    <hyperlink r:id="rId731" ref="A368"/>
    <hyperlink r:id="rId732" ref="I368"/>
    <hyperlink r:id="rId733" ref="A369"/>
    <hyperlink r:id="rId734" ref="I369"/>
    <hyperlink r:id="rId735" ref="A370"/>
    <hyperlink r:id="rId736" ref="I370"/>
    <hyperlink r:id="rId737" ref="A371"/>
    <hyperlink r:id="rId738" ref="I371"/>
    <hyperlink r:id="rId739" ref="A372"/>
    <hyperlink r:id="rId740" ref="I372"/>
    <hyperlink r:id="rId741" ref="A373"/>
    <hyperlink r:id="rId742" ref="I373"/>
    <hyperlink r:id="rId743" ref="A374"/>
    <hyperlink r:id="rId744" ref="I374"/>
    <hyperlink r:id="rId745" ref="A375"/>
    <hyperlink r:id="rId746" ref="I375"/>
    <hyperlink r:id="rId747" ref="A376"/>
    <hyperlink r:id="rId748" ref="I376"/>
    <hyperlink r:id="rId749" ref="A377"/>
    <hyperlink r:id="rId750" ref="I377"/>
    <hyperlink r:id="rId751" ref="A378"/>
    <hyperlink r:id="rId752" ref="I378"/>
    <hyperlink r:id="rId753" ref="A379"/>
    <hyperlink r:id="rId754" ref="I379"/>
    <hyperlink r:id="rId755" ref="A380"/>
    <hyperlink r:id="rId756" ref="I380"/>
    <hyperlink r:id="rId757" ref="A381"/>
    <hyperlink r:id="rId758" ref="I381"/>
    <hyperlink r:id="rId759" ref="A382"/>
    <hyperlink r:id="rId760" ref="I382"/>
    <hyperlink r:id="rId761" ref="A383"/>
    <hyperlink r:id="rId762" ref="I383"/>
    <hyperlink r:id="rId763" ref="A384"/>
    <hyperlink r:id="rId764" ref="I384"/>
    <hyperlink r:id="rId765" ref="A385"/>
    <hyperlink r:id="rId766" ref="I385"/>
    <hyperlink r:id="rId767" ref="A386"/>
    <hyperlink r:id="rId768" ref="I386"/>
    <hyperlink r:id="rId769" ref="A387"/>
    <hyperlink r:id="rId770" ref="I387"/>
    <hyperlink r:id="rId771" ref="A388"/>
    <hyperlink r:id="rId772" ref="I388"/>
    <hyperlink r:id="rId773" ref="A389"/>
    <hyperlink r:id="rId774" ref="I389"/>
    <hyperlink r:id="rId775" ref="A390"/>
    <hyperlink r:id="rId776" ref="I390"/>
    <hyperlink r:id="rId777" ref="A391"/>
    <hyperlink r:id="rId778" ref="I391"/>
    <hyperlink r:id="rId779" ref="A392"/>
    <hyperlink r:id="rId780" ref="I392"/>
    <hyperlink r:id="rId781" ref="A393"/>
    <hyperlink r:id="rId782" ref="I393"/>
    <hyperlink r:id="rId783" ref="A394"/>
    <hyperlink r:id="rId784" ref="I394"/>
    <hyperlink r:id="rId785" ref="A395"/>
    <hyperlink r:id="rId786" ref="I395"/>
    <hyperlink r:id="rId787" ref="A396"/>
    <hyperlink r:id="rId788" ref="I396"/>
    <hyperlink r:id="rId789" ref="A397"/>
    <hyperlink r:id="rId790" ref="I397"/>
    <hyperlink r:id="rId791" ref="A398"/>
    <hyperlink r:id="rId792" ref="I398"/>
    <hyperlink r:id="rId793" ref="A399"/>
    <hyperlink r:id="rId794" ref="I399"/>
    <hyperlink r:id="rId795" ref="A400"/>
    <hyperlink r:id="rId796" ref="I400"/>
    <hyperlink r:id="rId797" ref="A401"/>
    <hyperlink r:id="rId798" ref="I401"/>
    <hyperlink r:id="rId799" ref="A402"/>
    <hyperlink r:id="rId800" ref="I402"/>
    <hyperlink r:id="rId801" ref="A403"/>
    <hyperlink r:id="rId802" ref="I403"/>
    <hyperlink r:id="rId803" ref="A404"/>
    <hyperlink r:id="rId804" ref="I404"/>
    <hyperlink r:id="rId805" ref="A405"/>
    <hyperlink r:id="rId806" ref="I405"/>
    <hyperlink r:id="rId807" ref="A406"/>
    <hyperlink r:id="rId808" ref="I406"/>
    <hyperlink r:id="rId809" ref="A407"/>
    <hyperlink r:id="rId810" ref="I407"/>
    <hyperlink r:id="rId811" ref="A408"/>
    <hyperlink r:id="rId812" ref="I408"/>
    <hyperlink r:id="rId813" ref="A409"/>
    <hyperlink r:id="rId814" ref="I409"/>
    <hyperlink r:id="rId815" ref="A410"/>
    <hyperlink r:id="rId816" ref="I410"/>
    <hyperlink r:id="rId817" ref="A411"/>
    <hyperlink r:id="rId818" ref="I411"/>
    <hyperlink r:id="rId819" ref="A412"/>
    <hyperlink r:id="rId820" ref="I412"/>
    <hyperlink r:id="rId821" ref="A413"/>
    <hyperlink r:id="rId822" ref="I413"/>
    <hyperlink r:id="rId823" ref="A414"/>
    <hyperlink r:id="rId824" ref="I414"/>
    <hyperlink r:id="rId825" ref="A415"/>
    <hyperlink r:id="rId826" ref="I415"/>
    <hyperlink r:id="rId827" ref="A416"/>
    <hyperlink r:id="rId828" ref="I416"/>
    <hyperlink r:id="rId829" ref="A417"/>
    <hyperlink r:id="rId830" ref="I417"/>
    <hyperlink r:id="rId831" ref="A418"/>
    <hyperlink r:id="rId832" ref="I418"/>
    <hyperlink r:id="rId833" ref="A419"/>
    <hyperlink r:id="rId834" ref="I419"/>
    <hyperlink r:id="rId835" ref="A420"/>
    <hyperlink r:id="rId836" ref="I420"/>
    <hyperlink r:id="rId837" ref="A421"/>
    <hyperlink r:id="rId838" ref="I421"/>
    <hyperlink r:id="rId839" ref="A422"/>
    <hyperlink r:id="rId840" ref="I422"/>
    <hyperlink r:id="rId841" ref="A423"/>
    <hyperlink r:id="rId842" ref="I423"/>
    <hyperlink r:id="rId843" ref="A424"/>
    <hyperlink r:id="rId844" ref="I424"/>
    <hyperlink r:id="rId845" ref="A425"/>
    <hyperlink r:id="rId846" ref="I425"/>
    <hyperlink r:id="rId847" ref="A426"/>
    <hyperlink r:id="rId848" ref="I426"/>
    <hyperlink r:id="rId849" ref="A427"/>
    <hyperlink r:id="rId850" ref="I427"/>
    <hyperlink r:id="rId851" ref="A428"/>
    <hyperlink r:id="rId852" ref="I428"/>
    <hyperlink r:id="rId853" ref="A429"/>
    <hyperlink r:id="rId854" ref="I429"/>
    <hyperlink r:id="rId855" ref="A430"/>
    <hyperlink r:id="rId856" ref="I430"/>
    <hyperlink r:id="rId857" ref="A431"/>
    <hyperlink r:id="rId858" ref="I431"/>
    <hyperlink r:id="rId859" ref="A432"/>
    <hyperlink r:id="rId860" ref="I432"/>
    <hyperlink r:id="rId861" ref="A433"/>
    <hyperlink r:id="rId862" ref="I433"/>
    <hyperlink r:id="rId863" ref="A434"/>
    <hyperlink r:id="rId864" ref="I434"/>
    <hyperlink r:id="rId865" ref="A435"/>
    <hyperlink r:id="rId866" ref="I435"/>
    <hyperlink r:id="rId867" ref="A436"/>
    <hyperlink r:id="rId868" ref="I436"/>
    <hyperlink r:id="rId869" ref="A437"/>
    <hyperlink r:id="rId870" ref="I437"/>
    <hyperlink r:id="rId871" ref="A438"/>
    <hyperlink r:id="rId872" ref="I438"/>
    <hyperlink r:id="rId873" ref="A439"/>
    <hyperlink r:id="rId874" ref="I439"/>
    <hyperlink r:id="rId875" ref="A440"/>
    <hyperlink r:id="rId876" ref="I440"/>
    <hyperlink r:id="rId877" ref="A441"/>
    <hyperlink r:id="rId878" ref="I441"/>
    <hyperlink r:id="rId879" ref="A442"/>
    <hyperlink r:id="rId880" ref="I442"/>
    <hyperlink r:id="rId881" ref="A443"/>
    <hyperlink r:id="rId882" ref="I443"/>
    <hyperlink r:id="rId883" ref="A444"/>
    <hyperlink r:id="rId884" ref="I444"/>
    <hyperlink r:id="rId885" ref="A445"/>
    <hyperlink r:id="rId886" ref="I445"/>
    <hyperlink r:id="rId887" ref="A446"/>
    <hyperlink r:id="rId888" ref="I446"/>
    <hyperlink r:id="rId889" ref="A447"/>
    <hyperlink r:id="rId890" ref="I447"/>
    <hyperlink r:id="rId891" ref="A448"/>
    <hyperlink r:id="rId892" ref="I448"/>
    <hyperlink r:id="rId893" ref="A449"/>
    <hyperlink r:id="rId894" ref="I449"/>
    <hyperlink r:id="rId895" ref="A450"/>
    <hyperlink r:id="rId896" ref="I450"/>
    <hyperlink r:id="rId897" ref="A451"/>
    <hyperlink r:id="rId898" ref="I451"/>
    <hyperlink r:id="rId899" ref="A452"/>
    <hyperlink r:id="rId900" ref="I452"/>
    <hyperlink r:id="rId901" ref="A453"/>
    <hyperlink r:id="rId902" ref="I453"/>
    <hyperlink r:id="rId903" ref="A454"/>
    <hyperlink r:id="rId904" ref="I454"/>
    <hyperlink r:id="rId905" ref="A455"/>
    <hyperlink r:id="rId906" ref="I455"/>
    <hyperlink r:id="rId907" ref="A456"/>
    <hyperlink r:id="rId908" ref="I456"/>
    <hyperlink r:id="rId909" ref="A457"/>
    <hyperlink r:id="rId910" ref="I457"/>
    <hyperlink r:id="rId911" ref="A458"/>
    <hyperlink r:id="rId912" ref="I458"/>
    <hyperlink r:id="rId913" ref="A459"/>
    <hyperlink r:id="rId914" ref="I459"/>
    <hyperlink r:id="rId915" ref="A460"/>
    <hyperlink r:id="rId916" ref="I460"/>
    <hyperlink r:id="rId917" ref="A461"/>
    <hyperlink r:id="rId918" ref="I461"/>
    <hyperlink r:id="rId919" ref="A462"/>
    <hyperlink r:id="rId920" ref="I462"/>
    <hyperlink r:id="rId921" ref="A463"/>
    <hyperlink r:id="rId922" ref="I463"/>
    <hyperlink r:id="rId923" ref="A464"/>
    <hyperlink r:id="rId924" ref="I464"/>
    <hyperlink r:id="rId925" ref="A465"/>
    <hyperlink r:id="rId926" ref="I465"/>
    <hyperlink r:id="rId927" ref="A466"/>
    <hyperlink r:id="rId928" ref="I466"/>
    <hyperlink r:id="rId929" ref="A467"/>
    <hyperlink r:id="rId930" ref="I467"/>
    <hyperlink r:id="rId931" ref="A468"/>
    <hyperlink r:id="rId932" ref="I468"/>
    <hyperlink r:id="rId933" ref="A469"/>
    <hyperlink r:id="rId934" ref="I469"/>
    <hyperlink r:id="rId935" ref="A470"/>
    <hyperlink r:id="rId936" ref="I470"/>
    <hyperlink r:id="rId937" ref="A471"/>
    <hyperlink r:id="rId938" ref="I471"/>
    <hyperlink r:id="rId939" ref="A472"/>
    <hyperlink r:id="rId940" ref="I472"/>
    <hyperlink r:id="rId941" ref="A473"/>
    <hyperlink r:id="rId942" ref="I473"/>
    <hyperlink r:id="rId943" ref="A474"/>
    <hyperlink r:id="rId944" ref="I474"/>
    <hyperlink r:id="rId945" ref="A475"/>
    <hyperlink r:id="rId946" ref="I475"/>
    <hyperlink r:id="rId947" ref="A476"/>
    <hyperlink r:id="rId948" ref="I476"/>
    <hyperlink r:id="rId949" ref="A477"/>
    <hyperlink r:id="rId950" ref="I477"/>
    <hyperlink r:id="rId951" ref="A478"/>
    <hyperlink r:id="rId952" ref="I478"/>
    <hyperlink r:id="rId953" ref="A479"/>
    <hyperlink r:id="rId954" ref="I479"/>
    <hyperlink r:id="rId955" ref="A480"/>
    <hyperlink r:id="rId956" ref="I480"/>
    <hyperlink r:id="rId957" ref="A481"/>
    <hyperlink r:id="rId958" ref="I481"/>
    <hyperlink r:id="rId959" ref="A482"/>
    <hyperlink r:id="rId960" ref="I482"/>
    <hyperlink r:id="rId961" ref="A483"/>
    <hyperlink r:id="rId962" ref="I483"/>
    <hyperlink r:id="rId963" ref="A484"/>
    <hyperlink r:id="rId964" ref="I484"/>
    <hyperlink r:id="rId965" ref="A485"/>
    <hyperlink r:id="rId966" ref="I485"/>
    <hyperlink r:id="rId967" ref="A486"/>
    <hyperlink r:id="rId968" ref="I486"/>
    <hyperlink r:id="rId969" ref="A487"/>
    <hyperlink r:id="rId970" ref="I487"/>
    <hyperlink r:id="rId971" ref="A488"/>
    <hyperlink r:id="rId972" ref="I488"/>
    <hyperlink r:id="rId973" ref="A489"/>
    <hyperlink r:id="rId974" ref="I489"/>
    <hyperlink r:id="rId975" ref="A490"/>
    <hyperlink r:id="rId976" ref="I490"/>
    <hyperlink r:id="rId977" ref="A491"/>
    <hyperlink r:id="rId978" ref="I491"/>
    <hyperlink r:id="rId979" ref="A492"/>
    <hyperlink r:id="rId980" ref="I492"/>
    <hyperlink r:id="rId981" ref="A493"/>
    <hyperlink r:id="rId982" ref="I493"/>
    <hyperlink r:id="rId983" ref="A494"/>
    <hyperlink r:id="rId984" ref="I494"/>
    <hyperlink r:id="rId985" ref="A495"/>
    <hyperlink r:id="rId986" ref="I495"/>
    <hyperlink r:id="rId987" ref="A496"/>
    <hyperlink r:id="rId988" ref="I496"/>
    <hyperlink r:id="rId989" ref="A497"/>
    <hyperlink r:id="rId990" ref="I497"/>
    <hyperlink r:id="rId991" ref="A498"/>
    <hyperlink r:id="rId992" ref="I498"/>
    <hyperlink r:id="rId993" ref="A499"/>
    <hyperlink r:id="rId994" ref="I499"/>
    <hyperlink r:id="rId995" ref="A500"/>
    <hyperlink r:id="rId996" ref="I500"/>
    <hyperlink r:id="rId997" ref="A501"/>
    <hyperlink r:id="rId998" ref="I501"/>
    <hyperlink r:id="rId999" ref="A502"/>
    <hyperlink r:id="rId1000" ref="I502"/>
    <hyperlink r:id="rId1001" ref="A503"/>
    <hyperlink r:id="rId1002" ref="I503"/>
    <hyperlink r:id="rId1003" ref="A504"/>
    <hyperlink r:id="rId1004" ref="I504"/>
    <hyperlink r:id="rId1005" ref="A505"/>
    <hyperlink r:id="rId1006" ref="I505"/>
    <hyperlink r:id="rId1007" ref="A506"/>
    <hyperlink r:id="rId1008" ref="I506"/>
    <hyperlink r:id="rId1009" ref="A507"/>
    <hyperlink r:id="rId1010" ref="I507"/>
    <hyperlink r:id="rId1011" ref="A508"/>
    <hyperlink r:id="rId1012" ref="I508"/>
    <hyperlink r:id="rId1013" ref="A509"/>
    <hyperlink r:id="rId1014" ref="I509"/>
    <hyperlink r:id="rId1015" ref="A510"/>
    <hyperlink r:id="rId1016" ref="I510"/>
    <hyperlink r:id="rId1017" ref="A511"/>
    <hyperlink r:id="rId1018" ref="I511"/>
    <hyperlink r:id="rId1019" ref="A512"/>
    <hyperlink r:id="rId1020" ref="I512"/>
    <hyperlink r:id="rId1021" ref="A513"/>
    <hyperlink r:id="rId1022" ref="I513"/>
    <hyperlink r:id="rId1023" ref="A514"/>
    <hyperlink r:id="rId1024" ref="I514"/>
    <hyperlink r:id="rId1025" ref="A515"/>
    <hyperlink r:id="rId1026" ref="I515"/>
    <hyperlink r:id="rId1027" ref="A516"/>
    <hyperlink r:id="rId1028" ref="I516"/>
    <hyperlink r:id="rId1029" ref="A517"/>
    <hyperlink r:id="rId1030" ref="I517"/>
    <hyperlink r:id="rId1031" ref="A518"/>
    <hyperlink r:id="rId1032" ref="I518"/>
    <hyperlink r:id="rId1033" ref="A519"/>
    <hyperlink r:id="rId1034" ref="I519"/>
    <hyperlink r:id="rId1035" ref="A520"/>
    <hyperlink r:id="rId1036" ref="I520"/>
    <hyperlink r:id="rId1037" ref="A521"/>
    <hyperlink r:id="rId1038" ref="I521"/>
    <hyperlink r:id="rId1039" ref="A522"/>
    <hyperlink r:id="rId1040" ref="I522"/>
    <hyperlink r:id="rId1041" ref="A523"/>
    <hyperlink r:id="rId1042" ref="I523"/>
    <hyperlink r:id="rId1043" ref="A524"/>
    <hyperlink r:id="rId1044" ref="I524"/>
    <hyperlink r:id="rId1045" ref="A525"/>
    <hyperlink r:id="rId1046" ref="I525"/>
    <hyperlink r:id="rId1047" ref="A526"/>
    <hyperlink r:id="rId1048" ref="I526"/>
    <hyperlink r:id="rId1049" ref="A527"/>
    <hyperlink r:id="rId1050" ref="I527"/>
    <hyperlink r:id="rId1051" ref="A528"/>
    <hyperlink r:id="rId1052" ref="I528"/>
    <hyperlink r:id="rId1053" ref="A529"/>
    <hyperlink r:id="rId1054" ref="I529"/>
    <hyperlink r:id="rId1055" ref="A530"/>
    <hyperlink r:id="rId1056" ref="I530"/>
    <hyperlink r:id="rId1057" ref="A531"/>
    <hyperlink r:id="rId1058" ref="I531"/>
    <hyperlink r:id="rId1059" ref="A532"/>
    <hyperlink r:id="rId1060" ref="I532"/>
    <hyperlink r:id="rId1061" ref="A533"/>
    <hyperlink r:id="rId1062" ref="I533"/>
    <hyperlink r:id="rId1063" ref="A534"/>
    <hyperlink r:id="rId1064" ref="I534"/>
    <hyperlink r:id="rId1065" ref="A535"/>
    <hyperlink r:id="rId1066" ref="I535"/>
    <hyperlink r:id="rId1067" ref="A536"/>
    <hyperlink r:id="rId1068" ref="I536"/>
    <hyperlink r:id="rId1069" ref="A537"/>
    <hyperlink r:id="rId1070" ref="I537"/>
    <hyperlink r:id="rId1071" ref="A538"/>
    <hyperlink r:id="rId1072" ref="I538"/>
    <hyperlink r:id="rId1073" ref="A539"/>
    <hyperlink r:id="rId1074" ref="I539"/>
    <hyperlink r:id="rId1075" ref="A540"/>
    <hyperlink r:id="rId1076" ref="I540"/>
    <hyperlink r:id="rId1077" ref="A541"/>
    <hyperlink r:id="rId1078" ref="I541"/>
    <hyperlink r:id="rId1079" ref="A542"/>
    <hyperlink r:id="rId1080" ref="I542"/>
    <hyperlink r:id="rId1081" ref="A543"/>
    <hyperlink r:id="rId1082" ref="I543"/>
    <hyperlink r:id="rId1083" ref="A544"/>
    <hyperlink r:id="rId1084" ref="I544"/>
    <hyperlink r:id="rId1085" ref="A545"/>
    <hyperlink r:id="rId1086" ref="I545"/>
    <hyperlink r:id="rId1087" ref="A546"/>
    <hyperlink r:id="rId1088" ref="I546"/>
    <hyperlink r:id="rId1089" ref="A547"/>
    <hyperlink r:id="rId1090" ref="I547"/>
    <hyperlink r:id="rId1091" ref="A548"/>
    <hyperlink r:id="rId1092" ref="I548"/>
    <hyperlink r:id="rId1093" ref="A549"/>
    <hyperlink r:id="rId1094" ref="I549"/>
    <hyperlink r:id="rId1095" ref="A550"/>
    <hyperlink r:id="rId1096" ref="I550"/>
    <hyperlink r:id="rId1097" ref="A551"/>
    <hyperlink r:id="rId1098" ref="I551"/>
    <hyperlink r:id="rId1099" ref="A552"/>
    <hyperlink r:id="rId1100" ref="I552"/>
    <hyperlink r:id="rId1101" ref="A553"/>
    <hyperlink r:id="rId1102" ref="I553"/>
    <hyperlink r:id="rId1103" ref="A554"/>
    <hyperlink r:id="rId1104" ref="I554"/>
    <hyperlink r:id="rId1105" ref="A555"/>
    <hyperlink r:id="rId1106" ref="I555"/>
    <hyperlink r:id="rId1107" ref="A556"/>
    <hyperlink r:id="rId1108" ref="I556"/>
    <hyperlink r:id="rId1109" ref="A557"/>
    <hyperlink r:id="rId1110" ref="I557"/>
    <hyperlink r:id="rId1111" ref="A558"/>
    <hyperlink r:id="rId1112" ref="I558"/>
    <hyperlink r:id="rId1113" ref="A559"/>
    <hyperlink r:id="rId1114" ref="I559"/>
    <hyperlink r:id="rId1115" ref="A560"/>
    <hyperlink r:id="rId1116" ref="I560"/>
    <hyperlink r:id="rId1117" ref="A561"/>
    <hyperlink r:id="rId1118" ref="I561"/>
    <hyperlink r:id="rId1119" ref="A562"/>
    <hyperlink r:id="rId1120" ref="I562"/>
    <hyperlink r:id="rId1121" ref="A563"/>
    <hyperlink r:id="rId1122" ref="I563"/>
    <hyperlink r:id="rId1123" ref="A564"/>
    <hyperlink r:id="rId1124" ref="I564"/>
    <hyperlink r:id="rId1125" ref="A565"/>
    <hyperlink r:id="rId1126" ref="I565"/>
    <hyperlink r:id="rId1127" ref="A566"/>
    <hyperlink r:id="rId1128" ref="I566"/>
    <hyperlink r:id="rId1129" ref="A567"/>
    <hyperlink r:id="rId1130" ref="I567"/>
    <hyperlink r:id="rId1131" ref="A568"/>
    <hyperlink r:id="rId1132" ref="I568"/>
    <hyperlink r:id="rId1133" ref="A569"/>
    <hyperlink r:id="rId1134" ref="I569"/>
    <hyperlink r:id="rId1135" ref="A570"/>
    <hyperlink r:id="rId1136" ref="I570"/>
    <hyperlink r:id="rId1137" ref="A571"/>
    <hyperlink r:id="rId1138" ref="I571"/>
    <hyperlink r:id="rId1139" ref="A572"/>
    <hyperlink r:id="rId1140" ref="I572"/>
    <hyperlink r:id="rId1141" ref="A573"/>
    <hyperlink r:id="rId1142" ref="I573"/>
    <hyperlink r:id="rId1143" ref="A574"/>
    <hyperlink r:id="rId1144" ref="I574"/>
    <hyperlink r:id="rId1145" ref="A575"/>
    <hyperlink r:id="rId1146" ref="I575"/>
    <hyperlink r:id="rId1147" ref="A576"/>
    <hyperlink r:id="rId1148" ref="I576"/>
    <hyperlink r:id="rId1149" ref="A577"/>
    <hyperlink r:id="rId1150" ref="I577"/>
    <hyperlink r:id="rId1151" ref="A578"/>
    <hyperlink r:id="rId1152" ref="I578"/>
    <hyperlink r:id="rId1153" ref="A579"/>
    <hyperlink r:id="rId1154" ref="I579"/>
    <hyperlink r:id="rId1155" ref="A580"/>
    <hyperlink r:id="rId1156" ref="I580"/>
    <hyperlink r:id="rId1157" ref="A581"/>
    <hyperlink r:id="rId1158" ref="I581"/>
    <hyperlink r:id="rId1159" ref="A582"/>
    <hyperlink r:id="rId1160" ref="I582"/>
    <hyperlink r:id="rId1161" ref="A583"/>
    <hyperlink r:id="rId1162" ref="I583"/>
    <hyperlink r:id="rId1163" ref="A584"/>
    <hyperlink r:id="rId1164" ref="I584"/>
    <hyperlink r:id="rId1165" ref="A585"/>
    <hyperlink r:id="rId1166" ref="I585"/>
    <hyperlink r:id="rId1167" ref="A586"/>
    <hyperlink r:id="rId1168" ref="I586"/>
    <hyperlink r:id="rId1169" ref="A587"/>
    <hyperlink r:id="rId1170" ref="I587"/>
    <hyperlink r:id="rId1171" ref="A588"/>
    <hyperlink r:id="rId1172" ref="I588"/>
    <hyperlink r:id="rId1173" ref="A589"/>
    <hyperlink r:id="rId1174" ref="I589"/>
    <hyperlink r:id="rId1175" ref="A590"/>
    <hyperlink r:id="rId1176" ref="I590"/>
    <hyperlink r:id="rId1177" ref="A591"/>
    <hyperlink r:id="rId1178" ref="I591"/>
    <hyperlink r:id="rId1179" ref="A592"/>
    <hyperlink r:id="rId1180" ref="I592"/>
    <hyperlink r:id="rId1181" ref="A593"/>
    <hyperlink r:id="rId1182" ref="I593"/>
    <hyperlink r:id="rId1183" ref="A594"/>
    <hyperlink r:id="rId1184" ref="I594"/>
    <hyperlink r:id="rId1185" ref="A595"/>
    <hyperlink r:id="rId1186" ref="I595"/>
    <hyperlink r:id="rId1187" ref="A596"/>
    <hyperlink r:id="rId1188" ref="I596"/>
    <hyperlink r:id="rId1189" ref="A597"/>
    <hyperlink r:id="rId1190" ref="I597"/>
    <hyperlink r:id="rId1191" ref="A598"/>
    <hyperlink r:id="rId1192" ref="I598"/>
    <hyperlink r:id="rId1193" ref="A599"/>
    <hyperlink r:id="rId1194" ref="I599"/>
    <hyperlink r:id="rId1195" ref="A600"/>
    <hyperlink r:id="rId1196" ref="I600"/>
    <hyperlink r:id="rId1197" ref="A601"/>
    <hyperlink r:id="rId1198" ref="I601"/>
    <hyperlink r:id="rId1199" ref="A602"/>
    <hyperlink r:id="rId1200" ref="I602"/>
    <hyperlink r:id="rId1201" ref="A603"/>
    <hyperlink r:id="rId1202" ref="I603"/>
    <hyperlink r:id="rId1203" ref="A604"/>
    <hyperlink r:id="rId1204" ref="I604"/>
    <hyperlink r:id="rId1205" ref="A605"/>
    <hyperlink r:id="rId1206" ref="I605"/>
    <hyperlink r:id="rId1207" ref="A606"/>
    <hyperlink r:id="rId1208" ref="I606"/>
    <hyperlink r:id="rId1209" ref="A607"/>
    <hyperlink r:id="rId1210" ref="I607"/>
    <hyperlink r:id="rId1211" ref="A608"/>
    <hyperlink r:id="rId1212" ref="I608"/>
    <hyperlink r:id="rId1213" ref="A609"/>
    <hyperlink r:id="rId1214" ref="I609"/>
    <hyperlink r:id="rId1215" ref="A610"/>
    <hyperlink r:id="rId1216" ref="I610"/>
    <hyperlink r:id="rId1217" ref="A611"/>
    <hyperlink r:id="rId1218" ref="I611"/>
    <hyperlink r:id="rId1219" ref="A612"/>
    <hyperlink r:id="rId1220" ref="I612"/>
    <hyperlink r:id="rId1221" ref="A613"/>
    <hyperlink r:id="rId1222" ref="I613"/>
    <hyperlink r:id="rId1223" ref="A614"/>
    <hyperlink r:id="rId1224" ref="I614"/>
    <hyperlink r:id="rId1225" ref="A615"/>
    <hyperlink r:id="rId1226" ref="I615"/>
    <hyperlink r:id="rId1227" ref="A616"/>
    <hyperlink r:id="rId1228" ref="I616"/>
    <hyperlink r:id="rId1229" ref="A617"/>
    <hyperlink r:id="rId1230" ref="I617"/>
    <hyperlink r:id="rId1231" ref="A618"/>
    <hyperlink r:id="rId1232" ref="I618"/>
    <hyperlink r:id="rId1233" ref="A619"/>
    <hyperlink r:id="rId1234" ref="I619"/>
    <hyperlink r:id="rId1235" ref="A620"/>
    <hyperlink r:id="rId1236" ref="I620"/>
    <hyperlink r:id="rId1237" ref="A621"/>
    <hyperlink r:id="rId1238" ref="I621"/>
    <hyperlink r:id="rId1239" ref="A622"/>
    <hyperlink r:id="rId1240" ref="I622"/>
    <hyperlink r:id="rId1241" ref="A623"/>
    <hyperlink r:id="rId1242" ref="I623"/>
    <hyperlink r:id="rId1243" ref="A624"/>
    <hyperlink r:id="rId1244" ref="I624"/>
    <hyperlink r:id="rId1245" ref="A625"/>
    <hyperlink r:id="rId1246" ref="I625"/>
    <hyperlink r:id="rId1247" ref="A626"/>
    <hyperlink r:id="rId1248" ref="I626"/>
    <hyperlink r:id="rId1249" ref="A627"/>
    <hyperlink r:id="rId1250" ref="I627"/>
    <hyperlink r:id="rId1251" ref="A628"/>
    <hyperlink r:id="rId1252" ref="I628"/>
    <hyperlink r:id="rId1253" ref="A629"/>
    <hyperlink r:id="rId1254" ref="I629"/>
    <hyperlink r:id="rId1255" ref="A630"/>
    <hyperlink r:id="rId1256" ref="I630"/>
    <hyperlink r:id="rId1257" ref="A631"/>
    <hyperlink r:id="rId1258" ref="I631"/>
    <hyperlink r:id="rId1259" ref="A632"/>
    <hyperlink r:id="rId1260" ref="I632"/>
    <hyperlink r:id="rId1261" ref="A633"/>
    <hyperlink r:id="rId1262" ref="I633"/>
    <hyperlink r:id="rId1263" ref="A634"/>
    <hyperlink r:id="rId1264" ref="I634"/>
    <hyperlink r:id="rId1265" ref="A635"/>
    <hyperlink r:id="rId1266" ref="I635"/>
    <hyperlink r:id="rId1267" ref="A636"/>
    <hyperlink r:id="rId1268" ref="I636"/>
    <hyperlink r:id="rId1269" ref="A637"/>
    <hyperlink r:id="rId1270" ref="I637"/>
    <hyperlink r:id="rId1271" ref="A638"/>
    <hyperlink r:id="rId1272" ref="I638"/>
    <hyperlink r:id="rId1273" ref="A639"/>
    <hyperlink r:id="rId1274" ref="I639"/>
    <hyperlink r:id="rId1275" ref="A640"/>
    <hyperlink r:id="rId1276" ref="I640"/>
    <hyperlink r:id="rId1277" ref="A641"/>
    <hyperlink r:id="rId1278" ref="I641"/>
    <hyperlink r:id="rId1279" ref="A642"/>
    <hyperlink r:id="rId1280" ref="I642"/>
    <hyperlink r:id="rId1281" ref="A643"/>
    <hyperlink r:id="rId1282" ref="I643"/>
    <hyperlink r:id="rId1283" ref="A644"/>
    <hyperlink r:id="rId1284" ref="I644"/>
    <hyperlink r:id="rId1285" ref="A645"/>
    <hyperlink r:id="rId1286" ref="I645"/>
    <hyperlink r:id="rId1287" ref="A646"/>
    <hyperlink r:id="rId1288" ref="I646"/>
    <hyperlink r:id="rId1289" ref="A647"/>
    <hyperlink r:id="rId1290" ref="I647"/>
    <hyperlink r:id="rId1291" ref="A648"/>
    <hyperlink r:id="rId1292" ref="I648"/>
    <hyperlink r:id="rId1293" ref="A649"/>
    <hyperlink r:id="rId1294" ref="I649"/>
    <hyperlink r:id="rId1295" ref="A650"/>
    <hyperlink r:id="rId1296" ref="I650"/>
    <hyperlink r:id="rId1297" ref="A651"/>
    <hyperlink r:id="rId1298" ref="I651"/>
    <hyperlink r:id="rId1299" ref="A652"/>
    <hyperlink r:id="rId1300" ref="I652"/>
    <hyperlink r:id="rId1301" ref="A653"/>
    <hyperlink r:id="rId1302" ref="I653"/>
    <hyperlink r:id="rId1303" ref="A654"/>
    <hyperlink r:id="rId1304" ref="I654"/>
    <hyperlink r:id="rId1305" ref="A655"/>
    <hyperlink r:id="rId1306" ref="I655"/>
    <hyperlink r:id="rId1307" ref="A656"/>
    <hyperlink r:id="rId1308" ref="I656"/>
    <hyperlink r:id="rId1309" ref="A657"/>
    <hyperlink r:id="rId1310" ref="I657"/>
    <hyperlink r:id="rId1311" ref="A658"/>
    <hyperlink r:id="rId1312" ref="I658"/>
    <hyperlink r:id="rId1313" ref="A659"/>
    <hyperlink r:id="rId1314" ref="I659"/>
    <hyperlink r:id="rId1315" ref="A660"/>
    <hyperlink r:id="rId1316" ref="I660"/>
    <hyperlink r:id="rId1317" ref="A661"/>
    <hyperlink r:id="rId1318" ref="I661"/>
    <hyperlink r:id="rId1319" ref="A662"/>
    <hyperlink r:id="rId1320" ref="I662"/>
    <hyperlink r:id="rId1321" ref="A663"/>
    <hyperlink r:id="rId1322" ref="I663"/>
    <hyperlink r:id="rId1323" ref="A664"/>
    <hyperlink r:id="rId1324" ref="I664"/>
    <hyperlink r:id="rId1325" ref="A665"/>
    <hyperlink r:id="rId1326" ref="I665"/>
    <hyperlink r:id="rId1327" ref="A666"/>
    <hyperlink r:id="rId1328" ref="I666"/>
    <hyperlink r:id="rId1329" ref="A667"/>
    <hyperlink r:id="rId1330" ref="I667"/>
    <hyperlink r:id="rId1331" ref="A668"/>
    <hyperlink r:id="rId1332" ref="I668"/>
    <hyperlink r:id="rId1333" ref="A669"/>
    <hyperlink r:id="rId1334" ref="I669"/>
    <hyperlink r:id="rId1335" ref="A670"/>
    <hyperlink r:id="rId1336" ref="I670"/>
    <hyperlink r:id="rId1337" ref="A671"/>
    <hyperlink r:id="rId1338" ref="I671"/>
    <hyperlink r:id="rId1339" ref="A672"/>
    <hyperlink r:id="rId1340" ref="I672"/>
    <hyperlink r:id="rId1341" ref="A673"/>
    <hyperlink r:id="rId1342" ref="I673"/>
    <hyperlink r:id="rId1343" ref="A674"/>
    <hyperlink r:id="rId1344" ref="I674"/>
    <hyperlink r:id="rId1345" ref="A675"/>
    <hyperlink r:id="rId1346" ref="I675"/>
    <hyperlink r:id="rId1347" ref="A676"/>
    <hyperlink r:id="rId1348" ref="I676"/>
    <hyperlink r:id="rId1349" ref="A677"/>
    <hyperlink r:id="rId1350" ref="I677"/>
    <hyperlink r:id="rId1351" ref="A678"/>
    <hyperlink r:id="rId1352" ref="I678"/>
    <hyperlink r:id="rId1353" ref="A679"/>
    <hyperlink r:id="rId1354" ref="I679"/>
    <hyperlink r:id="rId1355" ref="A680"/>
    <hyperlink r:id="rId1356" ref="I680"/>
    <hyperlink r:id="rId1357" ref="A681"/>
    <hyperlink r:id="rId1358" ref="I681"/>
    <hyperlink r:id="rId1359" ref="A682"/>
    <hyperlink r:id="rId1360" ref="I682"/>
    <hyperlink r:id="rId1361" ref="A683"/>
    <hyperlink r:id="rId1362" ref="I683"/>
    <hyperlink r:id="rId1363" ref="A684"/>
    <hyperlink r:id="rId1364" ref="I684"/>
    <hyperlink r:id="rId1365" ref="A685"/>
    <hyperlink r:id="rId1366" ref="I685"/>
    <hyperlink r:id="rId1367" ref="A686"/>
    <hyperlink r:id="rId1368" ref="I686"/>
    <hyperlink r:id="rId1369" ref="A687"/>
    <hyperlink r:id="rId1370" ref="I687"/>
    <hyperlink r:id="rId1371" ref="A688"/>
    <hyperlink r:id="rId1372" ref="I688"/>
    <hyperlink r:id="rId1373" ref="A689"/>
    <hyperlink r:id="rId1374" ref="I689"/>
    <hyperlink r:id="rId1375" ref="A690"/>
    <hyperlink r:id="rId1376" ref="I690"/>
    <hyperlink r:id="rId1377" ref="A691"/>
    <hyperlink r:id="rId1378" ref="I691"/>
    <hyperlink r:id="rId1379" ref="A692"/>
    <hyperlink r:id="rId1380" ref="I692"/>
    <hyperlink r:id="rId1381" ref="A693"/>
    <hyperlink r:id="rId1382" ref="I693"/>
    <hyperlink r:id="rId1383" ref="A694"/>
    <hyperlink r:id="rId1384" ref="I694"/>
    <hyperlink r:id="rId1385" ref="A695"/>
    <hyperlink r:id="rId1386" ref="I695"/>
    <hyperlink r:id="rId1387" ref="A696"/>
    <hyperlink r:id="rId1388" ref="I696"/>
    <hyperlink r:id="rId1389" ref="A697"/>
    <hyperlink r:id="rId1390" ref="I697"/>
    <hyperlink r:id="rId1391" ref="A698"/>
    <hyperlink r:id="rId1392" ref="I698"/>
    <hyperlink r:id="rId1393" ref="A699"/>
    <hyperlink r:id="rId1394" ref="I699"/>
    <hyperlink r:id="rId1395" ref="A700"/>
    <hyperlink r:id="rId1396" ref="I700"/>
    <hyperlink r:id="rId1397" ref="A701"/>
    <hyperlink r:id="rId1398" ref="I701"/>
    <hyperlink r:id="rId1399" ref="A702"/>
    <hyperlink r:id="rId1400" ref="I702"/>
    <hyperlink r:id="rId1401" ref="A703"/>
    <hyperlink r:id="rId1402" ref="I703"/>
    <hyperlink r:id="rId1403" ref="A704"/>
    <hyperlink r:id="rId1404" ref="I704"/>
    <hyperlink r:id="rId1405" ref="A705"/>
    <hyperlink r:id="rId1406" ref="I705"/>
    <hyperlink r:id="rId1407" ref="A706"/>
    <hyperlink r:id="rId1408" ref="I706"/>
    <hyperlink r:id="rId1409" ref="A707"/>
    <hyperlink r:id="rId1410" ref="I707"/>
    <hyperlink r:id="rId1411" ref="A708"/>
    <hyperlink r:id="rId1412" ref="I708"/>
    <hyperlink r:id="rId1413" ref="A709"/>
    <hyperlink r:id="rId1414" ref="I709"/>
    <hyperlink r:id="rId1415" ref="A710"/>
    <hyperlink r:id="rId1416" ref="I710"/>
    <hyperlink r:id="rId1417" ref="A711"/>
    <hyperlink r:id="rId1418" ref="I711"/>
    <hyperlink r:id="rId1419" ref="A712"/>
    <hyperlink r:id="rId1420" ref="I712"/>
    <hyperlink r:id="rId1421" ref="A713"/>
    <hyperlink r:id="rId1422" ref="I713"/>
    <hyperlink r:id="rId1423" ref="A714"/>
    <hyperlink r:id="rId1424" ref="I714"/>
    <hyperlink r:id="rId1425" ref="A715"/>
    <hyperlink r:id="rId1426" ref="I715"/>
    <hyperlink r:id="rId1427" ref="A716"/>
    <hyperlink r:id="rId1428" ref="I716"/>
    <hyperlink r:id="rId1429" ref="A717"/>
    <hyperlink r:id="rId1430" ref="I717"/>
    <hyperlink r:id="rId1431" ref="A718"/>
    <hyperlink r:id="rId1432" ref="I718"/>
    <hyperlink r:id="rId1433" ref="A719"/>
    <hyperlink r:id="rId1434" ref="I719"/>
    <hyperlink r:id="rId1435" ref="A720"/>
    <hyperlink r:id="rId1436" ref="I720"/>
    <hyperlink r:id="rId1437" ref="A721"/>
    <hyperlink r:id="rId1438" ref="I721"/>
    <hyperlink r:id="rId1439" ref="A722"/>
    <hyperlink r:id="rId1440" ref="I722"/>
    <hyperlink r:id="rId1441" ref="A723"/>
    <hyperlink r:id="rId1442" ref="I723"/>
    <hyperlink r:id="rId1443" ref="A724"/>
    <hyperlink r:id="rId1444" ref="I724"/>
    <hyperlink r:id="rId1445" ref="A725"/>
    <hyperlink r:id="rId1446" ref="I725"/>
    <hyperlink r:id="rId1447" ref="A726"/>
    <hyperlink r:id="rId1448" ref="I726"/>
    <hyperlink r:id="rId1449" ref="A727"/>
    <hyperlink r:id="rId1450" ref="I727"/>
    <hyperlink r:id="rId1451" ref="A728"/>
    <hyperlink r:id="rId1452" ref="I728"/>
    <hyperlink r:id="rId1453" ref="A729"/>
    <hyperlink r:id="rId1454" ref="I729"/>
    <hyperlink r:id="rId1455" ref="A730"/>
    <hyperlink r:id="rId1456" ref="I730"/>
    <hyperlink r:id="rId1457" ref="A731"/>
    <hyperlink r:id="rId1458" ref="I731"/>
    <hyperlink r:id="rId1459" ref="A732"/>
    <hyperlink r:id="rId1460" ref="I732"/>
    <hyperlink r:id="rId1461" ref="A733"/>
    <hyperlink r:id="rId1462" ref="I733"/>
    <hyperlink r:id="rId1463" ref="A734"/>
    <hyperlink r:id="rId1464" ref="I734"/>
    <hyperlink r:id="rId1465" ref="A735"/>
    <hyperlink r:id="rId1466" ref="I735"/>
    <hyperlink r:id="rId1467" ref="A736"/>
    <hyperlink r:id="rId1468" ref="I736"/>
    <hyperlink r:id="rId1469" ref="A737"/>
    <hyperlink r:id="rId1470" ref="I737"/>
    <hyperlink r:id="rId1471" ref="A738"/>
    <hyperlink r:id="rId1472" ref="I738"/>
    <hyperlink r:id="rId1473" ref="A739"/>
    <hyperlink r:id="rId1474" ref="I739"/>
    <hyperlink r:id="rId1475" ref="A740"/>
    <hyperlink r:id="rId1476" ref="I740"/>
    <hyperlink r:id="rId1477" ref="A741"/>
    <hyperlink r:id="rId1478" ref="I741"/>
    <hyperlink r:id="rId1479" ref="A742"/>
    <hyperlink r:id="rId1480" ref="I742"/>
    <hyperlink r:id="rId1481" ref="A743"/>
    <hyperlink r:id="rId1482" ref="I743"/>
    <hyperlink r:id="rId1483" ref="A744"/>
    <hyperlink r:id="rId1484" ref="I744"/>
    <hyperlink r:id="rId1485" ref="A745"/>
    <hyperlink r:id="rId1486" ref="I745"/>
    <hyperlink r:id="rId1487" ref="A746"/>
    <hyperlink r:id="rId1488" ref="I746"/>
    <hyperlink r:id="rId1489" ref="A747"/>
    <hyperlink r:id="rId1490" ref="I747"/>
    <hyperlink r:id="rId1491" ref="A748"/>
    <hyperlink r:id="rId1492" ref="I748"/>
    <hyperlink r:id="rId1493" ref="A749"/>
    <hyperlink r:id="rId1494" ref="I749"/>
    <hyperlink r:id="rId1495" ref="A750"/>
    <hyperlink r:id="rId1496" ref="I750"/>
    <hyperlink r:id="rId1497" ref="A751"/>
    <hyperlink r:id="rId1498" ref="I751"/>
    <hyperlink r:id="rId1499" ref="A752"/>
    <hyperlink r:id="rId1500" ref="I752"/>
    <hyperlink r:id="rId1501" ref="A753"/>
    <hyperlink r:id="rId1502" ref="I753"/>
    <hyperlink r:id="rId1503" ref="A754"/>
    <hyperlink r:id="rId1504" ref="I754"/>
    <hyperlink r:id="rId1505" ref="A755"/>
    <hyperlink r:id="rId1506" ref="I755"/>
    <hyperlink r:id="rId1507" ref="A756"/>
    <hyperlink r:id="rId1508" ref="I756"/>
    <hyperlink r:id="rId1509" ref="A757"/>
    <hyperlink r:id="rId1510" ref="I757"/>
    <hyperlink r:id="rId1511" ref="A758"/>
    <hyperlink r:id="rId1512" ref="I758"/>
    <hyperlink r:id="rId1513" ref="A759"/>
    <hyperlink r:id="rId1514" ref="I759"/>
    <hyperlink r:id="rId1515" ref="A760"/>
    <hyperlink r:id="rId1516" ref="I760"/>
    <hyperlink r:id="rId1517" ref="A761"/>
    <hyperlink r:id="rId1518" ref="I761"/>
    <hyperlink r:id="rId1519" ref="A762"/>
    <hyperlink r:id="rId1520" ref="I762"/>
    <hyperlink r:id="rId1521" ref="A763"/>
    <hyperlink r:id="rId1522" ref="I763"/>
    <hyperlink r:id="rId1523" ref="A764"/>
    <hyperlink r:id="rId1524" ref="I764"/>
    <hyperlink r:id="rId1525" ref="A765"/>
    <hyperlink r:id="rId1526" ref="I765"/>
    <hyperlink r:id="rId1527" ref="A766"/>
    <hyperlink r:id="rId1528" ref="I766"/>
    <hyperlink r:id="rId1529" ref="A767"/>
    <hyperlink r:id="rId1530" ref="I767"/>
    <hyperlink r:id="rId1531" ref="A768"/>
    <hyperlink r:id="rId1532" ref="I768"/>
    <hyperlink r:id="rId1533" ref="A769"/>
    <hyperlink r:id="rId1534" ref="I769"/>
    <hyperlink r:id="rId1535" ref="A770"/>
    <hyperlink r:id="rId1536" ref="I770"/>
    <hyperlink r:id="rId1537" ref="A771"/>
    <hyperlink r:id="rId1538" ref="I771"/>
    <hyperlink r:id="rId1539" ref="A772"/>
    <hyperlink r:id="rId1540" ref="I772"/>
    <hyperlink r:id="rId1541" ref="A773"/>
    <hyperlink r:id="rId1542" ref="I773"/>
    <hyperlink r:id="rId1543" ref="A774"/>
    <hyperlink r:id="rId1544" ref="I774"/>
    <hyperlink r:id="rId1545" ref="A775"/>
    <hyperlink r:id="rId1546" ref="I775"/>
    <hyperlink r:id="rId1547" ref="A776"/>
    <hyperlink r:id="rId1548" ref="I776"/>
    <hyperlink r:id="rId1549" ref="A777"/>
    <hyperlink r:id="rId1550" ref="I777"/>
    <hyperlink r:id="rId1551" ref="A778"/>
    <hyperlink r:id="rId1552" ref="I778"/>
    <hyperlink r:id="rId1553" ref="A779"/>
    <hyperlink r:id="rId1554" ref="I779"/>
    <hyperlink r:id="rId1555" ref="A780"/>
    <hyperlink r:id="rId1556" ref="I780"/>
    <hyperlink r:id="rId1557" ref="A781"/>
    <hyperlink r:id="rId1558" ref="I781"/>
    <hyperlink r:id="rId1559" ref="A782"/>
    <hyperlink r:id="rId1560" ref="I782"/>
    <hyperlink r:id="rId1561" ref="A783"/>
    <hyperlink r:id="rId1562" ref="I783"/>
    <hyperlink r:id="rId1563" ref="A784"/>
    <hyperlink r:id="rId1564" ref="I784"/>
    <hyperlink r:id="rId1565" ref="A785"/>
    <hyperlink r:id="rId1566" ref="I785"/>
    <hyperlink r:id="rId1567" ref="A786"/>
    <hyperlink r:id="rId1568" ref="I786"/>
    <hyperlink r:id="rId1569" ref="A787"/>
    <hyperlink r:id="rId1570" ref="I787"/>
    <hyperlink r:id="rId1571" ref="A788"/>
    <hyperlink r:id="rId1572" ref="I788"/>
    <hyperlink r:id="rId1573" ref="A789"/>
    <hyperlink r:id="rId1574" ref="I789"/>
    <hyperlink r:id="rId1575" ref="A790"/>
    <hyperlink r:id="rId1576" ref="I790"/>
    <hyperlink r:id="rId1577" ref="A791"/>
    <hyperlink r:id="rId1578" ref="I791"/>
    <hyperlink r:id="rId1579" ref="A792"/>
    <hyperlink r:id="rId1580" ref="I792"/>
    <hyperlink r:id="rId1581" ref="A793"/>
    <hyperlink r:id="rId1582" ref="I793"/>
    <hyperlink r:id="rId1583" ref="A794"/>
    <hyperlink r:id="rId1584" ref="I794"/>
    <hyperlink r:id="rId1585" ref="A795"/>
    <hyperlink r:id="rId1586" ref="I795"/>
    <hyperlink r:id="rId1587" ref="A796"/>
    <hyperlink r:id="rId1588" ref="I796"/>
    <hyperlink r:id="rId1589" ref="A797"/>
    <hyperlink r:id="rId1590" ref="I797"/>
    <hyperlink r:id="rId1591" ref="A798"/>
    <hyperlink r:id="rId1592" ref="I798"/>
    <hyperlink r:id="rId1593" ref="A799"/>
    <hyperlink r:id="rId1594" ref="I799"/>
    <hyperlink r:id="rId1595" ref="A800"/>
    <hyperlink r:id="rId1596" ref="I800"/>
    <hyperlink r:id="rId1597" ref="A801"/>
    <hyperlink r:id="rId1598" ref="I801"/>
    <hyperlink r:id="rId1599" ref="A802"/>
    <hyperlink r:id="rId1600" ref="I802"/>
    <hyperlink r:id="rId1601" ref="A803"/>
    <hyperlink r:id="rId1602" ref="I803"/>
    <hyperlink r:id="rId1603" ref="A804"/>
    <hyperlink r:id="rId1604" ref="I804"/>
    <hyperlink r:id="rId1605" ref="A805"/>
    <hyperlink r:id="rId1606" ref="I805"/>
    <hyperlink r:id="rId1607" ref="A806"/>
    <hyperlink r:id="rId1608" ref="I806"/>
    <hyperlink r:id="rId1609" ref="A807"/>
    <hyperlink r:id="rId1610" ref="I807"/>
    <hyperlink r:id="rId1611" ref="A808"/>
    <hyperlink r:id="rId1612" ref="I808"/>
    <hyperlink r:id="rId1613" ref="A809"/>
    <hyperlink r:id="rId1614" ref="I809"/>
    <hyperlink r:id="rId1615" ref="A810"/>
    <hyperlink r:id="rId1616" ref="I810"/>
    <hyperlink r:id="rId1617" ref="A811"/>
    <hyperlink r:id="rId1618" ref="I811"/>
    <hyperlink r:id="rId1619" ref="A812"/>
    <hyperlink r:id="rId1620" ref="I812"/>
    <hyperlink r:id="rId1621" ref="A813"/>
    <hyperlink r:id="rId1622" ref="I813"/>
    <hyperlink r:id="rId1623" ref="A814"/>
    <hyperlink r:id="rId1624" ref="I814"/>
    <hyperlink r:id="rId1625" ref="A815"/>
    <hyperlink r:id="rId1626" ref="I815"/>
    <hyperlink r:id="rId1627" ref="A816"/>
    <hyperlink r:id="rId1628" ref="I816"/>
    <hyperlink r:id="rId1629" ref="A817"/>
    <hyperlink r:id="rId1630" ref="I817"/>
    <hyperlink r:id="rId1631" ref="A818"/>
    <hyperlink r:id="rId1632" ref="I818"/>
    <hyperlink r:id="rId1633" ref="A819"/>
    <hyperlink r:id="rId1634" ref="I819"/>
    <hyperlink r:id="rId1635" ref="A820"/>
    <hyperlink r:id="rId1636" ref="I820"/>
    <hyperlink r:id="rId1637" ref="A821"/>
    <hyperlink r:id="rId1638" ref="I821"/>
    <hyperlink r:id="rId1639" ref="A822"/>
    <hyperlink r:id="rId1640" ref="I822"/>
    <hyperlink r:id="rId1641" ref="A823"/>
    <hyperlink r:id="rId1642" ref="I823"/>
    <hyperlink r:id="rId1643" ref="A824"/>
    <hyperlink r:id="rId1644" ref="I824"/>
    <hyperlink r:id="rId1645" ref="A825"/>
    <hyperlink r:id="rId1646" ref="I825"/>
    <hyperlink r:id="rId1647" ref="A826"/>
    <hyperlink r:id="rId1648" ref="I826"/>
    <hyperlink r:id="rId1649" ref="A827"/>
    <hyperlink r:id="rId1650" ref="I827"/>
    <hyperlink r:id="rId1651" ref="A828"/>
    <hyperlink r:id="rId1652" ref="I828"/>
    <hyperlink r:id="rId1653" ref="A829"/>
    <hyperlink r:id="rId1654" ref="I829"/>
    <hyperlink r:id="rId1655" ref="A830"/>
    <hyperlink r:id="rId1656" ref="I830"/>
    <hyperlink r:id="rId1657" ref="A831"/>
    <hyperlink r:id="rId1658" ref="I831"/>
    <hyperlink r:id="rId1659" ref="A832"/>
    <hyperlink r:id="rId1660" ref="I832"/>
    <hyperlink r:id="rId1661" ref="A833"/>
    <hyperlink r:id="rId1662" ref="I833"/>
    <hyperlink r:id="rId1663" ref="A834"/>
    <hyperlink r:id="rId1664" ref="I834"/>
    <hyperlink r:id="rId1665" ref="A835"/>
    <hyperlink r:id="rId1666" ref="I835"/>
    <hyperlink r:id="rId1667" ref="A836"/>
    <hyperlink r:id="rId1668" ref="I836"/>
    <hyperlink r:id="rId1669" ref="A837"/>
    <hyperlink r:id="rId1670" ref="I837"/>
    <hyperlink r:id="rId1671" ref="A838"/>
    <hyperlink r:id="rId1672" ref="I838"/>
    <hyperlink r:id="rId1673" ref="A839"/>
    <hyperlink r:id="rId1674" ref="I839"/>
    <hyperlink r:id="rId1675" ref="A840"/>
    <hyperlink r:id="rId1676" ref="I840"/>
    <hyperlink r:id="rId1677" ref="A841"/>
    <hyperlink r:id="rId1678" ref="I841"/>
    <hyperlink r:id="rId1679" ref="A842"/>
    <hyperlink r:id="rId1680" ref="I842"/>
    <hyperlink r:id="rId1681" ref="A843"/>
    <hyperlink r:id="rId1682" ref="I843"/>
    <hyperlink r:id="rId1683" ref="A844"/>
    <hyperlink r:id="rId1684" ref="I844"/>
    <hyperlink r:id="rId1685" ref="A845"/>
    <hyperlink r:id="rId1686" ref="I845"/>
    <hyperlink r:id="rId1687" ref="A846"/>
    <hyperlink r:id="rId1688" ref="I846"/>
    <hyperlink r:id="rId1689" ref="A847"/>
    <hyperlink r:id="rId1690" ref="I847"/>
    <hyperlink r:id="rId1691" ref="A848"/>
    <hyperlink r:id="rId1692" ref="I848"/>
    <hyperlink r:id="rId1693" ref="A849"/>
    <hyperlink r:id="rId1694" ref="I849"/>
    <hyperlink r:id="rId1695" ref="A850"/>
    <hyperlink r:id="rId1696" ref="I850"/>
    <hyperlink r:id="rId1697" ref="A851"/>
    <hyperlink r:id="rId1698" ref="I851"/>
    <hyperlink r:id="rId1699" ref="A852"/>
    <hyperlink r:id="rId1700" ref="I852"/>
    <hyperlink r:id="rId1701" ref="A853"/>
    <hyperlink r:id="rId1702" ref="I853"/>
    <hyperlink r:id="rId1703" ref="A854"/>
    <hyperlink r:id="rId1704" ref="I854"/>
    <hyperlink r:id="rId1705" ref="A855"/>
    <hyperlink r:id="rId1706" ref="I855"/>
    <hyperlink r:id="rId1707" ref="A856"/>
    <hyperlink r:id="rId1708" ref="I856"/>
    <hyperlink r:id="rId1709" ref="A857"/>
    <hyperlink r:id="rId1710" ref="I857"/>
    <hyperlink r:id="rId1711" ref="A858"/>
    <hyperlink r:id="rId1712" ref="I858"/>
    <hyperlink r:id="rId1713" ref="A859"/>
    <hyperlink r:id="rId1714" ref="I859"/>
    <hyperlink r:id="rId1715" ref="A860"/>
    <hyperlink r:id="rId1716" ref="I860"/>
    <hyperlink r:id="rId1717" ref="A861"/>
    <hyperlink r:id="rId1718" ref="I861"/>
    <hyperlink r:id="rId1719" ref="A862"/>
    <hyperlink r:id="rId1720" ref="I862"/>
    <hyperlink r:id="rId1721" ref="A863"/>
    <hyperlink r:id="rId1722" ref="I863"/>
    <hyperlink r:id="rId1723" ref="A864"/>
    <hyperlink r:id="rId1724" ref="I864"/>
    <hyperlink r:id="rId1725" ref="A865"/>
    <hyperlink r:id="rId1726" ref="I865"/>
    <hyperlink r:id="rId1727" ref="A866"/>
    <hyperlink r:id="rId1728" ref="I866"/>
    <hyperlink r:id="rId1729" ref="A867"/>
    <hyperlink r:id="rId1730" ref="I867"/>
    <hyperlink r:id="rId1731" ref="A868"/>
    <hyperlink r:id="rId1732" ref="I868"/>
    <hyperlink r:id="rId1733" ref="A869"/>
    <hyperlink r:id="rId1734" ref="I869"/>
    <hyperlink r:id="rId1735" ref="A870"/>
    <hyperlink r:id="rId1736" ref="I870"/>
    <hyperlink r:id="rId1737" ref="A871"/>
    <hyperlink r:id="rId1738" ref="I871"/>
    <hyperlink r:id="rId1739" ref="A872"/>
    <hyperlink r:id="rId1740" ref="I872"/>
    <hyperlink r:id="rId1741" ref="A873"/>
    <hyperlink r:id="rId1742" ref="I873"/>
    <hyperlink r:id="rId1743" ref="A874"/>
    <hyperlink r:id="rId1744" ref="I874"/>
    <hyperlink r:id="rId1745" ref="A875"/>
    <hyperlink r:id="rId1746" ref="I875"/>
    <hyperlink r:id="rId1747" ref="A876"/>
    <hyperlink r:id="rId1748" ref="I876"/>
    <hyperlink r:id="rId1749" ref="A877"/>
    <hyperlink r:id="rId1750" ref="I877"/>
    <hyperlink r:id="rId1751" ref="A878"/>
    <hyperlink r:id="rId1752" ref="I878"/>
    <hyperlink r:id="rId1753" ref="A879"/>
    <hyperlink r:id="rId1754" ref="I879"/>
    <hyperlink r:id="rId1755" ref="A880"/>
    <hyperlink r:id="rId1756" ref="I880"/>
    <hyperlink r:id="rId1757" ref="A881"/>
    <hyperlink r:id="rId1758" ref="I881"/>
    <hyperlink r:id="rId1759" ref="A882"/>
    <hyperlink r:id="rId1760" ref="I882"/>
    <hyperlink r:id="rId1761" ref="A883"/>
    <hyperlink r:id="rId1762" ref="I883"/>
    <hyperlink r:id="rId1763" ref="A884"/>
    <hyperlink r:id="rId1764" ref="I884"/>
    <hyperlink r:id="rId1765" ref="A885"/>
    <hyperlink r:id="rId1766" ref="I885"/>
    <hyperlink r:id="rId1767" ref="A886"/>
    <hyperlink r:id="rId1768" ref="I886"/>
    <hyperlink r:id="rId1769" ref="A887"/>
    <hyperlink r:id="rId1770" ref="I887"/>
    <hyperlink r:id="rId1771" ref="A888"/>
    <hyperlink r:id="rId1772" ref="I888"/>
    <hyperlink r:id="rId1773" ref="A889"/>
    <hyperlink r:id="rId1774" ref="I889"/>
    <hyperlink r:id="rId1775" ref="A890"/>
    <hyperlink r:id="rId1776" ref="I890"/>
    <hyperlink r:id="rId1777" ref="A891"/>
    <hyperlink r:id="rId1778" ref="I891"/>
    <hyperlink r:id="rId1779" ref="A892"/>
    <hyperlink r:id="rId1780" ref="I892"/>
    <hyperlink r:id="rId1781" ref="A893"/>
    <hyperlink r:id="rId1782" ref="I893"/>
    <hyperlink r:id="rId1783" ref="A894"/>
    <hyperlink r:id="rId1784" ref="I894"/>
    <hyperlink r:id="rId1785" ref="A895"/>
    <hyperlink r:id="rId1786" ref="I895"/>
    <hyperlink r:id="rId1787" ref="A896"/>
    <hyperlink r:id="rId1788" ref="I896"/>
    <hyperlink r:id="rId1789" ref="A897"/>
    <hyperlink r:id="rId1790" ref="I897"/>
    <hyperlink r:id="rId1791" ref="A898"/>
    <hyperlink r:id="rId1792" ref="I898"/>
    <hyperlink r:id="rId1793" ref="A899"/>
    <hyperlink r:id="rId1794" ref="I899"/>
    <hyperlink r:id="rId1795" ref="A900"/>
    <hyperlink r:id="rId1796" ref="I900"/>
    <hyperlink r:id="rId1797" ref="A901"/>
    <hyperlink r:id="rId1798" ref="I901"/>
    <hyperlink r:id="rId1799" ref="A902"/>
    <hyperlink r:id="rId1800" ref="I902"/>
    <hyperlink r:id="rId1801" ref="A903"/>
    <hyperlink r:id="rId1802" ref="I903"/>
    <hyperlink r:id="rId1803" ref="A904"/>
    <hyperlink r:id="rId1804" ref="I904"/>
    <hyperlink r:id="rId1805" ref="A905"/>
    <hyperlink r:id="rId1806" ref="I905"/>
    <hyperlink r:id="rId1807" ref="A906"/>
    <hyperlink r:id="rId1808" ref="I906"/>
    <hyperlink r:id="rId1809" ref="A907"/>
    <hyperlink r:id="rId1810" ref="I907"/>
    <hyperlink r:id="rId1811" ref="A908"/>
    <hyperlink r:id="rId1812" ref="I908"/>
    <hyperlink r:id="rId1813" ref="A909"/>
    <hyperlink r:id="rId1814" ref="I909"/>
    <hyperlink r:id="rId1815" ref="A910"/>
    <hyperlink r:id="rId1816" ref="I910"/>
    <hyperlink r:id="rId1817" ref="A911"/>
    <hyperlink r:id="rId1818" ref="I911"/>
    <hyperlink r:id="rId1819" ref="A912"/>
    <hyperlink r:id="rId1820" ref="I912"/>
    <hyperlink r:id="rId1821" ref="A913"/>
    <hyperlink r:id="rId1822" ref="I913"/>
    <hyperlink r:id="rId1823" ref="A914"/>
    <hyperlink r:id="rId1824" ref="I914"/>
    <hyperlink r:id="rId1825" ref="A915"/>
    <hyperlink r:id="rId1826" ref="I915"/>
    <hyperlink r:id="rId1827" ref="A916"/>
    <hyperlink r:id="rId1828" ref="I916"/>
    <hyperlink r:id="rId1829" ref="A917"/>
    <hyperlink r:id="rId1830" ref="I917"/>
    <hyperlink r:id="rId1831" ref="A918"/>
    <hyperlink r:id="rId1832" ref="I918"/>
    <hyperlink r:id="rId1833" ref="A919"/>
    <hyperlink r:id="rId1834" ref="I919"/>
    <hyperlink r:id="rId1835" ref="A920"/>
    <hyperlink r:id="rId1836" ref="I920"/>
    <hyperlink r:id="rId1837" ref="A921"/>
    <hyperlink r:id="rId1838" ref="I921"/>
    <hyperlink r:id="rId1839" ref="A922"/>
    <hyperlink r:id="rId1840" ref="I922"/>
    <hyperlink r:id="rId1841" ref="A923"/>
    <hyperlink r:id="rId1842" ref="I923"/>
    <hyperlink r:id="rId1843" ref="A924"/>
    <hyperlink r:id="rId1844" ref="I924"/>
    <hyperlink r:id="rId1845" ref="A925"/>
    <hyperlink r:id="rId1846" ref="I925"/>
    <hyperlink r:id="rId1847" ref="A926"/>
    <hyperlink r:id="rId1848" ref="I926"/>
    <hyperlink r:id="rId1849" ref="A927"/>
    <hyperlink r:id="rId1850" ref="I927"/>
    <hyperlink r:id="rId1851" ref="A928"/>
    <hyperlink r:id="rId1852" ref="I928"/>
    <hyperlink r:id="rId1853" ref="A929"/>
    <hyperlink r:id="rId1854" ref="I929"/>
    <hyperlink r:id="rId1855" ref="A930"/>
    <hyperlink r:id="rId1856" ref="I930"/>
    <hyperlink r:id="rId1857" ref="A931"/>
    <hyperlink r:id="rId1858" ref="I931"/>
    <hyperlink r:id="rId1859" ref="A932"/>
    <hyperlink r:id="rId1860" ref="I932"/>
    <hyperlink r:id="rId1861" ref="A933"/>
    <hyperlink r:id="rId1862" ref="I933"/>
    <hyperlink r:id="rId1863" ref="A934"/>
    <hyperlink r:id="rId1864" ref="I934"/>
    <hyperlink r:id="rId1865" ref="A935"/>
    <hyperlink r:id="rId1866" ref="I935"/>
    <hyperlink r:id="rId1867" ref="A936"/>
    <hyperlink r:id="rId1868" ref="I936"/>
    <hyperlink r:id="rId1869" ref="A937"/>
    <hyperlink r:id="rId1870" ref="I937"/>
    <hyperlink r:id="rId1871" ref="A938"/>
    <hyperlink r:id="rId1872" ref="I938"/>
    <hyperlink r:id="rId1873" ref="A939"/>
    <hyperlink r:id="rId1874" ref="I939"/>
    <hyperlink r:id="rId1875" ref="A940"/>
    <hyperlink r:id="rId1876" ref="I940"/>
    <hyperlink r:id="rId1877" ref="A941"/>
    <hyperlink r:id="rId1878" ref="I941"/>
    <hyperlink r:id="rId1879" ref="A942"/>
    <hyperlink r:id="rId1880" ref="I942"/>
    <hyperlink r:id="rId1881" ref="A943"/>
    <hyperlink r:id="rId1882" ref="I943"/>
    <hyperlink r:id="rId1883" ref="A944"/>
    <hyperlink r:id="rId1884" ref="I944"/>
    <hyperlink r:id="rId1885" ref="A945"/>
    <hyperlink r:id="rId1886" ref="I945"/>
    <hyperlink r:id="rId1887" ref="A946"/>
    <hyperlink r:id="rId1888" ref="I946"/>
    <hyperlink r:id="rId1889" ref="A947"/>
    <hyperlink r:id="rId1890" ref="I947"/>
    <hyperlink r:id="rId1891" ref="A948"/>
    <hyperlink r:id="rId1892" ref="I948"/>
    <hyperlink r:id="rId1893" ref="A949"/>
    <hyperlink r:id="rId1894" ref="I949"/>
    <hyperlink r:id="rId1895" ref="A950"/>
    <hyperlink r:id="rId1896" ref="I950"/>
    <hyperlink r:id="rId1897" ref="A951"/>
    <hyperlink r:id="rId1898" ref="I951"/>
    <hyperlink r:id="rId1899" ref="A952"/>
    <hyperlink r:id="rId1900" ref="I952"/>
    <hyperlink r:id="rId1901" ref="A953"/>
    <hyperlink r:id="rId1902" ref="I953"/>
    <hyperlink r:id="rId1903" ref="A954"/>
    <hyperlink r:id="rId1904" ref="I954"/>
    <hyperlink r:id="rId1905" ref="A955"/>
    <hyperlink r:id="rId1906" ref="I955"/>
    <hyperlink r:id="rId1907" ref="A956"/>
    <hyperlink r:id="rId1908" ref="I956"/>
    <hyperlink r:id="rId1909" ref="A957"/>
    <hyperlink r:id="rId1910" ref="I957"/>
    <hyperlink r:id="rId1911" ref="A958"/>
    <hyperlink r:id="rId1912" ref="I958"/>
    <hyperlink r:id="rId1913" ref="A959"/>
    <hyperlink r:id="rId1914" ref="I959"/>
    <hyperlink r:id="rId1915" ref="A960"/>
    <hyperlink r:id="rId1916" ref="I960"/>
    <hyperlink r:id="rId1917" ref="A961"/>
    <hyperlink r:id="rId1918" ref="I961"/>
    <hyperlink r:id="rId1919" ref="A962"/>
    <hyperlink r:id="rId1920" ref="I962"/>
    <hyperlink r:id="rId1921" ref="A963"/>
    <hyperlink r:id="rId1922" ref="I963"/>
    <hyperlink r:id="rId1923" ref="A964"/>
    <hyperlink r:id="rId1924" ref="I964"/>
    <hyperlink r:id="rId1925" ref="A965"/>
    <hyperlink r:id="rId1926" ref="I965"/>
    <hyperlink r:id="rId1927" ref="A966"/>
    <hyperlink r:id="rId1928" ref="I966"/>
    <hyperlink r:id="rId1929" ref="A967"/>
    <hyperlink r:id="rId1930" ref="I967"/>
    <hyperlink r:id="rId1931" ref="A968"/>
    <hyperlink r:id="rId1932" ref="I968"/>
    <hyperlink r:id="rId1933" ref="A969"/>
    <hyperlink r:id="rId1934" ref="I969"/>
    <hyperlink r:id="rId1935" ref="A970"/>
    <hyperlink r:id="rId1936" ref="I970"/>
    <hyperlink r:id="rId1937" ref="A971"/>
    <hyperlink r:id="rId1938" ref="I971"/>
    <hyperlink r:id="rId1939" ref="A972"/>
    <hyperlink r:id="rId1940" ref="I972"/>
    <hyperlink r:id="rId1941" ref="A973"/>
    <hyperlink r:id="rId1942" ref="I973"/>
    <hyperlink r:id="rId1943" ref="A974"/>
    <hyperlink r:id="rId1944" ref="I974"/>
    <hyperlink r:id="rId1945" ref="A975"/>
    <hyperlink r:id="rId1946" ref="I975"/>
    <hyperlink r:id="rId1947" ref="A976"/>
    <hyperlink r:id="rId1948" ref="I976"/>
    <hyperlink r:id="rId1949" ref="A977"/>
    <hyperlink r:id="rId1950" ref="I977"/>
    <hyperlink r:id="rId1951" ref="A978"/>
    <hyperlink r:id="rId1952" ref="I978"/>
    <hyperlink r:id="rId1953" ref="A979"/>
    <hyperlink r:id="rId1954" ref="I979"/>
    <hyperlink r:id="rId1955" ref="A980"/>
    <hyperlink r:id="rId1956" ref="I980"/>
    <hyperlink r:id="rId1957" ref="A981"/>
    <hyperlink r:id="rId1958" ref="I981"/>
    <hyperlink r:id="rId1959" ref="A982"/>
    <hyperlink r:id="rId1960" ref="I982"/>
    <hyperlink r:id="rId1961" ref="A983"/>
    <hyperlink r:id="rId1962" ref="I983"/>
    <hyperlink r:id="rId1963" ref="A984"/>
    <hyperlink r:id="rId1964" ref="I984"/>
    <hyperlink r:id="rId1965" ref="A985"/>
    <hyperlink r:id="rId1966" ref="I985"/>
    <hyperlink r:id="rId1967" ref="A986"/>
    <hyperlink r:id="rId1968" ref="I986"/>
    <hyperlink r:id="rId1969" ref="A987"/>
    <hyperlink r:id="rId1970" ref="I987"/>
    <hyperlink r:id="rId1971" ref="A988"/>
    <hyperlink r:id="rId1972" ref="I988"/>
    <hyperlink r:id="rId1973" ref="A989"/>
    <hyperlink r:id="rId1974" ref="I989"/>
    <hyperlink r:id="rId1975" ref="A990"/>
    <hyperlink r:id="rId1976" ref="I990"/>
    <hyperlink r:id="rId1977" ref="A991"/>
    <hyperlink r:id="rId1978" ref="I991"/>
    <hyperlink r:id="rId1979" ref="A992"/>
    <hyperlink r:id="rId1980" ref="I992"/>
    <hyperlink r:id="rId1981" ref="A993"/>
    <hyperlink r:id="rId1982" ref="I993"/>
    <hyperlink r:id="rId1983" ref="A994"/>
    <hyperlink r:id="rId1984" ref="I994"/>
    <hyperlink r:id="rId1985" ref="A995"/>
    <hyperlink r:id="rId1986" ref="I995"/>
    <hyperlink r:id="rId1987" ref="A996"/>
    <hyperlink r:id="rId1988" ref="I996"/>
    <hyperlink r:id="rId1989" ref="A997"/>
    <hyperlink r:id="rId1990" ref="I997"/>
    <hyperlink r:id="rId1991" ref="A998"/>
    <hyperlink r:id="rId1992" ref="I998"/>
    <hyperlink r:id="rId1993" ref="A999"/>
    <hyperlink r:id="rId1994" ref="I999"/>
    <hyperlink r:id="rId1995" ref="A1000"/>
    <hyperlink r:id="rId1996" ref="I1000"/>
    <hyperlink r:id="rId1997" ref="A1001"/>
    <hyperlink r:id="rId1998" ref="I1001"/>
    <hyperlink r:id="rId1999" ref="A1002"/>
    <hyperlink r:id="rId2000" ref="I1002"/>
    <hyperlink r:id="rId2001" ref="A1003"/>
    <hyperlink r:id="rId2002" ref="I1003"/>
    <hyperlink r:id="rId2003" ref="A1004"/>
    <hyperlink r:id="rId2004" ref="I1004"/>
    <hyperlink r:id="rId2005" ref="A1005"/>
    <hyperlink r:id="rId2006" ref="I1005"/>
    <hyperlink r:id="rId2007" ref="A1006"/>
    <hyperlink r:id="rId2008" ref="I1006"/>
    <hyperlink r:id="rId2009" ref="A1007"/>
    <hyperlink r:id="rId2010" ref="I1007"/>
    <hyperlink r:id="rId2011" ref="A1008"/>
    <hyperlink r:id="rId2012" ref="I1008"/>
    <hyperlink r:id="rId2013" ref="A1009"/>
    <hyperlink r:id="rId2014" ref="I1009"/>
    <hyperlink r:id="rId2015" ref="A1010"/>
    <hyperlink r:id="rId2016" ref="I1010"/>
    <hyperlink r:id="rId2017" ref="A1011"/>
    <hyperlink r:id="rId2018" ref="I1011"/>
    <hyperlink r:id="rId2019" ref="A1012"/>
    <hyperlink r:id="rId2020" ref="I1012"/>
    <hyperlink r:id="rId2021" ref="A1013"/>
    <hyperlink r:id="rId2022" ref="I1013"/>
    <hyperlink r:id="rId2023" ref="A1014"/>
    <hyperlink r:id="rId2024" ref="I1014"/>
    <hyperlink r:id="rId2025" ref="A1015"/>
    <hyperlink r:id="rId2026" ref="I1015"/>
    <hyperlink r:id="rId2027" ref="A1016"/>
    <hyperlink r:id="rId2028" ref="I1016"/>
    <hyperlink r:id="rId2029" ref="A1017"/>
    <hyperlink r:id="rId2030" ref="I1017"/>
    <hyperlink r:id="rId2031" ref="A1018"/>
    <hyperlink r:id="rId2032" ref="I1018"/>
    <hyperlink r:id="rId2033" ref="A1019"/>
    <hyperlink r:id="rId2034" ref="I1019"/>
    <hyperlink r:id="rId2035" ref="A1020"/>
    <hyperlink r:id="rId2036" ref="I1020"/>
    <hyperlink r:id="rId2037" ref="A1021"/>
    <hyperlink r:id="rId2038" ref="I1021"/>
    <hyperlink r:id="rId2039" ref="A1022"/>
    <hyperlink r:id="rId2040" ref="I1022"/>
    <hyperlink r:id="rId2041" ref="A1023"/>
    <hyperlink r:id="rId2042" ref="I1023"/>
    <hyperlink r:id="rId2043" ref="A1024"/>
    <hyperlink r:id="rId2044" ref="I1024"/>
    <hyperlink r:id="rId2045" ref="A1025"/>
    <hyperlink r:id="rId2046" ref="I1025"/>
    <hyperlink r:id="rId2047" ref="A1026"/>
    <hyperlink r:id="rId2048" ref="I1026"/>
    <hyperlink r:id="rId2049" ref="A1027"/>
    <hyperlink r:id="rId2050" ref="I1027"/>
    <hyperlink r:id="rId2051" ref="A1028"/>
    <hyperlink r:id="rId2052" ref="I1028"/>
    <hyperlink r:id="rId2053" ref="A1029"/>
    <hyperlink r:id="rId2054" ref="I1029"/>
    <hyperlink r:id="rId2055" ref="A1030"/>
    <hyperlink r:id="rId2056" ref="I1030"/>
    <hyperlink r:id="rId2057" ref="A1031"/>
    <hyperlink r:id="rId2058" ref="I1031"/>
    <hyperlink r:id="rId2059" ref="A1032"/>
    <hyperlink r:id="rId2060" ref="I1032"/>
    <hyperlink r:id="rId2061" ref="A1033"/>
    <hyperlink r:id="rId2062" ref="I1033"/>
    <hyperlink r:id="rId2063" ref="A1034"/>
    <hyperlink r:id="rId2064" ref="I1034"/>
    <hyperlink r:id="rId2065" ref="A1035"/>
    <hyperlink r:id="rId2066" ref="I1035"/>
    <hyperlink r:id="rId2067" ref="A1036"/>
    <hyperlink r:id="rId2068" ref="I1036"/>
    <hyperlink r:id="rId2069" ref="A1037"/>
    <hyperlink r:id="rId2070" ref="I1037"/>
    <hyperlink r:id="rId2071" ref="A1038"/>
    <hyperlink r:id="rId2072" ref="I1038"/>
    <hyperlink r:id="rId2073" ref="A1039"/>
    <hyperlink r:id="rId2074" ref="I1039"/>
    <hyperlink r:id="rId2075" ref="A1040"/>
    <hyperlink r:id="rId2076" ref="I1040"/>
    <hyperlink r:id="rId2077" ref="A1041"/>
    <hyperlink r:id="rId2078" ref="I1041"/>
    <hyperlink r:id="rId2079" ref="A1042"/>
    <hyperlink r:id="rId2080" ref="I1042"/>
    <hyperlink r:id="rId2081" ref="A1043"/>
    <hyperlink r:id="rId2082" ref="I1043"/>
    <hyperlink r:id="rId2083" ref="A1044"/>
    <hyperlink r:id="rId2084" ref="I1044"/>
    <hyperlink r:id="rId2085" ref="A1045"/>
    <hyperlink r:id="rId2086" ref="I1045"/>
    <hyperlink r:id="rId2087" ref="A1046"/>
    <hyperlink r:id="rId2088" ref="I1046"/>
    <hyperlink r:id="rId2089" ref="A1047"/>
    <hyperlink r:id="rId2090" ref="I1047"/>
    <hyperlink r:id="rId2091" ref="A1048"/>
    <hyperlink r:id="rId2092" ref="I1048"/>
    <hyperlink r:id="rId2093" ref="A1049"/>
    <hyperlink r:id="rId2094" ref="I1049"/>
    <hyperlink r:id="rId2095" ref="A1050"/>
    <hyperlink r:id="rId2096" ref="I1050"/>
    <hyperlink r:id="rId2097" ref="A1051"/>
    <hyperlink r:id="rId2098" ref="I1051"/>
    <hyperlink r:id="rId2099" ref="A1052"/>
    <hyperlink r:id="rId2100" ref="I1052"/>
    <hyperlink r:id="rId2101" ref="A1053"/>
    <hyperlink r:id="rId2102" ref="I1053"/>
    <hyperlink r:id="rId2103" ref="A1054"/>
    <hyperlink r:id="rId2104" ref="I1054"/>
    <hyperlink r:id="rId2105" ref="A1055"/>
    <hyperlink r:id="rId2106" ref="I1055"/>
    <hyperlink r:id="rId2107" ref="A1056"/>
    <hyperlink r:id="rId2108" ref="I1056"/>
    <hyperlink r:id="rId2109" ref="A1057"/>
    <hyperlink r:id="rId2110" ref="I1057"/>
    <hyperlink r:id="rId2111" ref="A1058"/>
    <hyperlink r:id="rId2112" ref="I1058"/>
    <hyperlink r:id="rId2113" ref="A1059"/>
    <hyperlink r:id="rId2114" ref="I1059"/>
    <hyperlink r:id="rId2115" ref="A1060"/>
    <hyperlink r:id="rId2116" ref="I1060"/>
    <hyperlink r:id="rId2117" ref="A1061"/>
    <hyperlink r:id="rId2118" ref="I1061"/>
    <hyperlink r:id="rId2119" ref="A1062"/>
    <hyperlink r:id="rId2120" ref="I1062"/>
    <hyperlink r:id="rId2121" ref="A1063"/>
    <hyperlink r:id="rId2122" ref="I1063"/>
    <hyperlink r:id="rId2123" ref="A1064"/>
    <hyperlink r:id="rId2124" ref="I1064"/>
    <hyperlink r:id="rId2125" ref="A1065"/>
    <hyperlink r:id="rId2126" ref="I1065"/>
    <hyperlink r:id="rId2127" ref="A1066"/>
    <hyperlink r:id="rId2128" ref="I1066"/>
    <hyperlink r:id="rId2129" ref="A1067"/>
    <hyperlink r:id="rId2130" ref="I1067"/>
    <hyperlink r:id="rId2131" ref="A1068"/>
    <hyperlink r:id="rId2132" ref="I1068"/>
    <hyperlink r:id="rId2133" ref="A1069"/>
    <hyperlink r:id="rId2134" ref="I1069"/>
    <hyperlink r:id="rId2135" ref="A1070"/>
    <hyperlink r:id="rId2136" ref="I1070"/>
    <hyperlink r:id="rId2137" ref="A1071"/>
    <hyperlink r:id="rId2138" ref="I1071"/>
    <hyperlink r:id="rId2139" ref="A1072"/>
    <hyperlink r:id="rId2140" ref="I1072"/>
    <hyperlink r:id="rId2141" ref="A1073"/>
    <hyperlink r:id="rId2142" ref="I1073"/>
    <hyperlink r:id="rId2143" ref="A1074"/>
    <hyperlink r:id="rId2144" ref="I1074"/>
    <hyperlink r:id="rId2145" ref="A1075"/>
    <hyperlink r:id="rId2146" ref="I1075"/>
    <hyperlink r:id="rId2147" ref="A1076"/>
    <hyperlink r:id="rId2148" ref="I1076"/>
    <hyperlink r:id="rId2149" ref="A1077"/>
    <hyperlink r:id="rId2150" ref="I1077"/>
    <hyperlink r:id="rId2151" ref="A1078"/>
    <hyperlink r:id="rId2152" ref="I1078"/>
    <hyperlink r:id="rId2153" ref="A1079"/>
    <hyperlink r:id="rId2154" ref="I1079"/>
    <hyperlink r:id="rId2155" ref="A1080"/>
    <hyperlink r:id="rId2156" ref="I1080"/>
    <hyperlink r:id="rId2157" ref="A1081"/>
    <hyperlink r:id="rId2158" ref="I1081"/>
    <hyperlink r:id="rId2159" ref="A1082"/>
    <hyperlink r:id="rId2160" ref="I1082"/>
    <hyperlink r:id="rId2161" ref="A1083"/>
    <hyperlink r:id="rId2162" ref="I1083"/>
    <hyperlink r:id="rId2163" ref="A1084"/>
    <hyperlink r:id="rId2164" ref="I1084"/>
    <hyperlink r:id="rId2165" ref="A1085"/>
    <hyperlink r:id="rId2166" ref="I1085"/>
    <hyperlink r:id="rId2167" ref="A1086"/>
    <hyperlink r:id="rId2168" ref="I1086"/>
    <hyperlink r:id="rId2169" ref="A1087"/>
    <hyperlink r:id="rId2170" ref="I1087"/>
    <hyperlink r:id="rId2171" ref="A1088"/>
    <hyperlink r:id="rId2172" ref="I1088"/>
    <hyperlink r:id="rId2173" ref="A1089"/>
    <hyperlink r:id="rId2174" ref="I1089"/>
    <hyperlink r:id="rId2175" ref="A1090"/>
    <hyperlink r:id="rId2176" ref="I1090"/>
    <hyperlink r:id="rId2177" ref="A1091"/>
    <hyperlink r:id="rId2178" ref="I1091"/>
    <hyperlink r:id="rId2179" ref="A1092"/>
    <hyperlink r:id="rId2180" ref="I1092"/>
    <hyperlink r:id="rId2181" ref="A1093"/>
    <hyperlink r:id="rId2182" ref="I1093"/>
    <hyperlink r:id="rId2183" ref="A1094"/>
    <hyperlink r:id="rId2184" ref="I1094"/>
    <hyperlink r:id="rId2185" ref="A1095"/>
    <hyperlink r:id="rId2186" ref="I1095"/>
    <hyperlink r:id="rId2187" ref="A1096"/>
    <hyperlink r:id="rId2188" ref="I1096"/>
    <hyperlink r:id="rId2189" ref="A1097"/>
    <hyperlink r:id="rId2190" ref="I1097"/>
    <hyperlink r:id="rId2191" ref="A1098"/>
    <hyperlink r:id="rId2192" ref="I1098"/>
    <hyperlink r:id="rId2193" ref="A1099"/>
    <hyperlink r:id="rId2194" ref="I1099"/>
    <hyperlink r:id="rId2195" ref="A1100"/>
    <hyperlink r:id="rId2196" ref="I1100"/>
    <hyperlink r:id="rId2197" ref="A1101"/>
    <hyperlink r:id="rId2198" ref="I1101"/>
    <hyperlink r:id="rId2199" ref="A1102"/>
    <hyperlink r:id="rId2200" ref="I1102"/>
    <hyperlink r:id="rId2201" ref="A1103"/>
    <hyperlink r:id="rId2202" ref="I1103"/>
    <hyperlink r:id="rId2203" ref="A1104"/>
    <hyperlink r:id="rId2204" ref="I1104"/>
    <hyperlink r:id="rId2205" ref="A1105"/>
    <hyperlink r:id="rId2206" ref="I1105"/>
    <hyperlink r:id="rId2207" ref="A1106"/>
    <hyperlink r:id="rId2208" ref="I1106"/>
    <hyperlink r:id="rId2209" ref="A1107"/>
    <hyperlink r:id="rId2210" ref="I1107"/>
    <hyperlink r:id="rId2211" ref="A1108"/>
    <hyperlink r:id="rId2212" ref="I1108"/>
    <hyperlink r:id="rId2213" ref="A1109"/>
    <hyperlink r:id="rId2214" ref="I1109"/>
    <hyperlink r:id="rId2215" ref="A1110"/>
    <hyperlink r:id="rId2216" ref="I1110"/>
    <hyperlink r:id="rId2217" ref="A1111"/>
    <hyperlink r:id="rId2218" ref="I1111"/>
    <hyperlink r:id="rId2219" ref="A1112"/>
    <hyperlink r:id="rId2220" ref="I1112"/>
    <hyperlink r:id="rId2221" ref="A1113"/>
    <hyperlink r:id="rId2222" ref="I1113"/>
    <hyperlink r:id="rId2223" ref="A1114"/>
    <hyperlink r:id="rId2224" ref="I1114"/>
    <hyperlink r:id="rId2225" ref="A1115"/>
    <hyperlink r:id="rId2226" ref="I1115"/>
    <hyperlink r:id="rId2227" ref="A1116"/>
    <hyperlink r:id="rId2228" ref="I1116"/>
    <hyperlink r:id="rId2229" ref="A1117"/>
    <hyperlink r:id="rId2230" ref="I1117"/>
    <hyperlink r:id="rId2231" ref="A1118"/>
    <hyperlink r:id="rId2232" ref="I1118"/>
    <hyperlink r:id="rId2233" ref="A1119"/>
    <hyperlink r:id="rId2234" ref="I1119"/>
    <hyperlink r:id="rId2235" ref="A1120"/>
    <hyperlink r:id="rId2236" ref="I1120"/>
    <hyperlink r:id="rId2237" ref="A1121"/>
    <hyperlink r:id="rId2238" ref="I1121"/>
    <hyperlink r:id="rId2239" ref="A1122"/>
    <hyperlink r:id="rId2240" ref="I1122"/>
    <hyperlink r:id="rId2241" ref="A1123"/>
    <hyperlink r:id="rId2242" ref="I1123"/>
    <hyperlink r:id="rId2243" ref="A1124"/>
    <hyperlink r:id="rId2244" ref="I1124"/>
    <hyperlink r:id="rId2245" ref="A1125"/>
    <hyperlink r:id="rId2246" ref="I1125"/>
    <hyperlink r:id="rId2247" ref="A1126"/>
    <hyperlink r:id="rId2248" ref="I1126"/>
    <hyperlink r:id="rId2249" ref="A1127"/>
    <hyperlink r:id="rId2250" ref="I1127"/>
    <hyperlink r:id="rId2251" ref="A1128"/>
    <hyperlink r:id="rId2252" ref="I1128"/>
    <hyperlink r:id="rId2253" ref="A1129"/>
    <hyperlink r:id="rId2254" ref="I1129"/>
    <hyperlink r:id="rId2255" ref="A1130"/>
    <hyperlink r:id="rId2256" ref="I1130"/>
    <hyperlink r:id="rId2257" ref="A1131"/>
    <hyperlink r:id="rId2258" ref="I1131"/>
    <hyperlink r:id="rId2259" ref="A1132"/>
    <hyperlink r:id="rId2260" ref="I1132"/>
    <hyperlink r:id="rId2261" ref="A1133"/>
    <hyperlink r:id="rId2262" ref="I1133"/>
    <hyperlink r:id="rId2263" ref="A1134"/>
    <hyperlink r:id="rId2264" ref="I1134"/>
    <hyperlink r:id="rId2265" ref="A1135"/>
    <hyperlink r:id="rId2266" ref="I1135"/>
    <hyperlink r:id="rId2267" ref="A1136"/>
    <hyperlink r:id="rId2268" ref="I1136"/>
    <hyperlink r:id="rId2269" ref="A1137"/>
    <hyperlink r:id="rId2270" ref="I1137"/>
    <hyperlink r:id="rId2271" ref="A1138"/>
    <hyperlink r:id="rId2272" ref="I1138"/>
    <hyperlink r:id="rId2273" ref="A1139"/>
    <hyperlink r:id="rId2274" ref="I1139"/>
    <hyperlink r:id="rId2275" ref="A1140"/>
    <hyperlink r:id="rId2276" ref="I1140"/>
    <hyperlink r:id="rId2277" ref="A1141"/>
    <hyperlink r:id="rId2278" ref="I1141"/>
    <hyperlink r:id="rId2279" ref="A1142"/>
    <hyperlink r:id="rId2280" ref="I1142"/>
    <hyperlink r:id="rId2281" ref="A1143"/>
    <hyperlink r:id="rId2282" ref="I1143"/>
    <hyperlink r:id="rId2283" ref="A1144"/>
    <hyperlink r:id="rId2284" ref="I1144"/>
    <hyperlink r:id="rId2285" ref="A1145"/>
    <hyperlink r:id="rId2286" ref="I1145"/>
    <hyperlink r:id="rId2287" ref="A1146"/>
    <hyperlink r:id="rId2288" ref="I1146"/>
    <hyperlink r:id="rId2289" ref="A1147"/>
    <hyperlink r:id="rId2290" ref="I1147"/>
    <hyperlink r:id="rId2291" ref="A1148"/>
    <hyperlink r:id="rId2292" ref="I1148"/>
    <hyperlink r:id="rId2293" ref="A1149"/>
    <hyperlink r:id="rId2294" ref="I1149"/>
    <hyperlink r:id="rId2295" ref="A1150"/>
    <hyperlink r:id="rId2296" ref="I1150"/>
    <hyperlink r:id="rId2297" ref="A1151"/>
    <hyperlink r:id="rId2298" ref="I1151"/>
    <hyperlink r:id="rId2299" ref="A1152"/>
    <hyperlink r:id="rId2300" ref="I1152"/>
    <hyperlink r:id="rId2301" ref="A1153"/>
    <hyperlink r:id="rId2302" ref="I1153"/>
    <hyperlink r:id="rId2303" ref="A1154"/>
    <hyperlink r:id="rId2304" ref="I1154"/>
    <hyperlink r:id="rId2305" ref="A1155"/>
    <hyperlink r:id="rId2306" ref="I1155"/>
    <hyperlink r:id="rId2307" ref="A1156"/>
    <hyperlink r:id="rId2308" ref="I1156"/>
    <hyperlink r:id="rId2309" ref="A1157"/>
    <hyperlink r:id="rId2310" ref="I1157"/>
    <hyperlink r:id="rId2311" ref="A1158"/>
    <hyperlink r:id="rId2312" ref="I1158"/>
    <hyperlink r:id="rId2313" ref="A1159"/>
    <hyperlink r:id="rId2314" ref="I1159"/>
    <hyperlink r:id="rId2315" ref="A1160"/>
    <hyperlink r:id="rId2316" ref="I1160"/>
    <hyperlink r:id="rId2317" ref="A1161"/>
    <hyperlink r:id="rId2318" ref="I1161"/>
    <hyperlink r:id="rId2319" ref="A1162"/>
    <hyperlink r:id="rId2320" ref="I1162"/>
    <hyperlink r:id="rId2321" ref="A1163"/>
    <hyperlink r:id="rId2322" ref="I1163"/>
    <hyperlink r:id="rId2323" ref="A1164"/>
    <hyperlink r:id="rId2324" ref="I1164"/>
    <hyperlink r:id="rId2325" ref="A1165"/>
    <hyperlink r:id="rId2326" ref="I1165"/>
    <hyperlink r:id="rId2327" ref="A1166"/>
    <hyperlink r:id="rId2328" ref="I1166"/>
    <hyperlink r:id="rId2329" ref="A1167"/>
    <hyperlink r:id="rId2330" ref="I1167"/>
    <hyperlink r:id="rId2331" ref="A1168"/>
    <hyperlink r:id="rId2332" ref="I1168"/>
    <hyperlink r:id="rId2333" ref="A1169"/>
    <hyperlink r:id="rId2334" ref="I1169"/>
    <hyperlink r:id="rId2335" ref="A1170"/>
    <hyperlink r:id="rId2336" ref="I1170"/>
    <hyperlink r:id="rId2337" ref="A1171"/>
    <hyperlink r:id="rId2338" ref="I1171"/>
    <hyperlink r:id="rId2339" ref="A1172"/>
    <hyperlink r:id="rId2340" ref="I1172"/>
    <hyperlink r:id="rId2341" ref="A1173"/>
    <hyperlink r:id="rId2342" ref="I1173"/>
    <hyperlink r:id="rId2343" ref="A1174"/>
    <hyperlink r:id="rId2344" ref="I1174"/>
    <hyperlink r:id="rId2345" ref="A1175"/>
    <hyperlink r:id="rId2346" ref="I1175"/>
    <hyperlink r:id="rId2347" ref="A1176"/>
    <hyperlink r:id="rId2348" ref="I1176"/>
    <hyperlink r:id="rId2349" ref="A1177"/>
    <hyperlink r:id="rId2350" ref="I1177"/>
    <hyperlink r:id="rId2351" ref="A1178"/>
    <hyperlink r:id="rId2352" ref="I1178"/>
    <hyperlink r:id="rId2353" ref="A1179"/>
    <hyperlink r:id="rId2354" ref="I1179"/>
    <hyperlink r:id="rId2355" ref="A1180"/>
    <hyperlink r:id="rId2356" ref="I1180"/>
    <hyperlink r:id="rId2357" ref="A1181"/>
    <hyperlink r:id="rId2358" ref="I1181"/>
    <hyperlink r:id="rId2359" ref="A1182"/>
    <hyperlink r:id="rId2360" ref="I1182"/>
    <hyperlink r:id="rId2361" ref="A1183"/>
    <hyperlink r:id="rId2362" ref="I1183"/>
    <hyperlink r:id="rId2363" ref="A1184"/>
    <hyperlink r:id="rId2364" ref="I1184"/>
    <hyperlink r:id="rId2365" ref="A1185"/>
    <hyperlink r:id="rId2366" ref="I1185"/>
    <hyperlink r:id="rId2367" ref="A1186"/>
    <hyperlink r:id="rId2368" ref="I1186"/>
    <hyperlink r:id="rId2369" ref="A1187"/>
    <hyperlink r:id="rId2370" ref="I1187"/>
    <hyperlink r:id="rId2371" ref="A1188"/>
    <hyperlink r:id="rId2372" ref="I1188"/>
    <hyperlink r:id="rId2373" ref="A1189"/>
    <hyperlink r:id="rId2374" ref="I1189"/>
    <hyperlink r:id="rId2375" ref="A1190"/>
    <hyperlink r:id="rId2376" ref="I1190"/>
    <hyperlink r:id="rId2377" ref="A1191"/>
    <hyperlink r:id="rId2378" ref="I1191"/>
    <hyperlink r:id="rId2379" ref="A1192"/>
    <hyperlink r:id="rId2380" ref="I1192"/>
    <hyperlink r:id="rId2381" ref="A1193"/>
    <hyperlink r:id="rId2382" ref="I1193"/>
    <hyperlink r:id="rId2383" ref="A1194"/>
    <hyperlink r:id="rId2384" ref="I1194"/>
    <hyperlink r:id="rId2385" ref="A1195"/>
    <hyperlink r:id="rId2386" ref="I1195"/>
    <hyperlink r:id="rId2387" ref="A1196"/>
    <hyperlink r:id="rId2388" ref="I1196"/>
    <hyperlink r:id="rId2389" ref="A1197"/>
    <hyperlink r:id="rId2390" ref="I1197"/>
    <hyperlink r:id="rId2391" ref="A1198"/>
    <hyperlink r:id="rId2392" ref="I1198"/>
    <hyperlink r:id="rId2393" ref="A1199"/>
    <hyperlink r:id="rId2394" ref="I1199"/>
    <hyperlink r:id="rId2395" ref="A1200"/>
    <hyperlink r:id="rId2396" ref="I1200"/>
    <hyperlink r:id="rId2397" ref="A1201"/>
    <hyperlink r:id="rId2398" ref="I1201"/>
    <hyperlink r:id="rId2399" ref="A1202"/>
    <hyperlink r:id="rId2400" ref="I1202"/>
    <hyperlink r:id="rId2401" ref="A1203"/>
    <hyperlink r:id="rId2402" ref="I1203"/>
    <hyperlink r:id="rId2403" ref="A1204"/>
    <hyperlink r:id="rId2404" ref="I1204"/>
    <hyperlink r:id="rId2405" ref="A1205"/>
    <hyperlink r:id="rId2406" ref="I1205"/>
    <hyperlink r:id="rId2407" ref="A1206"/>
    <hyperlink r:id="rId2408" ref="I1206"/>
    <hyperlink r:id="rId2409" ref="A1207"/>
    <hyperlink r:id="rId2410" ref="I1207"/>
    <hyperlink r:id="rId2411" ref="A1208"/>
    <hyperlink r:id="rId2412" ref="I1208"/>
    <hyperlink r:id="rId2413" ref="A1209"/>
    <hyperlink r:id="rId2414" ref="I1209"/>
    <hyperlink r:id="rId2415" ref="A1210"/>
    <hyperlink r:id="rId2416" ref="I1210"/>
    <hyperlink r:id="rId2417" ref="A1211"/>
    <hyperlink r:id="rId2418" ref="I1211"/>
    <hyperlink r:id="rId2419" ref="A1212"/>
    <hyperlink r:id="rId2420" ref="I1212"/>
    <hyperlink r:id="rId2421" ref="A1213"/>
    <hyperlink r:id="rId2422" ref="I1213"/>
    <hyperlink r:id="rId2423" ref="A1214"/>
    <hyperlink r:id="rId2424" ref="I1214"/>
    <hyperlink r:id="rId2425" ref="A1215"/>
    <hyperlink r:id="rId2426" ref="I1215"/>
    <hyperlink r:id="rId2427" ref="A1216"/>
    <hyperlink r:id="rId2428" ref="I1216"/>
    <hyperlink r:id="rId2429" ref="A1217"/>
    <hyperlink r:id="rId2430" ref="I1217"/>
    <hyperlink r:id="rId2431" ref="A1218"/>
    <hyperlink r:id="rId2432" ref="I1218"/>
    <hyperlink r:id="rId2433" ref="A1219"/>
    <hyperlink r:id="rId2434" ref="I1219"/>
    <hyperlink r:id="rId2435" ref="A1220"/>
    <hyperlink r:id="rId2436" ref="I1220"/>
    <hyperlink r:id="rId2437" ref="A1221"/>
    <hyperlink r:id="rId2438" ref="I1221"/>
    <hyperlink r:id="rId2439" ref="A1222"/>
    <hyperlink r:id="rId2440" ref="I1222"/>
    <hyperlink r:id="rId2441" ref="A1223"/>
    <hyperlink r:id="rId2442" ref="I1223"/>
    <hyperlink r:id="rId2443" ref="A1224"/>
    <hyperlink r:id="rId2444" ref="I1224"/>
    <hyperlink r:id="rId2445" ref="A1225"/>
    <hyperlink r:id="rId2446" ref="I1225"/>
    <hyperlink r:id="rId2447" ref="A1226"/>
    <hyperlink r:id="rId2448" ref="I1226"/>
    <hyperlink r:id="rId2449" ref="A1227"/>
    <hyperlink r:id="rId2450" ref="I1227"/>
    <hyperlink r:id="rId2451" ref="A1228"/>
    <hyperlink r:id="rId2452" ref="I1228"/>
    <hyperlink r:id="rId2453" ref="A1229"/>
    <hyperlink r:id="rId2454" ref="I1229"/>
    <hyperlink r:id="rId2455" ref="A1230"/>
    <hyperlink r:id="rId2456" ref="I1230"/>
    <hyperlink r:id="rId2457" ref="A1231"/>
    <hyperlink r:id="rId2458" ref="I1231"/>
    <hyperlink r:id="rId2459" ref="A1232"/>
    <hyperlink r:id="rId2460" ref="I1232"/>
    <hyperlink r:id="rId2461" ref="A1233"/>
    <hyperlink r:id="rId2462" ref="I1233"/>
    <hyperlink r:id="rId2463" ref="A1234"/>
    <hyperlink r:id="rId2464" ref="I1234"/>
    <hyperlink r:id="rId2465" ref="A1235"/>
    <hyperlink r:id="rId2466" ref="I1235"/>
    <hyperlink r:id="rId2467" ref="A1236"/>
    <hyperlink r:id="rId2468" ref="I1236"/>
    <hyperlink r:id="rId2469" ref="A1237"/>
    <hyperlink r:id="rId2470" ref="I1237"/>
    <hyperlink r:id="rId2471" ref="A1238"/>
    <hyperlink r:id="rId2472" ref="I1238"/>
    <hyperlink r:id="rId2473" ref="A1239"/>
    <hyperlink r:id="rId2474" ref="I1239"/>
    <hyperlink r:id="rId2475" ref="A1240"/>
    <hyperlink r:id="rId2476" ref="I1240"/>
    <hyperlink r:id="rId2477" ref="A1241"/>
    <hyperlink r:id="rId2478" ref="I1241"/>
    <hyperlink r:id="rId2479" ref="A1242"/>
    <hyperlink r:id="rId2480" ref="I1242"/>
    <hyperlink r:id="rId2481" ref="A1243"/>
    <hyperlink r:id="rId2482" ref="I1243"/>
    <hyperlink r:id="rId2483" ref="A1244"/>
    <hyperlink r:id="rId2484" ref="I1244"/>
    <hyperlink r:id="rId2485" ref="A1245"/>
    <hyperlink r:id="rId2486" ref="I1245"/>
    <hyperlink r:id="rId2487" ref="A1246"/>
    <hyperlink r:id="rId2488" ref="I1246"/>
    <hyperlink r:id="rId2489" ref="A1247"/>
    <hyperlink r:id="rId2490" ref="I1247"/>
    <hyperlink r:id="rId2491" ref="A1248"/>
    <hyperlink r:id="rId2492" ref="I1248"/>
    <hyperlink r:id="rId2493" ref="A1249"/>
    <hyperlink r:id="rId2494" ref="I1249"/>
    <hyperlink r:id="rId2495" ref="A1250"/>
    <hyperlink r:id="rId2496" ref="I1250"/>
    <hyperlink r:id="rId2497" ref="A1251"/>
    <hyperlink r:id="rId2498" ref="I1251"/>
    <hyperlink r:id="rId2499" ref="A1252"/>
    <hyperlink r:id="rId2500" ref="I1252"/>
    <hyperlink r:id="rId2501" ref="A1253"/>
    <hyperlink r:id="rId2502" ref="I1253"/>
    <hyperlink r:id="rId2503" ref="A1254"/>
    <hyperlink r:id="rId2504" ref="I1254"/>
    <hyperlink r:id="rId2505" ref="A1255"/>
    <hyperlink r:id="rId2506" ref="I1255"/>
    <hyperlink r:id="rId2507" ref="A1256"/>
    <hyperlink r:id="rId2508" ref="I1256"/>
    <hyperlink r:id="rId2509" ref="A1257"/>
    <hyperlink r:id="rId2510" ref="I1257"/>
    <hyperlink r:id="rId2511" ref="A1258"/>
    <hyperlink r:id="rId2512" ref="I1258"/>
    <hyperlink r:id="rId2513" ref="A1259"/>
    <hyperlink r:id="rId2514" ref="I1259"/>
    <hyperlink r:id="rId2515" ref="A1260"/>
    <hyperlink r:id="rId2516" ref="I1260"/>
    <hyperlink r:id="rId2517" ref="A1261"/>
    <hyperlink r:id="rId2518" ref="I1261"/>
    <hyperlink r:id="rId2519" ref="A1262"/>
    <hyperlink r:id="rId2520" ref="I1262"/>
    <hyperlink r:id="rId2521" ref="A1263"/>
    <hyperlink r:id="rId2522" ref="I1263"/>
    <hyperlink r:id="rId2523" ref="A1264"/>
    <hyperlink r:id="rId2524" ref="I1264"/>
    <hyperlink r:id="rId2525" ref="A1265"/>
    <hyperlink r:id="rId2526" ref="I1265"/>
    <hyperlink r:id="rId2527" ref="A1266"/>
    <hyperlink r:id="rId2528" ref="I1266"/>
    <hyperlink r:id="rId2529" ref="A1267"/>
    <hyperlink r:id="rId2530" ref="I1267"/>
    <hyperlink r:id="rId2531" ref="A1268"/>
    <hyperlink r:id="rId2532" ref="I1268"/>
    <hyperlink r:id="rId2533" ref="A1269"/>
    <hyperlink r:id="rId2534" ref="I1269"/>
    <hyperlink r:id="rId2535" ref="A1270"/>
    <hyperlink r:id="rId2536" ref="I1270"/>
    <hyperlink r:id="rId2537" ref="A1271"/>
    <hyperlink r:id="rId2538" ref="I1271"/>
    <hyperlink r:id="rId2539" ref="A1272"/>
    <hyperlink r:id="rId2540" ref="I1272"/>
    <hyperlink r:id="rId2541" ref="A1273"/>
    <hyperlink r:id="rId2542" ref="I1273"/>
    <hyperlink r:id="rId2543" ref="A1274"/>
    <hyperlink r:id="rId2544" ref="I1274"/>
    <hyperlink r:id="rId2545" ref="A1275"/>
    <hyperlink r:id="rId2546" ref="I1275"/>
    <hyperlink r:id="rId2547" ref="A1276"/>
    <hyperlink r:id="rId2548" ref="I1276"/>
    <hyperlink r:id="rId2549" ref="A1277"/>
    <hyperlink r:id="rId2550" ref="I1277"/>
    <hyperlink r:id="rId2551" ref="A1278"/>
    <hyperlink r:id="rId2552" ref="I1278"/>
    <hyperlink r:id="rId2553" ref="A1279"/>
    <hyperlink r:id="rId2554" ref="I1279"/>
    <hyperlink r:id="rId2555" ref="A1280"/>
    <hyperlink r:id="rId2556" ref="I1280"/>
    <hyperlink r:id="rId2557" ref="A1281"/>
    <hyperlink r:id="rId2558" ref="I1281"/>
    <hyperlink r:id="rId2559" ref="A1282"/>
    <hyperlink r:id="rId2560" ref="I1282"/>
    <hyperlink r:id="rId2561" ref="A1283"/>
    <hyperlink r:id="rId2562" ref="I1283"/>
    <hyperlink r:id="rId2563" ref="A1284"/>
    <hyperlink r:id="rId2564" ref="I1284"/>
    <hyperlink r:id="rId2565" ref="A1285"/>
    <hyperlink r:id="rId2566" ref="I1285"/>
    <hyperlink r:id="rId2567" ref="A1286"/>
    <hyperlink r:id="rId2568" ref="I1286"/>
    <hyperlink r:id="rId2569" ref="A1287"/>
    <hyperlink r:id="rId2570" ref="I1287"/>
    <hyperlink r:id="rId2571" ref="A1288"/>
    <hyperlink r:id="rId2572" ref="I1288"/>
    <hyperlink r:id="rId2573" ref="A1289"/>
    <hyperlink r:id="rId2574" ref="I1289"/>
    <hyperlink r:id="rId2575" ref="A1290"/>
    <hyperlink r:id="rId2576" ref="I1290"/>
    <hyperlink r:id="rId2577" ref="A1291"/>
    <hyperlink r:id="rId2578" ref="I1291"/>
    <hyperlink r:id="rId2579" ref="A1292"/>
    <hyperlink r:id="rId2580" ref="I1292"/>
    <hyperlink r:id="rId2581" ref="A1293"/>
    <hyperlink r:id="rId2582" ref="I1293"/>
    <hyperlink r:id="rId2583" ref="A1294"/>
    <hyperlink r:id="rId2584" ref="I1294"/>
    <hyperlink r:id="rId2585" ref="A1295"/>
    <hyperlink r:id="rId2586" ref="I1295"/>
    <hyperlink r:id="rId2587" ref="A1296"/>
    <hyperlink r:id="rId2588" ref="I1296"/>
    <hyperlink r:id="rId2589" ref="A1297"/>
    <hyperlink r:id="rId2590" ref="I1297"/>
    <hyperlink r:id="rId2591" ref="A1298"/>
    <hyperlink r:id="rId2592" ref="I1298"/>
    <hyperlink r:id="rId2593" ref="A1299"/>
    <hyperlink r:id="rId2594" ref="I1299"/>
    <hyperlink r:id="rId2595" ref="A1300"/>
    <hyperlink r:id="rId2596" ref="I1300"/>
    <hyperlink r:id="rId2597" ref="A1301"/>
    <hyperlink r:id="rId2598" ref="I1301"/>
    <hyperlink r:id="rId2599" ref="A1302"/>
    <hyperlink r:id="rId2600" ref="I1302"/>
    <hyperlink r:id="rId2601" ref="A1303"/>
    <hyperlink r:id="rId2602" ref="I1303"/>
    <hyperlink r:id="rId2603" ref="A1304"/>
    <hyperlink r:id="rId2604" ref="I1304"/>
    <hyperlink r:id="rId2605" ref="A1305"/>
    <hyperlink r:id="rId2606" ref="I1305"/>
    <hyperlink r:id="rId2607" ref="A1306"/>
    <hyperlink r:id="rId2608" ref="I1306"/>
    <hyperlink r:id="rId2609" ref="A1307"/>
    <hyperlink r:id="rId2610" ref="I1307"/>
    <hyperlink r:id="rId2611" ref="A1308"/>
    <hyperlink r:id="rId2612" ref="I1308"/>
    <hyperlink r:id="rId2613" ref="A1309"/>
    <hyperlink r:id="rId2614" ref="I1309"/>
    <hyperlink r:id="rId2615" ref="A1310"/>
    <hyperlink r:id="rId2616" ref="I1310"/>
    <hyperlink r:id="rId2617" ref="A1311"/>
    <hyperlink r:id="rId2618" ref="I1311"/>
    <hyperlink r:id="rId2619" ref="A1312"/>
    <hyperlink r:id="rId2620" ref="I1312"/>
    <hyperlink r:id="rId2621" ref="A1313"/>
    <hyperlink r:id="rId2622" ref="I1313"/>
    <hyperlink r:id="rId2623" ref="A1314"/>
    <hyperlink r:id="rId2624" ref="I1314"/>
    <hyperlink r:id="rId2625" ref="A1315"/>
    <hyperlink r:id="rId2626" ref="I1315"/>
    <hyperlink r:id="rId2627" ref="A1316"/>
    <hyperlink r:id="rId2628" ref="I1316"/>
    <hyperlink r:id="rId2629" ref="A1317"/>
    <hyperlink r:id="rId2630" ref="I1317"/>
    <hyperlink r:id="rId2631" ref="A1318"/>
    <hyperlink r:id="rId2632" ref="I1318"/>
    <hyperlink r:id="rId2633" ref="A1319"/>
    <hyperlink r:id="rId2634" ref="I1319"/>
    <hyperlink r:id="rId2635" ref="A1320"/>
    <hyperlink r:id="rId2636" ref="I1320"/>
    <hyperlink r:id="rId2637" ref="A1321"/>
    <hyperlink r:id="rId2638" ref="I1321"/>
    <hyperlink r:id="rId2639" ref="A1322"/>
    <hyperlink r:id="rId2640" ref="I1322"/>
    <hyperlink r:id="rId2641" ref="A1323"/>
    <hyperlink r:id="rId2642" ref="I1323"/>
    <hyperlink r:id="rId2643" ref="A1324"/>
    <hyperlink r:id="rId2644" ref="I1324"/>
    <hyperlink r:id="rId2645" ref="A1325"/>
    <hyperlink r:id="rId2646" ref="I1325"/>
    <hyperlink r:id="rId2647" ref="A1326"/>
    <hyperlink r:id="rId2648" ref="I1326"/>
    <hyperlink r:id="rId2649" ref="A1327"/>
    <hyperlink r:id="rId2650" ref="I1327"/>
    <hyperlink r:id="rId2651" ref="A1328"/>
    <hyperlink r:id="rId2652" ref="I1328"/>
    <hyperlink r:id="rId2653" ref="A1329"/>
    <hyperlink r:id="rId2654" ref="I1329"/>
    <hyperlink r:id="rId2655" ref="A1330"/>
    <hyperlink r:id="rId2656" ref="I1330"/>
    <hyperlink r:id="rId2657" ref="A1331"/>
    <hyperlink r:id="rId2658" ref="I1331"/>
    <hyperlink r:id="rId2659" ref="A1332"/>
    <hyperlink r:id="rId2660" ref="I1332"/>
    <hyperlink r:id="rId2661" ref="A1333"/>
    <hyperlink r:id="rId2662" ref="I1333"/>
    <hyperlink r:id="rId2663" ref="A1334"/>
    <hyperlink r:id="rId2664" ref="I1334"/>
    <hyperlink r:id="rId2665" ref="A1335"/>
    <hyperlink r:id="rId2666" ref="I1335"/>
    <hyperlink r:id="rId2667" ref="A1336"/>
    <hyperlink r:id="rId2668" ref="I1336"/>
    <hyperlink r:id="rId2669" ref="A1337"/>
    <hyperlink r:id="rId2670" ref="I1337"/>
    <hyperlink r:id="rId2671" ref="A1338"/>
    <hyperlink r:id="rId2672" ref="I1338"/>
    <hyperlink r:id="rId2673" ref="A1339"/>
    <hyperlink r:id="rId2674" ref="I1339"/>
    <hyperlink r:id="rId2675" ref="A1340"/>
    <hyperlink r:id="rId2676" ref="I1340"/>
    <hyperlink r:id="rId2677" ref="A1341"/>
    <hyperlink r:id="rId2678" ref="I1341"/>
    <hyperlink r:id="rId2679" ref="A1342"/>
    <hyperlink r:id="rId2680" ref="I1342"/>
    <hyperlink r:id="rId2681" ref="A1343"/>
    <hyperlink r:id="rId2682" ref="I1343"/>
    <hyperlink r:id="rId2683" ref="A1344"/>
    <hyperlink r:id="rId2684" ref="I1344"/>
    <hyperlink r:id="rId2685" ref="A1345"/>
    <hyperlink r:id="rId2686" ref="I1345"/>
    <hyperlink r:id="rId2687" ref="A1346"/>
    <hyperlink r:id="rId2688" ref="I1346"/>
    <hyperlink r:id="rId2689" ref="A1347"/>
    <hyperlink r:id="rId2690" ref="I1347"/>
    <hyperlink r:id="rId2691" ref="A1348"/>
    <hyperlink r:id="rId2692" ref="I1348"/>
    <hyperlink r:id="rId2693" ref="A1349"/>
    <hyperlink r:id="rId2694" ref="I1349"/>
    <hyperlink r:id="rId2695" ref="A1350"/>
    <hyperlink r:id="rId2696" ref="I1350"/>
    <hyperlink r:id="rId2697" ref="A1351"/>
    <hyperlink r:id="rId2698" ref="I1351"/>
    <hyperlink r:id="rId2699" ref="A1352"/>
    <hyperlink r:id="rId2700" ref="I1352"/>
    <hyperlink r:id="rId2701" ref="A1353"/>
    <hyperlink r:id="rId2702" ref="I1353"/>
    <hyperlink r:id="rId2703" ref="A1354"/>
    <hyperlink r:id="rId2704" ref="I1354"/>
    <hyperlink r:id="rId2705" ref="A1355"/>
    <hyperlink r:id="rId2706" ref="I1355"/>
    <hyperlink r:id="rId2707" ref="A1356"/>
    <hyperlink r:id="rId2708" ref="I1356"/>
    <hyperlink r:id="rId2709" ref="A1357"/>
    <hyperlink r:id="rId2710" ref="I1357"/>
    <hyperlink r:id="rId2711" ref="A1358"/>
    <hyperlink r:id="rId2712" ref="I1358"/>
    <hyperlink r:id="rId2713" ref="A1359"/>
    <hyperlink r:id="rId2714" ref="I1359"/>
    <hyperlink r:id="rId2715" ref="A1360"/>
    <hyperlink r:id="rId2716" ref="I1360"/>
    <hyperlink r:id="rId2717" ref="A1361"/>
    <hyperlink r:id="rId2718" ref="I1361"/>
    <hyperlink r:id="rId2719" ref="A1362"/>
    <hyperlink r:id="rId2720" ref="I1362"/>
    <hyperlink r:id="rId2721" ref="A1363"/>
    <hyperlink r:id="rId2722" ref="I1363"/>
    <hyperlink r:id="rId2723" ref="A1364"/>
    <hyperlink r:id="rId2724" ref="I1364"/>
    <hyperlink r:id="rId2725" ref="A1365"/>
    <hyperlink r:id="rId2726" ref="I1365"/>
    <hyperlink r:id="rId2727" ref="A1366"/>
    <hyperlink r:id="rId2728" ref="I1366"/>
    <hyperlink r:id="rId2729" ref="A1367"/>
    <hyperlink r:id="rId2730" ref="I1367"/>
    <hyperlink r:id="rId2731" ref="A1368"/>
    <hyperlink r:id="rId2732" ref="I1368"/>
    <hyperlink r:id="rId2733" ref="A1369"/>
    <hyperlink r:id="rId2734" ref="I1369"/>
    <hyperlink r:id="rId2735" ref="A1370"/>
    <hyperlink r:id="rId2736" ref="I1370"/>
    <hyperlink r:id="rId2737" ref="A1371"/>
    <hyperlink r:id="rId2738" ref="I1371"/>
    <hyperlink r:id="rId2739" ref="A1372"/>
    <hyperlink r:id="rId2740" ref="I1372"/>
    <hyperlink r:id="rId2741" ref="A1373"/>
    <hyperlink r:id="rId2742" ref="I1373"/>
    <hyperlink r:id="rId2743" ref="A1374"/>
    <hyperlink r:id="rId2744" ref="I1374"/>
    <hyperlink r:id="rId2745" ref="A1375"/>
    <hyperlink r:id="rId2746" ref="I1375"/>
    <hyperlink r:id="rId2747" ref="A1376"/>
    <hyperlink r:id="rId2748" ref="I1376"/>
    <hyperlink r:id="rId2749" ref="A1377"/>
    <hyperlink r:id="rId2750" ref="I1377"/>
    <hyperlink r:id="rId2751" ref="A1378"/>
    <hyperlink r:id="rId2752" ref="I1378"/>
    <hyperlink r:id="rId2753" ref="A1379"/>
    <hyperlink r:id="rId2754" ref="I1379"/>
    <hyperlink r:id="rId2755" ref="A1380"/>
    <hyperlink r:id="rId2756" ref="I1380"/>
    <hyperlink r:id="rId2757" ref="A1381"/>
    <hyperlink r:id="rId2758" ref="I1381"/>
    <hyperlink r:id="rId2759" ref="A1382"/>
    <hyperlink r:id="rId2760" ref="I1382"/>
    <hyperlink r:id="rId2761" ref="A1383"/>
    <hyperlink r:id="rId2762" ref="I1383"/>
    <hyperlink r:id="rId2763" ref="A1384"/>
    <hyperlink r:id="rId2764" ref="I1384"/>
    <hyperlink r:id="rId2765" ref="A1385"/>
    <hyperlink r:id="rId2766" ref="I1385"/>
    <hyperlink r:id="rId2767" ref="A1386"/>
    <hyperlink r:id="rId2768" ref="I1386"/>
    <hyperlink r:id="rId2769" ref="A1387"/>
    <hyperlink r:id="rId2770" ref="I1387"/>
    <hyperlink r:id="rId2771" ref="A1388"/>
    <hyperlink r:id="rId2772" ref="I1388"/>
    <hyperlink r:id="rId2773" ref="A1389"/>
    <hyperlink r:id="rId2774" ref="I1389"/>
    <hyperlink r:id="rId2775" ref="A1390"/>
    <hyperlink r:id="rId2776" ref="I1390"/>
    <hyperlink r:id="rId2777" ref="A1391"/>
    <hyperlink r:id="rId2778" ref="I1391"/>
    <hyperlink r:id="rId2779" ref="A1392"/>
    <hyperlink r:id="rId2780" ref="I1392"/>
    <hyperlink r:id="rId2781" ref="A1393"/>
    <hyperlink r:id="rId2782" ref="I1393"/>
    <hyperlink r:id="rId2783" ref="A1394"/>
    <hyperlink r:id="rId2784" ref="I1394"/>
    <hyperlink r:id="rId2785" ref="A1395"/>
    <hyperlink r:id="rId2786" ref="I1395"/>
    <hyperlink r:id="rId2787" ref="A1396"/>
    <hyperlink r:id="rId2788" ref="I1396"/>
    <hyperlink r:id="rId2789" ref="A1397"/>
    <hyperlink r:id="rId2790" ref="I1397"/>
    <hyperlink r:id="rId2791" ref="A1398"/>
    <hyperlink r:id="rId2792" ref="I1398"/>
    <hyperlink r:id="rId2793" ref="A1399"/>
    <hyperlink r:id="rId2794" ref="I1399"/>
    <hyperlink r:id="rId2795" ref="A1400"/>
    <hyperlink r:id="rId2796" ref="I1400"/>
    <hyperlink r:id="rId2797" ref="A1401"/>
    <hyperlink r:id="rId2798" ref="I1401"/>
    <hyperlink r:id="rId2799" ref="A1402"/>
    <hyperlink r:id="rId2800" ref="I1402"/>
    <hyperlink r:id="rId2801" ref="A1403"/>
    <hyperlink r:id="rId2802" ref="I1403"/>
    <hyperlink r:id="rId2803" ref="A1404"/>
    <hyperlink r:id="rId2804" ref="I1404"/>
    <hyperlink r:id="rId2805" ref="A1405"/>
    <hyperlink r:id="rId2806" ref="I1405"/>
    <hyperlink r:id="rId2807" ref="A1406"/>
    <hyperlink r:id="rId2808" ref="I1406"/>
    <hyperlink r:id="rId2809" ref="A1407"/>
    <hyperlink r:id="rId2810" ref="I1407"/>
    <hyperlink r:id="rId2811" ref="A1408"/>
    <hyperlink r:id="rId2812" ref="I1408"/>
    <hyperlink r:id="rId2813" ref="A1409"/>
    <hyperlink r:id="rId2814" ref="I1409"/>
    <hyperlink r:id="rId2815" ref="A1410"/>
    <hyperlink r:id="rId2816" ref="I1410"/>
    <hyperlink r:id="rId2817" ref="A1411"/>
    <hyperlink r:id="rId2818" ref="I1411"/>
    <hyperlink r:id="rId2819" ref="A1412"/>
    <hyperlink r:id="rId2820" ref="I1412"/>
    <hyperlink r:id="rId2821" ref="A1413"/>
    <hyperlink r:id="rId2822" ref="I1413"/>
    <hyperlink r:id="rId2823" ref="A1414"/>
    <hyperlink r:id="rId2824" ref="I1414"/>
    <hyperlink r:id="rId2825" ref="A1415"/>
    <hyperlink r:id="rId2826" ref="I1415"/>
    <hyperlink r:id="rId2827" ref="A1416"/>
    <hyperlink r:id="rId2828" ref="I1416"/>
    <hyperlink r:id="rId2829" ref="A1417"/>
    <hyperlink r:id="rId2830" ref="I1417"/>
    <hyperlink r:id="rId2831" ref="A1418"/>
    <hyperlink r:id="rId2832" ref="I1418"/>
    <hyperlink r:id="rId2833" ref="A1419"/>
    <hyperlink r:id="rId2834" ref="I1419"/>
    <hyperlink r:id="rId2835" ref="A1420"/>
    <hyperlink r:id="rId2836" ref="I1420"/>
    <hyperlink r:id="rId2837" ref="A1421"/>
    <hyperlink r:id="rId2838" ref="I1421"/>
    <hyperlink r:id="rId2839" ref="A1422"/>
    <hyperlink r:id="rId2840" ref="I1422"/>
    <hyperlink r:id="rId2841" ref="A1423"/>
    <hyperlink r:id="rId2842" ref="I1423"/>
    <hyperlink r:id="rId2843" ref="A1424"/>
    <hyperlink r:id="rId2844" ref="I1424"/>
    <hyperlink r:id="rId2845" ref="A1425"/>
    <hyperlink r:id="rId2846" ref="I1425"/>
    <hyperlink r:id="rId2847" ref="A1426"/>
    <hyperlink r:id="rId2848" ref="I1426"/>
    <hyperlink r:id="rId2849" ref="A1427"/>
    <hyperlink r:id="rId2850" ref="I1427"/>
    <hyperlink r:id="rId2851" ref="A1428"/>
    <hyperlink r:id="rId2852" ref="I1428"/>
    <hyperlink r:id="rId2853" ref="A1429"/>
    <hyperlink r:id="rId2854" ref="I1429"/>
    <hyperlink r:id="rId2855" ref="A1430"/>
    <hyperlink r:id="rId2856" ref="I1430"/>
    <hyperlink r:id="rId2857" ref="A1431"/>
    <hyperlink r:id="rId2858" ref="I1431"/>
    <hyperlink r:id="rId2859" ref="A1432"/>
    <hyperlink r:id="rId2860" ref="I1432"/>
    <hyperlink r:id="rId2861" ref="A1433"/>
    <hyperlink r:id="rId2862" ref="I1433"/>
    <hyperlink r:id="rId2863" ref="A1434"/>
    <hyperlink r:id="rId2864" ref="I1434"/>
    <hyperlink r:id="rId2865" ref="A1435"/>
    <hyperlink r:id="rId2866" ref="I1435"/>
    <hyperlink r:id="rId2867" ref="A1436"/>
    <hyperlink r:id="rId2868" ref="I1436"/>
    <hyperlink r:id="rId2869" ref="A1437"/>
    <hyperlink r:id="rId2870" ref="I1437"/>
    <hyperlink r:id="rId2871" ref="A1438"/>
    <hyperlink r:id="rId2872" ref="I1438"/>
    <hyperlink r:id="rId2873" ref="A1439"/>
    <hyperlink r:id="rId2874" ref="I1439"/>
    <hyperlink r:id="rId2875" ref="A1440"/>
    <hyperlink r:id="rId2876" ref="I1440"/>
    <hyperlink r:id="rId2877" ref="A1441"/>
    <hyperlink r:id="rId2878" ref="I1441"/>
    <hyperlink r:id="rId2879" ref="A1442"/>
    <hyperlink r:id="rId2880" ref="I1442"/>
    <hyperlink r:id="rId2881" ref="A1443"/>
    <hyperlink r:id="rId2882" ref="I1443"/>
    <hyperlink r:id="rId2883" ref="A1444"/>
    <hyperlink r:id="rId2884" ref="I1444"/>
    <hyperlink r:id="rId2885" ref="A1445"/>
    <hyperlink r:id="rId2886" ref="I1445"/>
    <hyperlink r:id="rId2887" ref="A1446"/>
    <hyperlink r:id="rId2888" ref="I1446"/>
    <hyperlink r:id="rId2889" ref="A1447"/>
    <hyperlink r:id="rId2890" ref="I1447"/>
    <hyperlink r:id="rId2891" ref="A1448"/>
    <hyperlink r:id="rId2892" ref="I1448"/>
    <hyperlink r:id="rId2893" ref="A1449"/>
    <hyperlink r:id="rId2894" ref="I1449"/>
    <hyperlink r:id="rId2895" ref="A1450"/>
    <hyperlink r:id="rId2896" ref="I1450"/>
    <hyperlink r:id="rId2897" ref="A1451"/>
    <hyperlink r:id="rId2898" ref="I1451"/>
    <hyperlink r:id="rId2899" ref="A1452"/>
    <hyperlink r:id="rId2900" ref="I1452"/>
    <hyperlink r:id="rId2901" ref="A1453"/>
    <hyperlink r:id="rId2902" ref="I1453"/>
    <hyperlink r:id="rId2903" ref="A1454"/>
    <hyperlink r:id="rId2904" ref="I1454"/>
    <hyperlink r:id="rId2905" ref="A1455"/>
    <hyperlink r:id="rId2906" ref="I1455"/>
    <hyperlink r:id="rId2907" ref="A1456"/>
    <hyperlink r:id="rId2908" ref="I1456"/>
    <hyperlink r:id="rId2909" ref="A1457"/>
    <hyperlink r:id="rId2910" ref="I1457"/>
    <hyperlink r:id="rId2911" ref="A1458"/>
    <hyperlink r:id="rId2912" ref="I1458"/>
    <hyperlink r:id="rId2913" ref="A1459"/>
    <hyperlink r:id="rId2914" ref="I1459"/>
    <hyperlink r:id="rId2915" ref="A1460"/>
    <hyperlink r:id="rId2916" ref="I1460"/>
    <hyperlink r:id="rId2917" ref="A1461"/>
    <hyperlink r:id="rId2918" ref="I1461"/>
    <hyperlink r:id="rId2919" ref="A1462"/>
    <hyperlink r:id="rId2920" ref="I1462"/>
    <hyperlink r:id="rId2921" ref="A1463"/>
    <hyperlink r:id="rId2922" ref="I1463"/>
    <hyperlink r:id="rId2923" ref="A1464"/>
    <hyperlink r:id="rId2924" ref="I1464"/>
    <hyperlink r:id="rId2925" ref="A1465"/>
    <hyperlink r:id="rId2926" ref="I1465"/>
    <hyperlink r:id="rId2927" ref="A1466"/>
    <hyperlink r:id="rId2928" ref="I1466"/>
    <hyperlink r:id="rId2929" ref="A1467"/>
    <hyperlink r:id="rId2930" ref="I1467"/>
    <hyperlink r:id="rId2931" ref="A1468"/>
    <hyperlink r:id="rId2932" ref="I1468"/>
    <hyperlink r:id="rId2933" ref="A1469"/>
    <hyperlink r:id="rId2934" ref="I1469"/>
    <hyperlink r:id="rId2935" ref="A1470"/>
    <hyperlink r:id="rId2936" ref="I1470"/>
    <hyperlink r:id="rId2937" ref="A1471"/>
    <hyperlink r:id="rId2938" ref="I1471"/>
    <hyperlink r:id="rId2939" ref="A1472"/>
    <hyperlink r:id="rId2940" ref="I1472"/>
    <hyperlink r:id="rId2941" ref="A1473"/>
    <hyperlink r:id="rId2942" ref="I1473"/>
    <hyperlink r:id="rId2943" ref="A1474"/>
    <hyperlink r:id="rId2944" ref="I1474"/>
    <hyperlink r:id="rId2945" ref="A1475"/>
    <hyperlink r:id="rId2946" ref="I1475"/>
    <hyperlink r:id="rId2947" ref="A1476"/>
    <hyperlink r:id="rId2948" ref="I1476"/>
    <hyperlink r:id="rId2949" ref="A1477"/>
    <hyperlink r:id="rId2950" ref="I1477"/>
    <hyperlink r:id="rId2951" ref="A1478"/>
    <hyperlink r:id="rId2952" ref="I1478"/>
    <hyperlink r:id="rId2953" ref="A1479"/>
    <hyperlink r:id="rId2954" ref="I1479"/>
    <hyperlink r:id="rId2955" ref="A1480"/>
    <hyperlink r:id="rId2956" ref="I1480"/>
    <hyperlink r:id="rId2957" ref="A1481"/>
    <hyperlink r:id="rId2958" ref="I1481"/>
    <hyperlink r:id="rId2959" ref="A1482"/>
    <hyperlink r:id="rId2960" ref="I1482"/>
    <hyperlink r:id="rId2961" ref="A1483"/>
    <hyperlink r:id="rId2962" ref="I1483"/>
    <hyperlink r:id="rId2963" ref="A1484"/>
    <hyperlink r:id="rId2964" ref="I1484"/>
    <hyperlink r:id="rId2965" ref="A1485"/>
    <hyperlink r:id="rId2966" ref="I1485"/>
    <hyperlink r:id="rId2967" ref="A1486"/>
    <hyperlink r:id="rId2968" ref="I1486"/>
    <hyperlink r:id="rId2969" ref="A1487"/>
    <hyperlink r:id="rId2970" ref="I1487"/>
    <hyperlink r:id="rId2971" ref="A1488"/>
    <hyperlink r:id="rId2972" ref="I1488"/>
    <hyperlink r:id="rId2973" ref="A1489"/>
    <hyperlink r:id="rId2974" ref="I1489"/>
    <hyperlink r:id="rId2975" ref="A1490"/>
    <hyperlink r:id="rId2976" ref="I1490"/>
    <hyperlink r:id="rId2977" ref="A1491"/>
    <hyperlink r:id="rId2978" ref="I1491"/>
    <hyperlink r:id="rId2979" ref="A1492"/>
    <hyperlink r:id="rId2980" ref="I1492"/>
    <hyperlink r:id="rId2981" ref="A1493"/>
    <hyperlink r:id="rId2982" ref="I1493"/>
    <hyperlink r:id="rId2983" ref="A1494"/>
    <hyperlink r:id="rId2984" ref="I1494"/>
    <hyperlink r:id="rId2985" ref="A1495"/>
    <hyperlink r:id="rId2986" ref="I1495"/>
    <hyperlink r:id="rId2987" ref="A1496"/>
    <hyperlink r:id="rId2988" ref="I1496"/>
    <hyperlink r:id="rId2989" ref="A1497"/>
    <hyperlink r:id="rId2990" ref="I1497"/>
    <hyperlink r:id="rId2991" ref="A1498"/>
    <hyperlink r:id="rId2992" ref="I1498"/>
    <hyperlink r:id="rId2993" ref="A1499"/>
    <hyperlink r:id="rId2994" ref="I1499"/>
    <hyperlink r:id="rId2995" ref="A1500"/>
    <hyperlink r:id="rId2996" ref="I1500"/>
    <hyperlink r:id="rId2997" ref="A1501"/>
    <hyperlink r:id="rId2998" ref="I1501"/>
    <hyperlink r:id="rId2999" ref="A1502"/>
    <hyperlink r:id="rId3000" ref="I1502"/>
    <hyperlink r:id="rId3001" ref="A1503"/>
    <hyperlink r:id="rId3002" ref="I1503"/>
    <hyperlink r:id="rId3003" ref="A1504"/>
    <hyperlink r:id="rId3004" ref="I1504"/>
    <hyperlink r:id="rId3005" ref="A1505"/>
    <hyperlink r:id="rId3006" ref="I1505"/>
    <hyperlink r:id="rId3007" ref="A1506"/>
    <hyperlink r:id="rId3008" ref="I1506"/>
    <hyperlink r:id="rId3009" ref="A1507"/>
    <hyperlink r:id="rId3010" ref="I1507"/>
    <hyperlink r:id="rId3011" ref="A1508"/>
    <hyperlink r:id="rId3012" ref="I1508"/>
    <hyperlink r:id="rId3013" ref="A1509"/>
    <hyperlink r:id="rId3014" ref="I1509"/>
    <hyperlink r:id="rId3015" ref="A1510"/>
    <hyperlink r:id="rId3016" ref="I1510"/>
    <hyperlink r:id="rId3017" ref="A1511"/>
    <hyperlink r:id="rId3018" ref="I1511"/>
    <hyperlink r:id="rId3019" ref="A1512"/>
    <hyperlink r:id="rId3020" ref="I1512"/>
    <hyperlink r:id="rId3021" ref="A1513"/>
    <hyperlink r:id="rId3022" ref="I1513"/>
    <hyperlink r:id="rId3023" ref="A1514"/>
    <hyperlink r:id="rId3024" ref="I1514"/>
    <hyperlink r:id="rId3025" ref="A1515"/>
    <hyperlink r:id="rId3026" ref="I1515"/>
    <hyperlink r:id="rId3027" ref="A1516"/>
    <hyperlink r:id="rId3028" ref="I1516"/>
    <hyperlink r:id="rId3029" ref="A1517"/>
    <hyperlink r:id="rId3030" ref="I1517"/>
    <hyperlink r:id="rId3031" ref="A1518"/>
    <hyperlink r:id="rId3032" ref="I1518"/>
    <hyperlink r:id="rId3033" ref="A1519"/>
    <hyperlink r:id="rId3034" ref="I1519"/>
    <hyperlink r:id="rId3035" ref="A1520"/>
    <hyperlink r:id="rId3036" ref="I1520"/>
    <hyperlink r:id="rId3037" ref="A1521"/>
    <hyperlink r:id="rId3038" ref="I1521"/>
    <hyperlink r:id="rId3039" ref="A1522"/>
    <hyperlink r:id="rId3040" ref="I1522"/>
    <hyperlink r:id="rId3041" ref="A1523"/>
    <hyperlink r:id="rId3042" ref="I1523"/>
    <hyperlink r:id="rId3043" ref="A1524"/>
    <hyperlink r:id="rId3044" ref="I1524"/>
    <hyperlink r:id="rId3045" ref="A1525"/>
    <hyperlink r:id="rId3046" ref="I1525"/>
    <hyperlink r:id="rId3047" ref="A1526"/>
    <hyperlink r:id="rId3048" ref="I1526"/>
    <hyperlink r:id="rId3049" ref="A1527"/>
    <hyperlink r:id="rId3050" ref="I1527"/>
    <hyperlink r:id="rId3051" ref="A1528"/>
    <hyperlink r:id="rId3052" ref="I1528"/>
    <hyperlink r:id="rId3053" ref="A1529"/>
    <hyperlink r:id="rId3054" ref="I1529"/>
    <hyperlink r:id="rId3055" ref="A1530"/>
    <hyperlink r:id="rId3056" ref="I1530"/>
    <hyperlink r:id="rId3057" ref="A1531"/>
    <hyperlink r:id="rId3058" ref="I1531"/>
    <hyperlink r:id="rId3059" ref="A1532"/>
    <hyperlink r:id="rId3060" ref="I1532"/>
    <hyperlink r:id="rId3061" ref="A1533"/>
    <hyperlink r:id="rId3062" ref="I1533"/>
    <hyperlink r:id="rId3063" ref="A1534"/>
    <hyperlink r:id="rId3064" ref="I1534"/>
    <hyperlink r:id="rId3065" ref="A1535"/>
    <hyperlink r:id="rId3066" ref="I1535"/>
    <hyperlink r:id="rId3067" ref="A1536"/>
    <hyperlink r:id="rId3068" ref="I1536"/>
    <hyperlink r:id="rId3069" ref="A1537"/>
    <hyperlink r:id="rId3070" ref="I1537"/>
    <hyperlink r:id="rId3071" ref="A1538"/>
    <hyperlink r:id="rId3072" ref="I1538"/>
    <hyperlink r:id="rId3073" ref="A1539"/>
    <hyperlink r:id="rId3074" ref="I1539"/>
    <hyperlink r:id="rId3075" ref="A1540"/>
    <hyperlink r:id="rId3076" ref="I1540"/>
    <hyperlink r:id="rId3077" ref="A1541"/>
    <hyperlink r:id="rId3078" ref="I1541"/>
    <hyperlink r:id="rId3079" ref="A1542"/>
    <hyperlink r:id="rId3080" ref="I1542"/>
    <hyperlink r:id="rId3081" ref="A1543"/>
    <hyperlink r:id="rId3082" ref="I1543"/>
    <hyperlink r:id="rId3083" ref="A1544"/>
    <hyperlink r:id="rId3084" ref="I1544"/>
    <hyperlink r:id="rId3085" ref="A1545"/>
    <hyperlink r:id="rId3086" ref="I1545"/>
    <hyperlink r:id="rId3087" ref="A1546"/>
    <hyperlink r:id="rId3088" ref="I1546"/>
    <hyperlink r:id="rId3089" ref="A1547"/>
    <hyperlink r:id="rId3090" ref="I1547"/>
    <hyperlink r:id="rId3091" ref="A1548"/>
    <hyperlink r:id="rId3092" ref="I1548"/>
    <hyperlink r:id="rId3093" ref="A1549"/>
    <hyperlink r:id="rId3094" ref="I1549"/>
    <hyperlink r:id="rId3095" ref="A1550"/>
    <hyperlink r:id="rId3096" ref="I1550"/>
    <hyperlink r:id="rId3097" ref="A1551"/>
    <hyperlink r:id="rId3098" ref="I1551"/>
    <hyperlink r:id="rId3099" ref="A1552"/>
    <hyperlink r:id="rId3100" ref="I1552"/>
    <hyperlink r:id="rId3101" ref="A1553"/>
    <hyperlink r:id="rId3102" ref="I1553"/>
    <hyperlink r:id="rId3103" ref="A1554"/>
    <hyperlink r:id="rId3104" ref="I1554"/>
    <hyperlink r:id="rId3105" ref="A1555"/>
    <hyperlink r:id="rId3106" ref="I1555"/>
    <hyperlink r:id="rId3107" ref="A1556"/>
    <hyperlink r:id="rId3108" ref="I1556"/>
    <hyperlink r:id="rId3109" ref="A1557"/>
    <hyperlink r:id="rId3110" ref="I1557"/>
    <hyperlink r:id="rId3111" ref="A1558"/>
    <hyperlink r:id="rId3112" ref="I1558"/>
    <hyperlink r:id="rId3113" ref="A1559"/>
    <hyperlink r:id="rId3114" ref="I1559"/>
    <hyperlink r:id="rId3115" ref="A1560"/>
    <hyperlink r:id="rId3116" ref="I1560"/>
    <hyperlink r:id="rId3117" ref="A1561"/>
    <hyperlink r:id="rId3118" ref="I1561"/>
    <hyperlink r:id="rId3119" ref="A1562"/>
    <hyperlink r:id="rId3120" ref="I1562"/>
    <hyperlink r:id="rId3121" ref="A1563"/>
    <hyperlink r:id="rId3122" ref="I1563"/>
    <hyperlink r:id="rId3123" ref="A1564"/>
    <hyperlink r:id="rId3124" ref="I1564"/>
    <hyperlink r:id="rId3125" ref="A1565"/>
    <hyperlink r:id="rId3126" ref="I1565"/>
    <hyperlink r:id="rId3127" ref="A1566"/>
    <hyperlink r:id="rId3128" ref="I1566"/>
    <hyperlink r:id="rId3129" ref="A1567"/>
    <hyperlink r:id="rId3130" ref="I1567"/>
    <hyperlink r:id="rId3131" ref="A1568"/>
    <hyperlink r:id="rId3132" ref="I1568"/>
    <hyperlink r:id="rId3133" ref="A1569"/>
    <hyperlink r:id="rId3134" ref="I1569"/>
    <hyperlink r:id="rId3135" ref="A1570"/>
    <hyperlink r:id="rId3136" ref="I1570"/>
    <hyperlink r:id="rId3137" ref="A1571"/>
    <hyperlink r:id="rId3138" ref="I1571"/>
    <hyperlink r:id="rId3139" ref="A1572"/>
    <hyperlink r:id="rId3140" ref="I1572"/>
    <hyperlink r:id="rId3141" ref="A1573"/>
    <hyperlink r:id="rId3142" ref="I1573"/>
    <hyperlink r:id="rId3143" ref="A1574"/>
    <hyperlink r:id="rId3144" ref="I1574"/>
    <hyperlink r:id="rId3145" ref="A1575"/>
    <hyperlink r:id="rId3146" ref="I1575"/>
    <hyperlink r:id="rId3147" ref="A1576"/>
    <hyperlink r:id="rId3148" ref="I1576"/>
    <hyperlink r:id="rId3149" ref="A1577"/>
    <hyperlink r:id="rId3150" ref="I1577"/>
    <hyperlink r:id="rId3151" ref="A1578"/>
    <hyperlink r:id="rId3152" ref="I1578"/>
    <hyperlink r:id="rId3153" ref="A1579"/>
    <hyperlink r:id="rId3154" ref="I1579"/>
    <hyperlink r:id="rId3155" ref="A1580"/>
    <hyperlink r:id="rId3156" ref="I1580"/>
    <hyperlink r:id="rId3157" ref="A1581"/>
    <hyperlink r:id="rId3158" ref="I1581"/>
    <hyperlink r:id="rId3159" ref="A1582"/>
    <hyperlink r:id="rId3160" ref="I1582"/>
    <hyperlink r:id="rId3161" ref="A1583"/>
    <hyperlink r:id="rId3162" ref="I1583"/>
    <hyperlink r:id="rId3163" ref="A1584"/>
    <hyperlink r:id="rId3164" ref="I1584"/>
    <hyperlink r:id="rId3165" ref="A1585"/>
    <hyperlink r:id="rId3166" ref="I1585"/>
    <hyperlink r:id="rId3167" ref="A1586"/>
    <hyperlink r:id="rId3168" ref="I1586"/>
    <hyperlink r:id="rId3169" ref="A1587"/>
    <hyperlink r:id="rId3170" ref="I1587"/>
    <hyperlink r:id="rId3171" ref="A1588"/>
    <hyperlink r:id="rId3172" ref="I1588"/>
    <hyperlink r:id="rId3173" ref="A1589"/>
    <hyperlink r:id="rId3174" ref="I1589"/>
    <hyperlink r:id="rId3175" ref="A1590"/>
    <hyperlink r:id="rId3176" ref="I1590"/>
    <hyperlink r:id="rId3177" ref="A1591"/>
    <hyperlink r:id="rId3178" ref="I1591"/>
    <hyperlink r:id="rId3179" ref="A1592"/>
    <hyperlink r:id="rId3180" ref="I1592"/>
    <hyperlink r:id="rId3181" ref="A1593"/>
    <hyperlink r:id="rId3182" ref="I1593"/>
    <hyperlink r:id="rId3183" ref="A1594"/>
    <hyperlink r:id="rId3184" ref="I1594"/>
    <hyperlink r:id="rId3185" ref="A1595"/>
    <hyperlink r:id="rId3186" ref="I1595"/>
    <hyperlink r:id="rId3187" ref="A1596"/>
    <hyperlink r:id="rId3188" ref="I1596"/>
    <hyperlink r:id="rId3189" ref="A1597"/>
    <hyperlink r:id="rId3190" ref="I1597"/>
    <hyperlink r:id="rId3191" ref="A1598"/>
    <hyperlink r:id="rId3192" ref="I1598"/>
    <hyperlink r:id="rId3193" ref="A1599"/>
    <hyperlink r:id="rId3194" ref="I1599"/>
    <hyperlink r:id="rId3195" ref="A1600"/>
    <hyperlink r:id="rId3196" ref="I1600"/>
    <hyperlink r:id="rId3197" ref="A1601"/>
    <hyperlink r:id="rId3198" ref="I1601"/>
    <hyperlink r:id="rId3199" ref="A1602"/>
    <hyperlink r:id="rId3200" ref="I1602"/>
    <hyperlink r:id="rId3201" ref="A1603"/>
    <hyperlink r:id="rId3202" ref="I1603"/>
    <hyperlink r:id="rId3203" ref="A1604"/>
    <hyperlink r:id="rId3204" ref="I1604"/>
    <hyperlink r:id="rId3205" ref="A1605"/>
    <hyperlink r:id="rId3206" ref="I1605"/>
    <hyperlink r:id="rId3207" ref="A1606"/>
    <hyperlink r:id="rId3208" ref="I1606"/>
    <hyperlink r:id="rId3209" ref="A1607"/>
    <hyperlink r:id="rId3210" ref="I1607"/>
    <hyperlink r:id="rId3211" ref="A1608"/>
    <hyperlink r:id="rId3212" ref="I1608"/>
    <hyperlink r:id="rId3213" ref="A1609"/>
    <hyperlink r:id="rId3214" ref="I1609"/>
    <hyperlink r:id="rId3215" ref="A1610"/>
    <hyperlink r:id="rId3216" ref="I1610"/>
    <hyperlink r:id="rId3217" ref="A1611"/>
    <hyperlink r:id="rId3218" ref="I1611"/>
    <hyperlink r:id="rId3219" ref="A1612"/>
    <hyperlink r:id="rId3220" ref="I1612"/>
    <hyperlink r:id="rId3221" ref="A1613"/>
    <hyperlink r:id="rId3222" ref="I1613"/>
    <hyperlink r:id="rId3223" ref="A1614"/>
    <hyperlink r:id="rId3224" ref="I1614"/>
    <hyperlink r:id="rId3225" ref="A1615"/>
    <hyperlink r:id="rId3226" ref="I1615"/>
    <hyperlink r:id="rId3227" ref="A1616"/>
    <hyperlink r:id="rId3228" ref="I1616"/>
    <hyperlink r:id="rId3229" ref="A1617"/>
    <hyperlink r:id="rId3230" ref="I1617"/>
    <hyperlink r:id="rId3231" ref="A1618"/>
    <hyperlink r:id="rId3232" ref="I1618"/>
    <hyperlink r:id="rId3233" ref="A1619"/>
    <hyperlink r:id="rId3234" ref="I1619"/>
    <hyperlink r:id="rId3235" ref="A1620"/>
    <hyperlink r:id="rId3236" ref="I1620"/>
    <hyperlink r:id="rId3237" ref="A1621"/>
    <hyperlink r:id="rId3238" ref="I1621"/>
    <hyperlink r:id="rId3239" ref="A1622"/>
    <hyperlink r:id="rId3240" ref="I1622"/>
    <hyperlink r:id="rId3241" ref="A1623"/>
    <hyperlink r:id="rId3242" ref="I1623"/>
    <hyperlink r:id="rId3243" ref="A1624"/>
    <hyperlink r:id="rId3244" ref="I1624"/>
    <hyperlink r:id="rId3245" ref="A1625"/>
    <hyperlink r:id="rId3246" ref="I1625"/>
    <hyperlink r:id="rId3247" ref="A1626"/>
    <hyperlink r:id="rId3248" ref="I1626"/>
    <hyperlink r:id="rId3249" ref="A1627"/>
    <hyperlink r:id="rId3250" ref="I1627"/>
    <hyperlink r:id="rId3251" ref="A1628"/>
    <hyperlink r:id="rId3252" ref="I1628"/>
    <hyperlink r:id="rId3253" ref="A1629"/>
    <hyperlink r:id="rId3254" ref="I1629"/>
    <hyperlink r:id="rId3255" ref="A1630"/>
    <hyperlink r:id="rId3256" ref="I1630"/>
    <hyperlink r:id="rId3257" ref="A1631"/>
    <hyperlink r:id="rId3258" ref="I1631"/>
    <hyperlink r:id="rId3259" ref="A1632"/>
    <hyperlink r:id="rId3260" ref="I1632"/>
    <hyperlink r:id="rId3261" ref="A1633"/>
    <hyperlink r:id="rId3262" ref="I1633"/>
    <hyperlink r:id="rId3263" ref="A1634"/>
    <hyperlink r:id="rId3264" ref="I1634"/>
    <hyperlink r:id="rId3265" ref="A1635"/>
    <hyperlink r:id="rId3266" ref="I1635"/>
    <hyperlink r:id="rId3267" ref="A1636"/>
    <hyperlink r:id="rId3268" ref="I1636"/>
    <hyperlink r:id="rId3269" ref="A1637"/>
    <hyperlink r:id="rId3270" ref="I1637"/>
    <hyperlink r:id="rId3271" ref="A1638"/>
    <hyperlink r:id="rId3272" ref="I1638"/>
    <hyperlink r:id="rId3273" ref="A1639"/>
    <hyperlink r:id="rId3274" ref="I1639"/>
    <hyperlink r:id="rId3275" ref="A1640"/>
    <hyperlink r:id="rId3276" ref="I1640"/>
    <hyperlink r:id="rId3277" ref="A1641"/>
    <hyperlink r:id="rId3278" ref="I1641"/>
    <hyperlink r:id="rId3279" ref="A1642"/>
    <hyperlink r:id="rId3280" ref="I1642"/>
    <hyperlink r:id="rId3281" ref="A1643"/>
    <hyperlink r:id="rId3282" ref="I1643"/>
    <hyperlink r:id="rId3283" ref="A1644"/>
    <hyperlink r:id="rId3284" ref="I1644"/>
    <hyperlink r:id="rId3285" ref="A1645"/>
    <hyperlink r:id="rId3286" ref="I1645"/>
    <hyperlink r:id="rId3287" ref="A1646"/>
    <hyperlink r:id="rId3288" ref="I1646"/>
    <hyperlink r:id="rId3289" ref="A1647"/>
    <hyperlink r:id="rId3290" ref="I1647"/>
    <hyperlink r:id="rId3291" ref="A1648"/>
    <hyperlink r:id="rId3292" ref="I1648"/>
    <hyperlink r:id="rId3293" ref="A1649"/>
    <hyperlink r:id="rId3294" ref="I1649"/>
    <hyperlink r:id="rId3295" ref="A1650"/>
    <hyperlink r:id="rId3296" ref="I1650"/>
    <hyperlink r:id="rId3297" ref="A1651"/>
    <hyperlink r:id="rId3298" ref="I1651"/>
    <hyperlink r:id="rId3299" ref="A1652"/>
    <hyperlink r:id="rId3300" ref="I1652"/>
    <hyperlink r:id="rId3301" ref="A1653"/>
    <hyperlink r:id="rId3302" ref="I1653"/>
    <hyperlink r:id="rId3303" ref="A1654"/>
    <hyperlink r:id="rId3304" ref="I1654"/>
    <hyperlink r:id="rId3305" ref="A1655"/>
    <hyperlink r:id="rId3306" ref="I1655"/>
    <hyperlink r:id="rId3307" ref="A1656"/>
    <hyperlink r:id="rId3308" ref="I1656"/>
    <hyperlink r:id="rId3309" ref="A1657"/>
    <hyperlink r:id="rId3310" ref="I1657"/>
    <hyperlink r:id="rId3311" ref="A1658"/>
    <hyperlink r:id="rId3312" ref="I1658"/>
    <hyperlink r:id="rId3313" ref="A1659"/>
    <hyperlink r:id="rId3314" ref="I1659"/>
    <hyperlink r:id="rId3315" ref="A1660"/>
    <hyperlink r:id="rId3316" ref="I1660"/>
    <hyperlink r:id="rId3317" ref="A1661"/>
    <hyperlink r:id="rId3318" ref="I1661"/>
    <hyperlink r:id="rId3319" ref="A1662"/>
    <hyperlink r:id="rId3320" ref="I1662"/>
    <hyperlink r:id="rId3321" ref="A1663"/>
    <hyperlink r:id="rId3322" ref="I1663"/>
    <hyperlink r:id="rId3323" ref="A1664"/>
    <hyperlink r:id="rId3324" ref="I1664"/>
    <hyperlink r:id="rId3325" ref="A1665"/>
    <hyperlink r:id="rId3326" ref="I1665"/>
    <hyperlink r:id="rId3327" ref="A1666"/>
    <hyperlink r:id="rId3328" ref="I1666"/>
    <hyperlink r:id="rId3329" ref="A1667"/>
    <hyperlink r:id="rId3330" ref="I1667"/>
    <hyperlink r:id="rId3331" ref="A1668"/>
    <hyperlink r:id="rId3332" ref="I1668"/>
    <hyperlink r:id="rId3333" ref="A1669"/>
    <hyperlink r:id="rId3334" ref="I1669"/>
    <hyperlink r:id="rId3335" ref="A1670"/>
    <hyperlink r:id="rId3336" ref="I1670"/>
    <hyperlink r:id="rId3337" ref="A1671"/>
    <hyperlink r:id="rId3338" ref="I1671"/>
    <hyperlink r:id="rId3339" ref="A1672"/>
    <hyperlink r:id="rId3340" ref="I1672"/>
    <hyperlink r:id="rId3341" ref="A1673"/>
    <hyperlink r:id="rId3342" ref="I1673"/>
    <hyperlink r:id="rId3343" ref="A1674"/>
    <hyperlink r:id="rId3344" ref="I1674"/>
    <hyperlink r:id="rId3345" ref="A1675"/>
    <hyperlink r:id="rId3346" ref="I1675"/>
    <hyperlink r:id="rId3347" ref="A1676"/>
    <hyperlink r:id="rId3348" ref="I1676"/>
    <hyperlink r:id="rId3349" ref="A1677"/>
    <hyperlink r:id="rId3350" ref="I1677"/>
    <hyperlink r:id="rId3351" ref="A1678"/>
    <hyperlink r:id="rId3352" ref="I1678"/>
    <hyperlink r:id="rId3353" ref="A1679"/>
    <hyperlink r:id="rId3354" ref="I1679"/>
    <hyperlink r:id="rId3355" ref="A1680"/>
    <hyperlink r:id="rId3356" ref="I1680"/>
    <hyperlink r:id="rId3357" ref="A1681"/>
    <hyperlink r:id="rId3358" ref="I1681"/>
    <hyperlink r:id="rId3359" ref="A1682"/>
    <hyperlink r:id="rId3360" ref="I1682"/>
    <hyperlink r:id="rId3361" ref="A1683"/>
    <hyperlink r:id="rId3362" ref="I1683"/>
    <hyperlink r:id="rId3363" ref="A1684"/>
    <hyperlink r:id="rId3364" ref="I1684"/>
    <hyperlink r:id="rId3365" ref="A1685"/>
    <hyperlink r:id="rId3366" ref="I1685"/>
    <hyperlink r:id="rId3367" ref="A1686"/>
    <hyperlink r:id="rId3368" ref="I1686"/>
    <hyperlink r:id="rId3369" ref="A1687"/>
    <hyperlink r:id="rId3370" ref="I1687"/>
    <hyperlink r:id="rId3371" ref="A1688"/>
    <hyperlink r:id="rId3372" ref="I1688"/>
    <hyperlink r:id="rId3373" ref="A1689"/>
    <hyperlink r:id="rId3374" ref="I1689"/>
    <hyperlink r:id="rId3375" ref="A1690"/>
    <hyperlink r:id="rId3376" ref="I1690"/>
    <hyperlink r:id="rId3377" ref="A1691"/>
    <hyperlink r:id="rId3378" ref="I1691"/>
    <hyperlink r:id="rId3379" ref="A1692"/>
    <hyperlink r:id="rId3380" ref="I1692"/>
    <hyperlink r:id="rId3381" ref="A1693"/>
    <hyperlink r:id="rId3382" ref="I1693"/>
    <hyperlink r:id="rId3383" ref="A1694"/>
    <hyperlink r:id="rId3384" ref="I1694"/>
    <hyperlink r:id="rId3385" ref="A1695"/>
    <hyperlink r:id="rId3386" ref="I1695"/>
    <hyperlink r:id="rId3387" ref="A1696"/>
    <hyperlink r:id="rId3388" ref="I1696"/>
    <hyperlink r:id="rId3389" ref="A1697"/>
    <hyperlink r:id="rId3390" ref="I1697"/>
    <hyperlink r:id="rId3391" ref="A1698"/>
    <hyperlink r:id="rId3392" ref="I1698"/>
    <hyperlink r:id="rId3393" ref="A1699"/>
    <hyperlink r:id="rId3394" ref="I1699"/>
    <hyperlink r:id="rId3395" ref="A1700"/>
    <hyperlink r:id="rId3396" ref="I1700"/>
    <hyperlink r:id="rId3397" ref="A1701"/>
    <hyperlink r:id="rId3398" ref="I1701"/>
    <hyperlink r:id="rId3399" ref="A1702"/>
    <hyperlink r:id="rId3400" ref="I1702"/>
    <hyperlink r:id="rId3401" ref="A1703"/>
    <hyperlink r:id="rId3402" ref="I1703"/>
    <hyperlink r:id="rId3403" ref="A1704"/>
    <hyperlink r:id="rId3404" ref="I1704"/>
    <hyperlink r:id="rId3405" ref="A1705"/>
    <hyperlink r:id="rId3406" ref="I1705"/>
    <hyperlink r:id="rId3407" ref="A1706"/>
    <hyperlink r:id="rId3408" ref="I1706"/>
    <hyperlink r:id="rId3409" ref="A1707"/>
    <hyperlink r:id="rId3410" ref="I1707"/>
    <hyperlink r:id="rId3411" ref="A1708"/>
    <hyperlink r:id="rId3412" ref="I1708"/>
    <hyperlink r:id="rId3413" ref="A1709"/>
    <hyperlink r:id="rId3414" ref="I1709"/>
    <hyperlink r:id="rId3415" ref="A1710"/>
    <hyperlink r:id="rId3416" ref="I1710"/>
    <hyperlink r:id="rId3417" ref="A1711"/>
    <hyperlink r:id="rId3418" ref="I1711"/>
    <hyperlink r:id="rId3419" ref="A1712"/>
    <hyperlink r:id="rId3420" ref="I1712"/>
    <hyperlink r:id="rId3421" ref="A1713"/>
    <hyperlink r:id="rId3422" ref="I1713"/>
    <hyperlink r:id="rId3423" ref="A1714"/>
    <hyperlink r:id="rId3424" ref="I1714"/>
    <hyperlink r:id="rId3425" ref="A1715"/>
    <hyperlink r:id="rId3426" ref="I1715"/>
    <hyperlink r:id="rId3427" ref="A1716"/>
    <hyperlink r:id="rId3428" ref="I1716"/>
    <hyperlink r:id="rId3429" ref="A1717"/>
    <hyperlink r:id="rId3430" ref="I1717"/>
    <hyperlink r:id="rId3431" ref="A1718"/>
    <hyperlink r:id="rId3432" ref="I1718"/>
    <hyperlink r:id="rId3433" ref="A1719"/>
    <hyperlink r:id="rId3434" ref="I1719"/>
    <hyperlink r:id="rId3435" ref="A1720"/>
    <hyperlink r:id="rId3436" ref="I1720"/>
    <hyperlink r:id="rId3437" ref="A1721"/>
    <hyperlink r:id="rId3438" ref="I1721"/>
    <hyperlink r:id="rId3439" ref="A1722"/>
    <hyperlink r:id="rId3440" ref="I1722"/>
    <hyperlink r:id="rId3441" ref="A1723"/>
    <hyperlink r:id="rId3442" ref="I1723"/>
    <hyperlink r:id="rId3443" ref="A1724"/>
    <hyperlink r:id="rId3444" ref="I1724"/>
    <hyperlink r:id="rId3445" ref="A1725"/>
    <hyperlink r:id="rId3446" ref="I1725"/>
    <hyperlink r:id="rId3447" ref="A1726"/>
    <hyperlink r:id="rId3448" ref="I1726"/>
    <hyperlink r:id="rId3449" ref="A1727"/>
    <hyperlink r:id="rId3450" ref="I1727"/>
    <hyperlink r:id="rId3451" ref="A1728"/>
    <hyperlink r:id="rId3452" ref="I1728"/>
    <hyperlink r:id="rId3453" ref="A1729"/>
    <hyperlink r:id="rId3454" ref="I1729"/>
    <hyperlink r:id="rId3455" ref="A1730"/>
    <hyperlink r:id="rId3456" ref="I1730"/>
    <hyperlink r:id="rId3457" ref="A1731"/>
    <hyperlink r:id="rId3458" ref="I1731"/>
    <hyperlink r:id="rId3459" ref="A1732"/>
    <hyperlink r:id="rId3460" ref="I1732"/>
    <hyperlink r:id="rId3461" ref="A1733"/>
    <hyperlink r:id="rId3462" ref="I1733"/>
    <hyperlink r:id="rId3463" ref="A1734"/>
    <hyperlink r:id="rId3464" ref="I1734"/>
    <hyperlink r:id="rId3465" ref="A1735"/>
    <hyperlink r:id="rId3466" ref="I1735"/>
    <hyperlink r:id="rId3467" ref="A1736"/>
    <hyperlink r:id="rId3468" ref="I1736"/>
    <hyperlink r:id="rId3469" ref="A1737"/>
    <hyperlink r:id="rId3470" ref="I1737"/>
    <hyperlink r:id="rId3471" ref="A1738"/>
    <hyperlink r:id="rId3472" ref="I1738"/>
    <hyperlink r:id="rId3473" ref="A1739"/>
    <hyperlink r:id="rId3474" ref="I1739"/>
    <hyperlink r:id="rId3475" ref="A1740"/>
    <hyperlink r:id="rId3476" ref="I1740"/>
    <hyperlink r:id="rId3477" ref="A1741"/>
    <hyperlink r:id="rId3478" ref="I1741"/>
    <hyperlink r:id="rId3479" ref="A1742"/>
    <hyperlink r:id="rId3480" ref="I1742"/>
    <hyperlink r:id="rId3481" ref="A1743"/>
    <hyperlink r:id="rId3482" ref="I1743"/>
    <hyperlink r:id="rId3483" ref="A1744"/>
    <hyperlink r:id="rId3484" ref="I1744"/>
    <hyperlink r:id="rId3485" ref="A1745"/>
    <hyperlink r:id="rId3486" ref="I1745"/>
    <hyperlink r:id="rId3487" ref="A1746"/>
    <hyperlink r:id="rId3488" ref="I1746"/>
    <hyperlink r:id="rId3489" ref="A1747"/>
    <hyperlink r:id="rId3490" ref="I1747"/>
    <hyperlink r:id="rId3491" ref="A1748"/>
    <hyperlink r:id="rId3492" ref="I1748"/>
    <hyperlink r:id="rId3493" ref="A1749"/>
    <hyperlink r:id="rId3494" ref="I1749"/>
    <hyperlink r:id="rId3495" ref="A1750"/>
    <hyperlink r:id="rId3496" ref="I1750"/>
    <hyperlink r:id="rId3497" ref="A1751"/>
    <hyperlink r:id="rId3498" ref="I1751"/>
    <hyperlink r:id="rId3499" ref="A1752"/>
    <hyperlink r:id="rId3500" ref="I1752"/>
    <hyperlink r:id="rId3501" ref="A1753"/>
    <hyperlink r:id="rId3502" ref="I1753"/>
    <hyperlink r:id="rId3503" ref="A1754"/>
    <hyperlink r:id="rId3504" ref="I1754"/>
    <hyperlink r:id="rId3505" ref="A1755"/>
    <hyperlink r:id="rId3506" ref="I1755"/>
    <hyperlink r:id="rId3507" ref="A1756"/>
    <hyperlink r:id="rId3508" ref="I1756"/>
    <hyperlink r:id="rId3509" ref="A1757"/>
    <hyperlink r:id="rId3510" ref="I1757"/>
    <hyperlink r:id="rId3511" ref="A1758"/>
    <hyperlink r:id="rId3512" ref="I1758"/>
    <hyperlink r:id="rId3513" ref="A1759"/>
    <hyperlink r:id="rId3514" ref="I1759"/>
    <hyperlink r:id="rId3515" ref="A1760"/>
    <hyperlink r:id="rId3516" ref="I1760"/>
    <hyperlink r:id="rId3517" ref="A1761"/>
    <hyperlink r:id="rId3518" ref="I1761"/>
    <hyperlink r:id="rId3519" ref="A1762"/>
    <hyperlink r:id="rId3520" ref="I1762"/>
    <hyperlink r:id="rId3521" ref="A1763"/>
    <hyperlink r:id="rId3522" ref="I1763"/>
    <hyperlink r:id="rId3523" ref="A1764"/>
    <hyperlink r:id="rId3524" ref="I1764"/>
    <hyperlink r:id="rId3525" ref="A1765"/>
    <hyperlink r:id="rId3526" ref="I1765"/>
    <hyperlink r:id="rId3527" ref="A1766"/>
    <hyperlink r:id="rId3528" ref="I1766"/>
    <hyperlink r:id="rId3529" ref="A1767"/>
    <hyperlink r:id="rId3530" ref="I1767"/>
    <hyperlink r:id="rId3531" ref="A1768"/>
    <hyperlink r:id="rId3532" ref="I1768"/>
    <hyperlink r:id="rId3533" ref="A1769"/>
    <hyperlink r:id="rId3534" ref="I1769"/>
    <hyperlink r:id="rId3535" ref="A1770"/>
    <hyperlink r:id="rId3536" ref="I1770"/>
    <hyperlink r:id="rId3537" ref="A1771"/>
    <hyperlink r:id="rId3538" ref="I1771"/>
    <hyperlink r:id="rId3539" ref="A1772"/>
    <hyperlink r:id="rId3540" ref="I1772"/>
    <hyperlink r:id="rId3541" ref="A1773"/>
    <hyperlink r:id="rId3542" ref="I1773"/>
    <hyperlink r:id="rId3543" ref="A1774"/>
    <hyperlink r:id="rId3544" ref="I1774"/>
    <hyperlink r:id="rId3545" ref="A1775"/>
    <hyperlink r:id="rId3546" ref="I1775"/>
    <hyperlink r:id="rId3547" ref="A1776"/>
    <hyperlink r:id="rId3548" ref="I1776"/>
    <hyperlink r:id="rId3549" ref="A1777"/>
    <hyperlink r:id="rId3550" ref="I1777"/>
    <hyperlink r:id="rId3551" ref="A1778"/>
    <hyperlink r:id="rId3552" ref="I1778"/>
    <hyperlink r:id="rId3553" ref="A1779"/>
    <hyperlink r:id="rId3554" ref="I1779"/>
    <hyperlink r:id="rId3555" ref="A1780"/>
    <hyperlink r:id="rId3556" ref="I1780"/>
    <hyperlink r:id="rId3557" ref="A1781"/>
    <hyperlink r:id="rId3558" ref="I1781"/>
    <hyperlink r:id="rId3559" ref="A1782"/>
    <hyperlink r:id="rId3560" ref="I1782"/>
    <hyperlink r:id="rId3561" ref="A1783"/>
    <hyperlink r:id="rId3562" ref="I1783"/>
    <hyperlink r:id="rId3563" ref="A1784"/>
    <hyperlink r:id="rId3564" ref="I1784"/>
    <hyperlink r:id="rId3565" ref="A1785"/>
    <hyperlink r:id="rId3566" ref="I1785"/>
    <hyperlink r:id="rId3567" ref="A1786"/>
    <hyperlink r:id="rId3568" ref="I1786"/>
    <hyperlink r:id="rId3569" ref="A1787"/>
    <hyperlink r:id="rId3570" ref="I1787"/>
    <hyperlink r:id="rId3571" ref="A1788"/>
    <hyperlink r:id="rId3572" ref="I1788"/>
    <hyperlink r:id="rId3573" ref="A1789"/>
    <hyperlink r:id="rId3574" ref="I1789"/>
    <hyperlink r:id="rId3575" ref="A1790"/>
    <hyperlink r:id="rId3576" ref="I1790"/>
    <hyperlink r:id="rId3577" ref="A1791"/>
    <hyperlink r:id="rId3578" ref="I1791"/>
    <hyperlink r:id="rId3579" ref="A1792"/>
    <hyperlink r:id="rId3580" ref="I1792"/>
    <hyperlink r:id="rId3581" ref="A1793"/>
    <hyperlink r:id="rId3582" ref="I1793"/>
    <hyperlink r:id="rId3583" ref="A1794"/>
    <hyperlink r:id="rId3584" ref="I1794"/>
    <hyperlink r:id="rId3585" ref="A1795"/>
    <hyperlink r:id="rId3586" ref="I1795"/>
    <hyperlink r:id="rId3587" ref="A1796"/>
    <hyperlink r:id="rId3588" ref="I1796"/>
    <hyperlink r:id="rId3589" ref="A1797"/>
    <hyperlink r:id="rId3590" ref="I1797"/>
    <hyperlink r:id="rId3591" ref="A1798"/>
    <hyperlink r:id="rId3592" ref="I1798"/>
    <hyperlink r:id="rId3593" ref="A1799"/>
    <hyperlink r:id="rId3594" ref="I1799"/>
    <hyperlink r:id="rId3595" ref="A1800"/>
    <hyperlink r:id="rId3596" ref="I1800"/>
    <hyperlink r:id="rId3597" ref="A1801"/>
    <hyperlink r:id="rId3598" ref="I1801"/>
    <hyperlink r:id="rId3599" ref="A1802"/>
    <hyperlink r:id="rId3600" ref="I1802"/>
    <hyperlink r:id="rId3601" ref="A1803"/>
    <hyperlink r:id="rId3602" ref="I1803"/>
    <hyperlink r:id="rId3603" ref="A1804"/>
    <hyperlink r:id="rId3604" ref="I1804"/>
    <hyperlink r:id="rId3605" ref="A1805"/>
    <hyperlink r:id="rId3606" ref="I1805"/>
    <hyperlink r:id="rId3607" ref="A1806"/>
    <hyperlink r:id="rId3608" ref="I1806"/>
    <hyperlink r:id="rId3609" ref="A1807"/>
    <hyperlink r:id="rId3610" ref="I1807"/>
    <hyperlink r:id="rId3611" ref="A1808"/>
    <hyperlink r:id="rId3612" ref="I1808"/>
    <hyperlink r:id="rId3613" ref="A1809"/>
    <hyperlink r:id="rId3614" ref="I1809"/>
    <hyperlink r:id="rId3615" ref="A1810"/>
    <hyperlink r:id="rId3616" ref="I1810"/>
    <hyperlink r:id="rId3617" ref="A1811"/>
    <hyperlink r:id="rId3618" ref="I1811"/>
    <hyperlink r:id="rId3619" ref="A1812"/>
    <hyperlink r:id="rId3620" ref="I1812"/>
    <hyperlink r:id="rId3621" ref="A1813"/>
    <hyperlink r:id="rId3622" ref="I1813"/>
    <hyperlink r:id="rId3623" ref="A1814"/>
    <hyperlink r:id="rId3624" ref="I1814"/>
    <hyperlink r:id="rId3625" ref="A1815"/>
    <hyperlink r:id="rId3626" ref="I1815"/>
    <hyperlink r:id="rId3627" ref="A1816"/>
    <hyperlink r:id="rId3628" ref="I1816"/>
    <hyperlink r:id="rId3629" ref="A1817"/>
    <hyperlink r:id="rId3630" ref="I1817"/>
    <hyperlink r:id="rId3631" ref="A1818"/>
    <hyperlink r:id="rId3632" ref="I1818"/>
    <hyperlink r:id="rId3633" ref="A1819"/>
    <hyperlink r:id="rId3634" ref="I1819"/>
    <hyperlink r:id="rId3635" ref="A1820"/>
    <hyperlink r:id="rId3636" ref="I1820"/>
    <hyperlink r:id="rId3637" ref="A1821"/>
    <hyperlink r:id="rId3638" ref="I1821"/>
    <hyperlink r:id="rId3639" ref="A1822"/>
    <hyperlink r:id="rId3640" ref="I1822"/>
    <hyperlink r:id="rId3641" ref="A1823"/>
    <hyperlink r:id="rId3642" ref="I1823"/>
    <hyperlink r:id="rId3643" ref="A1824"/>
    <hyperlink r:id="rId3644" ref="I1824"/>
    <hyperlink r:id="rId3645" ref="A1825"/>
    <hyperlink r:id="rId3646" ref="I1825"/>
    <hyperlink r:id="rId3647" ref="A1826"/>
    <hyperlink r:id="rId3648" ref="I1826"/>
    <hyperlink r:id="rId3649" ref="A1827"/>
    <hyperlink r:id="rId3650" ref="I1827"/>
    <hyperlink r:id="rId3651" ref="A1828"/>
    <hyperlink r:id="rId3652" ref="I1828"/>
    <hyperlink r:id="rId3653" ref="A1829"/>
    <hyperlink r:id="rId3654" ref="I1829"/>
    <hyperlink r:id="rId3655" ref="A1830"/>
    <hyperlink r:id="rId3656" ref="I1830"/>
    <hyperlink r:id="rId3657" ref="A1831"/>
    <hyperlink r:id="rId3658" ref="I1831"/>
    <hyperlink r:id="rId3659" ref="A1832"/>
    <hyperlink r:id="rId3660" ref="I1832"/>
    <hyperlink r:id="rId3661" ref="A1833"/>
    <hyperlink r:id="rId3662" ref="I1833"/>
    <hyperlink r:id="rId3663" ref="A1834"/>
    <hyperlink r:id="rId3664" ref="I1834"/>
    <hyperlink r:id="rId3665" ref="A1835"/>
    <hyperlink r:id="rId3666" ref="I1835"/>
    <hyperlink r:id="rId3667" ref="A1836"/>
    <hyperlink r:id="rId3668" ref="I1836"/>
    <hyperlink r:id="rId3669" ref="A1837"/>
    <hyperlink r:id="rId3670" ref="I1837"/>
    <hyperlink r:id="rId3671" ref="A1838"/>
    <hyperlink r:id="rId3672" ref="I1838"/>
    <hyperlink r:id="rId3673" ref="A1839"/>
    <hyperlink r:id="rId3674" ref="I1839"/>
    <hyperlink r:id="rId3675" ref="A1840"/>
    <hyperlink r:id="rId3676" ref="I1840"/>
    <hyperlink r:id="rId3677" ref="A1841"/>
    <hyperlink r:id="rId3678" ref="I1841"/>
    <hyperlink r:id="rId3679" ref="A1842"/>
    <hyperlink r:id="rId3680" ref="I1842"/>
    <hyperlink r:id="rId3681" ref="A1843"/>
    <hyperlink r:id="rId3682" ref="I1843"/>
    <hyperlink r:id="rId3683" ref="A1844"/>
    <hyperlink r:id="rId3684" ref="I1844"/>
    <hyperlink r:id="rId3685" ref="A1845"/>
    <hyperlink r:id="rId3686" ref="I1845"/>
    <hyperlink r:id="rId3687" ref="A1846"/>
    <hyperlink r:id="rId3688" ref="I1846"/>
    <hyperlink r:id="rId3689" ref="A1847"/>
    <hyperlink r:id="rId3690" ref="I1847"/>
    <hyperlink r:id="rId3691" ref="A1848"/>
    <hyperlink r:id="rId3692" ref="I1848"/>
    <hyperlink r:id="rId3693" ref="A1849"/>
    <hyperlink r:id="rId3694" ref="I1849"/>
    <hyperlink r:id="rId3695" ref="A1850"/>
    <hyperlink r:id="rId3696" ref="I1850"/>
    <hyperlink r:id="rId3697" ref="A1851"/>
    <hyperlink r:id="rId3698" ref="I1851"/>
    <hyperlink r:id="rId3699" ref="A1852"/>
    <hyperlink r:id="rId3700" ref="I1852"/>
    <hyperlink r:id="rId3701" ref="A1853"/>
    <hyperlink r:id="rId3702" ref="I1853"/>
    <hyperlink r:id="rId3703" ref="A1854"/>
    <hyperlink r:id="rId3704" ref="I1854"/>
    <hyperlink r:id="rId3705" ref="A1855"/>
    <hyperlink r:id="rId3706" ref="I1855"/>
    <hyperlink r:id="rId3707" ref="A1856"/>
    <hyperlink r:id="rId3708" ref="I1856"/>
    <hyperlink r:id="rId3709" ref="A1857"/>
    <hyperlink r:id="rId3710" ref="I1857"/>
    <hyperlink r:id="rId3711" ref="A1858"/>
    <hyperlink r:id="rId3712" ref="I1858"/>
    <hyperlink r:id="rId3713" ref="A1859"/>
    <hyperlink r:id="rId3714" ref="I1859"/>
    <hyperlink r:id="rId3715" ref="A1860"/>
    <hyperlink r:id="rId3716" ref="I1860"/>
    <hyperlink r:id="rId3717" ref="A1861"/>
    <hyperlink r:id="rId3718" ref="I1861"/>
    <hyperlink r:id="rId3719" ref="A1862"/>
    <hyperlink r:id="rId3720" ref="I1862"/>
    <hyperlink r:id="rId3721" ref="A1863"/>
    <hyperlink r:id="rId3722" ref="I1863"/>
    <hyperlink r:id="rId3723" ref="A1864"/>
    <hyperlink r:id="rId3724" ref="I1864"/>
    <hyperlink r:id="rId3725" ref="A1865"/>
    <hyperlink r:id="rId3726" ref="I1865"/>
    <hyperlink r:id="rId3727" ref="A1866"/>
    <hyperlink r:id="rId3728" ref="I1866"/>
    <hyperlink r:id="rId3729" ref="A1867"/>
    <hyperlink r:id="rId3730" ref="I1867"/>
    <hyperlink r:id="rId3731" ref="A1868"/>
    <hyperlink r:id="rId3732" ref="I1868"/>
    <hyperlink r:id="rId3733" ref="A1869"/>
    <hyperlink r:id="rId3734" ref="I1869"/>
    <hyperlink r:id="rId3735" ref="A1870"/>
    <hyperlink r:id="rId3736" ref="I1870"/>
    <hyperlink r:id="rId3737" ref="A1871"/>
    <hyperlink r:id="rId3738" ref="I1871"/>
    <hyperlink r:id="rId3739" ref="A1872"/>
    <hyperlink r:id="rId3740" ref="I1872"/>
    <hyperlink r:id="rId3741" ref="A1873"/>
    <hyperlink r:id="rId3742" ref="I1873"/>
    <hyperlink r:id="rId3743" ref="A1874"/>
    <hyperlink r:id="rId3744" ref="I1874"/>
    <hyperlink r:id="rId3745" ref="A1875"/>
    <hyperlink r:id="rId3746" ref="I1875"/>
    <hyperlink r:id="rId3747" ref="A1876"/>
    <hyperlink r:id="rId3748" ref="I1876"/>
    <hyperlink r:id="rId3749" ref="A1877"/>
    <hyperlink r:id="rId3750" ref="I1877"/>
    <hyperlink r:id="rId3751" ref="A1878"/>
    <hyperlink r:id="rId3752" ref="I1878"/>
    <hyperlink r:id="rId3753" ref="A1879"/>
    <hyperlink r:id="rId3754" ref="I1879"/>
    <hyperlink r:id="rId3755" ref="A1880"/>
    <hyperlink r:id="rId3756" ref="I1880"/>
    <hyperlink r:id="rId3757" ref="A1881"/>
    <hyperlink r:id="rId3758" ref="I1881"/>
    <hyperlink r:id="rId3759" ref="A1882"/>
    <hyperlink r:id="rId3760" ref="I1882"/>
    <hyperlink r:id="rId3761" ref="A1883"/>
    <hyperlink r:id="rId3762" ref="I1883"/>
    <hyperlink r:id="rId3763" ref="A1884"/>
    <hyperlink r:id="rId3764" ref="I1884"/>
    <hyperlink r:id="rId3765" ref="A1885"/>
    <hyperlink r:id="rId3766" ref="I1885"/>
    <hyperlink r:id="rId3767" ref="A1886"/>
    <hyperlink r:id="rId3768" ref="I1886"/>
    <hyperlink r:id="rId3769" ref="A1887"/>
    <hyperlink r:id="rId3770" ref="I1887"/>
    <hyperlink r:id="rId3771" ref="A1888"/>
    <hyperlink r:id="rId3772" ref="I1888"/>
    <hyperlink r:id="rId3773" ref="A1889"/>
    <hyperlink r:id="rId3774" ref="I1889"/>
    <hyperlink r:id="rId3775" ref="A1890"/>
    <hyperlink r:id="rId3776" ref="I1890"/>
    <hyperlink r:id="rId3777" ref="A1891"/>
    <hyperlink r:id="rId3778" ref="I1891"/>
    <hyperlink r:id="rId3779" ref="A1892"/>
    <hyperlink r:id="rId3780" ref="I1892"/>
    <hyperlink r:id="rId3781" ref="A1893"/>
    <hyperlink r:id="rId3782" ref="I1893"/>
    <hyperlink r:id="rId3783" ref="A1894"/>
    <hyperlink r:id="rId3784" ref="I1894"/>
    <hyperlink r:id="rId3785" ref="A1895"/>
    <hyperlink r:id="rId3786" ref="I1895"/>
    <hyperlink r:id="rId3787" ref="A1896"/>
    <hyperlink r:id="rId3788" ref="I1896"/>
    <hyperlink r:id="rId3789" ref="A1897"/>
    <hyperlink r:id="rId3790" ref="I1897"/>
    <hyperlink r:id="rId3791" ref="A1898"/>
    <hyperlink r:id="rId3792" ref="I1898"/>
    <hyperlink r:id="rId3793" ref="A1899"/>
    <hyperlink r:id="rId3794" ref="I1899"/>
    <hyperlink r:id="rId3795" ref="A1900"/>
    <hyperlink r:id="rId3796" ref="I1900"/>
    <hyperlink r:id="rId3797" ref="A1901"/>
    <hyperlink r:id="rId3798" ref="I1901"/>
    <hyperlink r:id="rId3799" ref="A1902"/>
    <hyperlink r:id="rId3800" ref="I1902"/>
    <hyperlink r:id="rId3801" ref="A1903"/>
    <hyperlink r:id="rId3802" ref="I1903"/>
    <hyperlink r:id="rId3803" ref="A1904"/>
    <hyperlink r:id="rId3804" ref="I1904"/>
    <hyperlink r:id="rId3805" ref="A1905"/>
    <hyperlink r:id="rId3806" ref="I1905"/>
    <hyperlink r:id="rId3807" ref="A1906"/>
    <hyperlink r:id="rId3808" ref="I1906"/>
    <hyperlink r:id="rId3809" ref="A1907"/>
    <hyperlink r:id="rId3810" ref="I1907"/>
    <hyperlink r:id="rId3811" ref="A1908"/>
    <hyperlink r:id="rId3812" ref="I1908"/>
    <hyperlink r:id="rId3813" ref="A1909"/>
    <hyperlink r:id="rId3814" ref="I1909"/>
    <hyperlink r:id="rId3815" ref="A1910"/>
    <hyperlink r:id="rId3816" ref="I1910"/>
    <hyperlink r:id="rId3817" ref="A1911"/>
    <hyperlink r:id="rId3818" ref="I1911"/>
    <hyperlink r:id="rId3819" ref="A1912"/>
    <hyperlink r:id="rId3820" ref="I1912"/>
    <hyperlink r:id="rId3821" ref="A1913"/>
    <hyperlink r:id="rId3822" ref="I1913"/>
    <hyperlink r:id="rId3823" ref="A1914"/>
    <hyperlink r:id="rId3824" ref="I1914"/>
    <hyperlink r:id="rId3825" ref="A1915"/>
    <hyperlink r:id="rId3826" ref="I1915"/>
    <hyperlink r:id="rId3827" ref="A1916"/>
    <hyperlink r:id="rId3828" ref="I1916"/>
    <hyperlink r:id="rId3829" ref="A1917"/>
    <hyperlink r:id="rId3830" ref="I1917"/>
    <hyperlink r:id="rId3831" ref="A1918"/>
    <hyperlink r:id="rId3832" ref="I1918"/>
    <hyperlink r:id="rId3833" ref="A1919"/>
    <hyperlink r:id="rId3834" ref="I1919"/>
    <hyperlink r:id="rId3835" ref="A1920"/>
    <hyperlink r:id="rId3836" ref="I1920"/>
    <hyperlink r:id="rId3837" ref="A1921"/>
    <hyperlink r:id="rId3838" ref="I1921"/>
    <hyperlink r:id="rId3839" ref="A1922"/>
    <hyperlink r:id="rId3840" ref="I1922"/>
    <hyperlink r:id="rId3841" ref="A1923"/>
    <hyperlink r:id="rId3842" ref="I1923"/>
    <hyperlink r:id="rId3843" ref="A1924"/>
    <hyperlink r:id="rId3844" ref="I1924"/>
    <hyperlink r:id="rId3845" ref="A1925"/>
    <hyperlink r:id="rId3846" ref="I1925"/>
    <hyperlink r:id="rId3847" ref="A1926"/>
    <hyperlink r:id="rId3848" ref="I1926"/>
    <hyperlink r:id="rId3849" ref="A1927"/>
    <hyperlink r:id="rId3850" ref="I1927"/>
    <hyperlink r:id="rId3851" ref="A1928"/>
    <hyperlink r:id="rId3852" ref="I1928"/>
    <hyperlink r:id="rId3853" ref="A1929"/>
    <hyperlink r:id="rId3854" ref="I1929"/>
    <hyperlink r:id="rId3855" ref="A1930"/>
    <hyperlink r:id="rId3856" ref="I1930"/>
    <hyperlink r:id="rId3857" ref="A1931"/>
    <hyperlink r:id="rId3858" ref="I1931"/>
    <hyperlink r:id="rId3859" ref="A1932"/>
    <hyperlink r:id="rId3860" ref="I1932"/>
    <hyperlink r:id="rId3861" ref="A1933"/>
    <hyperlink r:id="rId3862" ref="I1933"/>
    <hyperlink r:id="rId3863" ref="A1934"/>
    <hyperlink r:id="rId3864" ref="I1934"/>
    <hyperlink r:id="rId3865" ref="A1935"/>
    <hyperlink r:id="rId3866" ref="I1935"/>
    <hyperlink r:id="rId3867" ref="A1936"/>
    <hyperlink r:id="rId3868" ref="I1936"/>
    <hyperlink r:id="rId3869" ref="A1937"/>
    <hyperlink r:id="rId3870" ref="I1937"/>
    <hyperlink r:id="rId3871" ref="A1938"/>
    <hyperlink r:id="rId3872" ref="I1938"/>
    <hyperlink r:id="rId3873" ref="A1939"/>
    <hyperlink r:id="rId3874" ref="I1939"/>
    <hyperlink r:id="rId3875" ref="A1940"/>
    <hyperlink r:id="rId3876" ref="I1940"/>
    <hyperlink r:id="rId3877" ref="A1941"/>
    <hyperlink r:id="rId3878" ref="I1941"/>
    <hyperlink r:id="rId3879" ref="A1942"/>
    <hyperlink r:id="rId3880" ref="I1942"/>
    <hyperlink r:id="rId3881" ref="A1943"/>
    <hyperlink r:id="rId3882" ref="I1943"/>
    <hyperlink r:id="rId3883" ref="A1944"/>
    <hyperlink r:id="rId3884" ref="I1944"/>
    <hyperlink r:id="rId3885" ref="A1945"/>
    <hyperlink r:id="rId3886" ref="I1945"/>
    <hyperlink r:id="rId3887" ref="A1946"/>
    <hyperlink r:id="rId3888" ref="I1946"/>
    <hyperlink r:id="rId3889" ref="A1947"/>
    <hyperlink r:id="rId3890" ref="I1947"/>
    <hyperlink r:id="rId3891" ref="A1948"/>
    <hyperlink r:id="rId3892" ref="I1948"/>
    <hyperlink r:id="rId3893" ref="A1949"/>
    <hyperlink r:id="rId3894" ref="I1949"/>
    <hyperlink r:id="rId3895" ref="A1950"/>
    <hyperlink r:id="rId3896" ref="I1950"/>
    <hyperlink r:id="rId3897" ref="A1951"/>
    <hyperlink r:id="rId3898" ref="I1951"/>
    <hyperlink r:id="rId3899" ref="A1952"/>
    <hyperlink r:id="rId3900" ref="I1952"/>
    <hyperlink r:id="rId3901" ref="A1953"/>
    <hyperlink r:id="rId3902" ref="I1953"/>
    <hyperlink r:id="rId3903" ref="A1954"/>
    <hyperlink r:id="rId3904" ref="I1954"/>
    <hyperlink r:id="rId3905" ref="A1955"/>
    <hyperlink r:id="rId3906" ref="I1955"/>
    <hyperlink r:id="rId3907" ref="A1956"/>
    <hyperlink r:id="rId3908" ref="I1956"/>
    <hyperlink r:id="rId3909" ref="A1957"/>
    <hyperlink r:id="rId3910" ref="I1957"/>
    <hyperlink r:id="rId3911" ref="A1958"/>
    <hyperlink r:id="rId3912" ref="I1958"/>
    <hyperlink r:id="rId3913" ref="A1959"/>
    <hyperlink r:id="rId3914" ref="I1959"/>
    <hyperlink r:id="rId3915" ref="A1960"/>
    <hyperlink r:id="rId3916" ref="I1960"/>
    <hyperlink r:id="rId3917" ref="A1961"/>
    <hyperlink r:id="rId3918" ref="I1961"/>
    <hyperlink r:id="rId3919" ref="A1962"/>
    <hyperlink r:id="rId3920" ref="I1962"/>
    <hyperlink r:id="rId3921" ref="A1963"/>
    <hyperlink r:id="rId3922" ref="I1963"/>
    <hyperlink r:id="rId3923" ref="A1964"/>
    <hyperlink r:id="rId3924" ref="I1964"/>
    <hyperlink r:id="rId3925" ref="A1965"/>
    <hyperlink r:id="rId3926" ref="I1965"/>
    <hyperlink r:id="rId3927" ref="A1966"/>
    <hyperlink r:id="rId3928" ref="I1966"/>
    <hyperlink r:id="rId3929" ref="A1967"/>
    <hyperlink r:id="rId3930" ref="I1967"/>
    <hyperlink r:id="rId3931" ref="A1968"/>
    <hyperlink r:id="rId3932" ref="I1968"/>
    <hyperlink r:id="rId3933" ref="A1969"/>
    <hyperlink r:id="rId3934" ref="I1969"/>
    <hyperlink r:id="rId3935" ref="A1970"/>
    <hyperlink r:id="rId3936" ref="I1970"/>
    <hyperlink r:id="rId3937" ref="A1971"/>
    <hyperlink r:id="rId3938" ref="I1971"/>
    <hyperlink r:id="rId3939" ref="A1972"/>
    <hyperlink r:id="rId3940" ref="I1972"/>
    <hyperlink r:id="rId3941" ref="A1973"/>
    <hyperlink r:id="rId3942" ref="I1973"/>
    <hyperlink r:id="rId3943" ref="A1974"/>
    <hyperlink r:id="rId3944" ref="I1974"/>
    <hyperlink r:id="rId3945" ref="A1975"/>
    <hyperlink r:id="rId3946" ref="I1975"/>
    <hyperlink r:id="rId3947" ref="A1976"/>
    <hyperlink r:id="rId3948" ref="I1976"/>
    <hyperlink r:id="rId3949" ref="A1977"/>
    <hyperlink r:id="rId3950" ref="I1977"/>
    <hyperlink r:id="rId3951" ref="A1978"/>
    <hyperlink r:id="rId3952" ref="I1978"/>
    <hyperlink r:id="rId3953" ref="A1979"/>
    <hyperlink r:id="rId3954" ref="I1979"/>
    <hyperlink r:id="rId3955" ref="A1980"/>
    <hyperlink r:id="rId3956" ref="I1980"/>
    <hyperlink r:id="rId3957" ref="A1981"/>
    <hyperlink r:id="rId3958" ref="I1981"/>
    <hyperlink r:id="rId3959" ref="A1982"/>
    <hyperlink r:id="rId3960" ref="I1982"/>
    <hyperlink r:id="rId3961" ref="A1983"/>
    <hyperlink r:id="rId3962" ref="I1983"/>
    <hyperlink r:id="rId3963" ref="A1984"/>
    <hyperlink r:id="rId3964" ref="I1984"/>
    <hyperlink r:id="rId3965" ref="A1985"/>
    <hyperlink r:id="rId3966" ref="I1985"/>
    <hyperlink r:id="rId3967" ref="A1986"/>
    <hyperlink r:id="rId3968" ref="I1986"/>
    <hyperlink r:id="rId3969" ref="A1987"/>
    <hyperlink r:id="rId3970" ref="I1987"/>
    <hyperlink r:id="rId3971" ref="A1988"/>
    <hyperlink r:id="rId3972" ref="I1988"/>
    <hyperlink r:id="rId3973" ref="A1989"/>
    <hyperlink r:id="rId3974" ref="I1989"/>
    <hyperlink r:id="rId3975" ref="A1990"/>
    <hyperlink r:id="rId3976" ref="I1990"/>
    <hyperlink r:id="rId3977" ref="A1991"/>
    <hyperlink r:id="rId3978" ref="I1991"/>
    <hyperlink r:id="rId3979" ref="A1992"/>
    <hyperlink r:id="rId3980" ref="I1992"/>
    <hyperlink r:id="rId3981" ref="A1993"/>
    <hyperlink r:id="rId3982" ref="I1993"/>
    <hyperlink r:id="rId3983" ref="A1994"/>
    <hyperlink r:id="rId3984" ref="I1994"/>
    <hyperlink r:id="rId3985" ref="A1995"/>
    <hyperlink r:id="rId3986" ref="I1995"/>
    <hyperlink r:id="rId3987" ref="A1996"/>
    <hyperlink r:id="rId3988" ref="I1996"/>
    <hyperlink r:id="rId3989" ref="A1997"/>
    <hyperlink r:id="rId3990" ref="I1997"/>
    <hyperlink r:id="rId3991" ref="A1998"/>
    <hyperlink r:id="rId3992" ref="I1998"/>
    <hyperlink r:id="rId3993" ref="A1999"/>
    <hyperlink r:id="rId3994" ref="I1999"/>
    <hyperlink r:id="rId3995" ref="A2000"/>
    <hyperlink r:id="rId3996" ref="I2000"/>
    <hyperlink r:id="rId3997" ref="A2001"/>
    <hyperlink r:id="rId3998" ref="I2001"/>
    <hyperlink r:id="rId3999" ref="A2002"/>
    <hyperlink r:id="rId4000" ref="I2002"/>
    <hyperlink r:id="rId4001" ref="A2003"/>
    <hyperlink r:id="rId4002" ref="I2003"/>
    <hyperlink r:id="rId4003" ref="A2004"/>
    <hyperlink r:id="rId4004" ref="I2004"/>
    <hyperlink r:id="rId4005" ref="A2005"/>
    <hyperlink r:id="rId4006" ref="I2005"/>
    <hyperlink r:id="rId4007" ref="A2006"/>
    <hyperlink r:id="rId4008" ref="I2006"/>
    <hyperlink r:id="rId4009" ref="A2007"/>
    <hyperlink r:id="rId4010" ref="I2007"/>
    <hyperlink r:id="rId4011" ref="A2008"/>
    <hyperlink r:id="rId4012" ref="I2008"/>
    <hyperlink r:id="rId4013" ref="A2009"/>
    <hyperlink r:id="rId4014" ref="I2009"/>
    <hyperlink r:id="rId4015" ref="A2010"/>
    <hyperlink r:id="rId4016" ref="I2010"/>
    <hyperlink r:id="rId4017" ref="A2011"/>
    <hyperlink r:id="rId4018" ref="I2011"/>
    <hyperlink r:id="rId4019" ref="A2012"/>
    <hyperlink r:id="rId4020" ref="I2012"/>
    <hyperlink r:id="rId4021" ref="A2013"/>
    <hyperlink r:id="rId4022" ref="I2013"/>
    <hyperlink r:id="rId4023" ref="A2014"/>
    <hyperlink r:id="rId4024" ref="I2014"/>
    <hyperlink r:id="rId4025" ref="A2015"/>
    <hyperlink r:id="rId4026" ref="I2015"/>
    <hyperlink r:id="rId4027" ref="A2016"/>
    <hyperlink r:id="rId4028" ref="I2016"/>
    <hyperlink r:id="rId4029" ref="A2017"/>
    <hyperlink r:id="rId4030" ref="I2017"/>
    <hyperlink r:id="rId4031" ref="A2018"/>
    <hyperlink r:id="rId4032" ref="I2018"/>
    <hyperlink r:id="rId4033" ref="A2019"/>
    <hyperlink r:id="rId4034" ref="I2019"/>
    <hyperlink r:id="rId4035" ref="A2020"/>
    <hyperlink r:id="rId4036" ref="I2020"/>
    <hyperlink r:id="rId4037" ref="A2021"/>
    <hyperlink r:id="rId4038" ref="I2021"/>
    <hyperlink r:id="rId4039" ref="A2022"/>
    <hyperlink r:id="rId4040" ref="I2022"/>
    <hyperlink r:id="rId4041" ref="A2023"/>
    <hyperlink r:id="rId4042" ref="I2023"/>
    <hyperlink r:id="rId4043" ref="A2024"/>
    <hyperlink r:id="rId4044" ref="I2024"/>
    <hyperlink r:id="rId4045" ref="A2025"/>
    <hyperlink r:id="rId4046" ref="I2025"/>
    <hyperlink r:id="rId4047" ref="A2026"/>
    <hyperlink r:id="rId4048" ref="I2026"/>
    <hyperlink r:id="rId4049" ref="A2027"/>
    <hyperlink r:id="rId4050" ref="I2027"/>
    <hyperlink r:id="rId4051" ref="A2028"/>
    <hyperlink r:id="rId4052" ref="I2028"/>
    <hyperlink r:id="rId4053" ref="A2029"/>
    <hyperlink r:id="rId4054" ref="I2029"/>
    <hyperlink r:id="rId4055" ref="A2030"/>
    <hyperlink r:id="rId4056" ref="I2030"/>
    <hyperlink r:id="rId4057" ref="A2031"/>
    <hyperlink r:id="rId4058" ref="I2031"/>
    <hyperlink r:id="rId4059" ref="A2032"/>
    <hyperlink r:id="rId4060" ref="I2032"/>
    <hyperlink r:id="rId4061" ref="A2033"/>
    <hyperlink r:id="rId4062" ref="I2033"/>
    <hyperlink r:id="rId4063" ref="A2034"/>
    <hyperlink r:id="rId4064" ref="I2034"/>
    <hyperlink r:id="rId4065" ref="A2035"/>
    <hyperlink r:id="rId4066" ref="I2035"/>
    <hyperlink r:id="rId4067" ref="A2036"/>
    <hyperlink r:id="rId4068" ref="I2036"/>
    <hyperlink r:id="rId4069" ref="A2037"/>
    <hyperlink r:id="rId4070" ref="I2037"/>
    <hyperlink r:id="rId4071" ref="A2038"/>
    <hyperlink r:id="rId4072" ref="I2038"/>
    <hyperlink r:id="rId4073" ref="A2039"/>
    <hyperlink r:id="rId4074" ref="I2039"/>
    <hyperlink r:id="rId4075" ref="A2040"/>
    <hyperlink r:id="rId4076" ref="I2040"/>
    <hyperlink r:id="rId4077" ref="A2041"/>
    <hyperlink r:id="rId4078" ref="I2041"/>
    <hyperlink r:id="rId4079" ref="A2042"/>
    <hyperlink r:id="rId4080" ref="I2042"/>
    <hyperlink r:id="rId4081" ref="A2043"/>
    <hyperlink r:id="rId4082" ref="I2043"/>
    <hyperlink r:id="rId4083" ref="A2044"/>
    <hyperlink r:id="rId4084" ref="I2044"/>
    <hyperlink r:id="rId4085" ref="A2045"/>
    <hyperlink r:id="rId4086" ref="I2045"/>
    <hyperlink r:id="rId4087" ref="A2046"/>
    <hyperlink r:id="rId4088" ref="I2046"/>
    <hyperlink r:id="rId4089" ref="A2047"/>
    <hyperlink r:id="rId4090" ref="I2047"/>
    <hyperlink r:id="rId4091" ref="A2048"/>
    <hyperlink r:id="rId4092" ref="I2048"/>
    <hyperlink r:id="rId4093" ref="A2049"/>
    <hyperlink r:id="rId4094" ref="I2049"/>
    <hyperlink r:id="rId4095" ref="A2050"/>
    <hyperlink r:id="rId4096" ref="I2050"/>
    <hyperlink r:id="rId4097" ref="A2051"/>
    <hyperlink r:id="rId4098" ref="I2051"/>
    <hyperlink r:id="rId4099" ref="A2052"/>
    <hyperlink r:id="rId4100" ref="I2052"/>
    <hyperlink r:id="rId4101" ref="A2053"/>
    <hyperlink r:id="rId4102" ref="I2053"/>
    <hyperlink r:id="rId4103" ref="A2054"/>
    <hyperlink r:id="rId4104" ref="I2054"/>
    <hyperlink r:id="rId4105" ref="A2055"/>
    <hyperlink r:id="rId4106" ref="I2055"/>
    <hyperlink r:id="rId4107" ref="A2056"/>
    <hyperlink r:id="rId4108" ref="I2056"/>
    <hyperlink r:id="rId4109" ref="A2057"/>
    <hyperlink r:id="rId4110" ref="I2057"/>
    <hyperlink r:id="rId4111" ref="A2058"/>
    <hyperlink r:id="rId4112" ref="I2058"/>
    <hyperlink r:id="rId4113" ref="A2059"/>
    <hyperlink r:id="rId4114" ref="I2059"/>
    <hyperlink r:id="rId4115" ref="A2060"/>
    <hyperlink r:id="rId4116" ref="I2060"/>
    <hyperlink r:id="rId4117" ref="A2061"/>
    <hyperlink r:id="rId4118" ref="I2061"/>
    <hyperlink r:id="rId4119" ref="A2062"/>
    <hyperlink r:id="rId4120" ref="I2062"/>
    <hyperlink r:id="rId4121" ref="A2063"/>
    <hyperlink r:id="rId4122" ref="I2063"/>
    <hyperlink r:id="rId4123" ref="A2064"/>
    <hyperlink r:id="rId4124" ref="I2064"/>
    <hyperlink r:id="rId4125" ref="A2065"/>
    <hyperlink r:id="rId4126" ref="I2065"/>
    <hyperlink r:id="rId4127" ref="A2066"/>
    <hyperlink r:id="rId4128" ref="I2066"/>
    <hyperlink r:id="rId4129" ref="A2067"/>
    <hyperlink r:id="rId4130" ref="I2067"/>
    <hyperlink r:id="rId4131" ref="A2068"/>
    <hyperlink r:id="rId4132" ref="I2068"/>
    <hyperlink r:id="rId4133" ref="A2069"/>
    <hyperlink r:id="rId4134" ref="I2069"/>
    <hyperlink r:id="rId4135" ref="A2070"/>
    <hyperlink r:id="rId4136" ref="I2070"/>
    <hyperlink r:id="rId4137" ref="A2071"/>
    <hyperlink r:id="rId4138" ref="I2071"/>
    <hyperlink r:id="rId4139" ref="A2072"/>
    <hyperlink r:id="rId4140" ref="I2072"/>
    <hyperlink r:id="rId4141" ref="A2073"/>
    <hyperlink r:id="rId4142" ref="I2073"/>
    <hyperlink r:id="rId4143" ref="A2074"/>
    <hyperlink r:id="rId4144" ref="I2074"/>
    <hyperlink r:id="rId4145" ref="A2075"/>
    <hyperlink r:id="rId4146" ref="I2075"/>
    <hyperlink r:id="rId4147" ref="A2076"/>
    <hyperlink r:id="rId4148" ref="I2076"/>
    <hyperlink r:id="rId4149" ref="A2077"/>
    <hyperlink r:id="rId4150" ref="I2077"/>
    <hyperlink r:id="rId4151" ref="A2078"/>
    <hyperlink r:id="rId4152" ref="I2078"/>
    <hyperlink r:id="rId4153" ref="A2079"/>
    <hyperlink r:id="rId4154" ref="I2079"/>
    <hyperlink r:id="rId4155" ref="A2080"/>
    <hyperlink r:id="rId4156" ref="I2080"/>
    <hyperlink r:id="rId4157" ref="A2081"/>
    <hyperlink r:id="rId4158" ref="I2081"/>
    <hyperlink r:id="rId4159" ref="A2082"/>
    <hyperlink r:id="rId4160" ref="I2082"/>
    <hyperlink r:id="rId4161" ref="A2083"/>
    <hyperlink r:id="rId4162" ref="I2083"/>
    <hyperlink r:id="rId4163" ref="A2084"/>
    <hyperlink r:id="rId4164" ref="I2084"/>
    <hyperlink r:id="rId4165" ref="A2085"/>
    <hyperlink r:id="rId4166" ref="I2085"/>
    <hyperlink r:id="rId4167" ref="A2086"/>
    <hyperlink r:id="rId4168" ref="I2086"/>
    <hyperlink r:id="rId4169" ref="A2087"/>
    <hyperlink r:id="rId4170" ref="I2087"/>
    <hyperlink r:id="rId4171" ref="A2088"/>
    <hyperlink r:id="rId4172" ref="I2088"/>
    <hyperlink r:id="rId4173" ref="A2089"/>
    <hyperlink r:id="rId4174" ref="I2089"/>
    <hyperlink r:id="rId4175" ref="A2090"/>
    <hyperlink r:id="rId4176" ref="I2090"/>
    <hyperlink r:id="rId4177" ref="A2091"/>
    <hyperlink r:id="rId4178" ref="I2091"/>
    <hyperlink r:id="rId4179" ref="A2092"/>
    <hyperlink r:id="rId4180" ref="I2092"/>
    <hyperlink r:id="rId4181" ref="A2093"/>
    <hyperlink r:id="rId4182" ref="I2093"/>
    <hyperlink r:id="rId4183" ref="A2094"/>
    <hyperlink r:id="rId4184" ref="I2094"/>
    <hyperlink r:id="rId4185" ref="A2095"/>
    <hyperlink r:id="rId4186" ref="I2095"/>
    <hyperlink r:id="rId4187" ref="A2096"/>
    <hyperlink r:id="rId4188" ref="I2096"/>
    <hyperlink r:id="rId4189" ref="A2097"/>
    <hyperlink r:id="rId4190" ref="I2097"/>
    <hyperlink r:id="rId4191" ref="A2098"/>
    <hyperlink r:id="rId4192" ref="I2098"/>
    <hyperlink r:id="rId4193" ref="A2099"/>
    <hyperlink r:id="rId4194" ref="I2099"/>
    <hyperlink r:id="rId4195" ref="A2100"/>
    <hyperlink r:id="rId4196" ref="I2100"/>
    <hyperlink r:id="rId4197" ref="A2101"/>
    <hyperlink r:id="rId4198" ref="I2101"/>
    <hyperlink r:id="rId4199" ref="A2102"/>
    <hyperlink r:id="rId4200" ref="I2102"/>
    <hyperlink r:id="rId4201" ref="A2103"/>
    <hyperlink r:id="rId4202" ref="I2103"/>
    <hyperlink r:id="rId4203" ref="A2104"/>
    <hyperlink r:id="rId4204" ref="I2104"/>
    <hyperlink r:id="rId4205" ref="A2105"/>
    <hyperlink r:id="rId4206" ref="I2105"/>
    <hyperlink r:id="rId4207" ref="A2106"/>
    <hyperlink r:id="rId4208" ref="I2106"/>
    <hyperlink r:id="rId4209" ref="A2107"/>
    <hyperlink r:id="rId4210" ref="I2107"/>
    <hyperlink r:id="rId4211" ref="A2108"/>
    <hyperlink r:id="rId4212" ref="I2108"/>
    <hyperlink r:id="rId4213" ref="A2109"/>
    <hyperlink r:id="rId4214" ref="I2109"/>
    <hyperlink r:id="rId4215" ref="A2110"/>
    <hyperlink r:id="rId4216" ref="I2110"/>
    <hyperlink r:id="rId4217" ref="A2111"/>
    <hyperlink r:id="rId4218" ref="I2111"/>
    <hyperlink r:id="rId4219" ref="A2112"/>
    <hyperlink r:id="rId4220" ref="I2112"/>
    <hyperlink r:id="rId4221" ref="A2113"/>
    <hyperlink r:id="rId4222" ref="I2113"/>
    <hyperlink r:id="rId4223" ref="A2114"/>
    <hyperlink r:id="rId4224" ref="I2114"/>
    <hyperlink r:id="rId4225" ref="A2115"/>
    <hyperlink r:id="rId4226" ref="I2115"/>
    <hyperlink r:id="rId4227" ref="A2116"/>
    <hyperlink r:id="rId4228" ref="I2116"/>
    <hyperlink r:id="rId4229" ref="A2117"/>
    <hyperlink r:id="rId4230" ref="I2117"/>
    <hyperlink r:id="rId4231" ref="A2118"/>
    <hyperlink r:id="rId4232" ref="E2118"/>
    <hyperlink r:id="rId4233" ref="I2118"/>
    <hyperlink r:id="rId4234" ref="A2119"/>
    <hyperlink r:id="rId4235" ref="I2119"/>
    <hyperlink r:id="rId4236" ref="A2120"/>
    <hyperlink r:id="rId4237" ref="I2120"/>
    <hyperlink r:id="rId4238" ref="A2121"/>
    <hyperlink r:id="rId4239" ref="I2121"/>
    <hyperlink r:id="rId4240" ref="A2122"/>
    <hyperlink r:id="rId4241" ref="I2122"/>
    <hyperlink r:id="rId4242" ref="A2123"/>
    <hyperlink r:id="rId4243" ref="I2123"/>
    <hyperlink r:id="rId4244" ref="A2124"/>
    <hyperlink r:id="rId4245" ref="I2124"/>
    <hyperlink r:id="rId4246" ref="A2125"/>
    <hyperlink r:id="rId4247" ref="I2125"/>
    <hyperlink r:id="rId4248" ref="A2126"/>
    <hyperlink r:id="rId4249" ref="I2126"/>
    <hyperlink r:id="rId4250" ref="A2127"/>
    <hyperlink r:id="rId4251" ref="I2127"/>
    <hyperlink r:id="rId4252" ref="A2128"/>
    <hyperlink r:id="rId4253" ref="I2128"/>
    <hyperlink r:id="rId4254" ref="A2129"/>
    <hyperlink r:id="rId4255" ref="I2129"/>
    <hyperlink r:id="rId4256" ref="A2130"/>
    <hyperlink r:id="rId4257" ref="I2130"/>
    <hyperlink r:id="rId4258" ref="A2131"/>
    <hyperlink r:id="rId4259" ref="I2131"/>
    <hyperlink r:id="rId4260" ref="A2132"/>
    <hyperlink r:id="rId4261" ref="I2132"/>
    <hyperlink r:id="rId4262" ref="A2133"/>
    <hyperlink r:id="rId4263" ref="I2133"/>
    <hyperlink r:id="rId4264" ref="A2134"/>
    <hyperlink r:id="rId4265" ref="I2134"/>
    <hyperlink r:id="rId4266" ref="A2135"/>
    <hyperlink r:id="rId4267" ref="I2135"/>
    <hyperlink r:id="rId4268" ref="A2136"/>
    <hyperlink r:id="rId4269" ref="I2136"/>
    <hyperlink r:id="rId4270" ref="A2137"/>
    <hyperlink r:id="rId4271" ref="I2137"/>
    <hyperlink r:id="rId4272" ref="A2138"/>
    <hyperlink r:id="rId4273" ref="I2138"/>
    <hyperlink r:id="rId4274" ref="A2139"/>
    <hyperlink r:id="rId4275" ref="I2139"/>
    <hyperlink r:id="rId4276" ref="A2140"/>
    <hyperlink r:id="rId4277" ref="I2140"/>
    <hyperlink r:id="rId4278" ref="A2141"/>
    <hyperlink r:id="rId4279" ref="I2141"/>
    <hyperlink r:id="rId4280" ref="A2142"/>
    <hyperlink r:id="rId4281" ref="I2142"/>
    <hyperlink r:id="rId4282" ref="A2143"/>
    <hyperlink r:id="rId4283" ref="I2143"/>
    <hyperlink r:id="rId4284" ref="A2144"/>
    <hyperlink r:id="rId4285" ref="I2144"/>
    <hyperlink r:id="rId4286" ref="A2145"/>
    <hyperlink r:id="rId4287" ref="I2145"/>
    <hyperlink r:id="rId4288" ref="A2146"/>
    <hyperlink r:id="rId4289" ref="I2146"/>
    <hyperlink r:id="rId4290" ref="A2147"/>
    <hyperlink r:id="rId4291" ref="I2147"/>
    <hyperlink r:id="rId4292" ref="A2148"/>
    <hyperlink r:id="rId4293" ref="I2148"/>
    <hyperlink r:id="rId4294" ref="A2149"/>
    <hyperlink r:id="rId4295" ref="I2149"/>
    <hyperlink r:id="rId4296" ref="A2150"/>
    <hyperlink r:id="rId4297" ref="I2150"/>
    <hyperlink r:id="rId4298" ref="A2151"/>
    <hyperlink r:id="rId4299" ref="I2151"/>
    <hyperlink r:id="rId4300" ref="A2152"/>
    <hyperlink r:id="rId4301" ref="I2152"/>
    <hyperlink r:id="rId4302" ref="A2153"/>
    <hyperlink r:id="rId4303" ref="I2153"/>
    <hyperlink r:id="rId4304" ref="A2154"/>
    <hyperlink r:id="rId4305" ref="I2154"/>
    <hyperlink r:id="rId4306" ref="A2155"/>
    <hyperlink r:id="rId4307" ref="I2155"/>
    <hyperlink r:id="rId4308" ref="A2156"/>
    <hyperlink r:id="rId4309" ref="I2156"/>
    <hyperlink r:id="rId4310" ref="A2157"/>
    <hyperlink r:id="rId4311" ref="I2157"/>
    <hyperlink r:id="rId4312" ref="A2158"/>
    <hyperlink r:id="rId4313" ref="I2158"/>
    <hyperlink r:id="rId4314" ref="A2159"/>
    <hyperlink r:id="rId4315" ref="I2159"/>
    <hyperlink r:id="rId4316" ref="A2160"/>
    <hyperlink r:id="rId4317" ref="I2160"/>
    <hyperlink r:id="rId4318" ref="A2161"/>
    <hyperlink r:id="rId4319" ref="I2161"/>
    <hyperlink r:id="rId4320" ref="A2162"/>
    <hyperlink r:id="rId4321" ref="I2162"/>
    <hyperlink r:id="rId4322" ref="A2163"/>
    <hyperlink r:id="rId4323" ref="I2163"/>
    <hyperlink r:id="rId4324" ref="A2164"/>
    <hyperlink r:id="rId4325" ref="I2164"/>
    <hyperlink r:id="rId4326" ref="A2165"/>
    <hyperlink r:id="rId4327" ref="I2165"/>
    <hyperlink r:id="rId4328" ref="A2166"/>
    <hyperlink r:id="rId4329" ref="I2166"/>
    <hyperlink r:id="rId4330" ref="A2167"/>
    <hyperlink r:id="rId4331" ref="I2167"/>
    <hyperlink r:id="rId4332" ref="A2168"/>
    <hyperlink r:id="rId4333" ref="I2168"/>
    <hyperlink r:id="rId4334" ref="A2169"/>
    <hyperlink r:id="rId4335" ref="I2169"/>
    <hyperlink r:id="rId4336" ref="A2170"/>
    <hyperlink r:id="rId4337" ref="I2170"/>
    <hyperlink r:id="rId4338" ref="A2171"/>
    <hyperlink r:id="rId4339" ref="I2171"/>
    <hyperlink r:id="rId4340" ref="A2172"/>
    <hyperlink r:id="rId4341" ref="I2172"/>
    <hyperlink r:id="rId4342" ref="A2173"/>
    <hyperlink r:id="rId4343" ref="I2173"/>
    <hyperlink r:id="rId4344" ref="A2174"/>
    <hyperlink r:id="rId4345" ref="I2174"/>
    <hyperlink r:id="rId4346" ref="A2175"/>
    <hyperlink r:id="rId4347" ref="I2175"/>
    <hyperlink r:id="rId4348" ref="A2176"/>
    <hyperlink r:id="rId4349" ref="I2176"/>
    <hyperlink r:id="rId4350" ref="A2177"/>
    <hyperlink r:id="rId4351" ref="I2177"/>
    <hyperlink r:id="rId4352" ref="A2178"/>
    <hyperlink r:id="rId4353" ref="I2178"/>
    <hyperlink r:id="rId4354" ref="A2179"/>
    <hyperlink r:id="rId4355" ref="I2179"/>
    <hyperlink r:id="rId4356" ref="A2180"/>
    <hyperlink r:id="rId4357" ref="I2180"/>
    <hyperlink r:id="rId4358" ref="A2181"/>
    <hyperlink r:id="rId4359" ref="I2181"/>
    <hyperlink r:id="rId4360" ref="A2182"/>
    <hyperlink r:id="rId4361" ref="I2182"/>
    <hyperlink r:id="rId4362" ref="A2183"/>
    <hyperlink r:id="rId4363" ref="I2183"/>
    <hyperlink r:id="rId4364" ref="A2184"/>
    <hyperlink r:id="rId4365" ref="I2184"/>
    <hyperlink r:id="rId4366" ref="A2185"/>
    <hyperlink r:id="rId4367" ref="I2185"/>
    <hyperlink r:id="rId4368" ref="A2186"/>
    <hyperlink r:id="rId4369" ref="I2186"/>
    <hyperlink r:id="rId4370" ref="A2187"/>
    <hyperlink r:id="rId4371" ref="I2187"/>
    <hyperlink r:id="rId4372" ref="A2188"/>
    <hyperlink r:id="rId4373" ref="I2188"/>
    <hyperlink r:id="rId4374" ref="A2189"/>
    <hyperlink r:id="rId4375" ref="I2189"/>
    <hyperlink r:id="rId4376" ref="A2190"/>
    <hyperlink r:id="rId4377" ref="I2190"/>
    <hyperlink r:id="rId4378" ref="A2191"/>
    <hyperlink r:id="rId4379" ref="I2191"/>
    <hyperlink r:id="rId4380" ref="A2192"/>
    <hyperlink r:id="rId4381" ref="I2192"/>
    <hyperlink r:id="rId4382" ref="A2193"/>
    <hyperlink r:id="rId4383" ref="I2193"/>
    <hyperlink r:id="rId4384" ref="A2194"/>
    <hyperlink r:id="rId4385" ref="I2194"/>
    <hyperlink r:id="rId4386" ref="A2195"/>
    <hyperlink r:id="rId4387" ref="I2195"/>
    <hyperlink r:id="rId4388" ref="A2196"/>
    <hyperlink r:id="rId4389" ref="I2196"/>
    <hyperlink r:id="rId4390" ref="A2197"/>
    <hyperlink r:id="rId4391" ref="I2197"/>
    <hyperlink r:id="rId4392" ref="A2198"/>
    <hyperlink r:id="rId4393" ref="I2198"/>
    <hyperlink r:id="rId4394" ref="A2199"/>
    <hyperlink r:id="rId4395" ref="I2199"/>
    <hyperlink r:id="rId4396" ref="A2200"/>
    <hyperlink r:id="rId4397" ref="I2200"/>
    <hyperlink r:id="rId4398" ref="A2201"/>
    <hyperlink r:id="rId4399" ref="I2201"/>
    <hyperlink r:id="rId4400" ref="A2202"/>
    <hyperlink r:id="rId4401" ref="I2202"/>
    <hyperlink r:id="rId4402" ref="A2203"/>
    <hyperlink r:id="rId4403" ref="I2203"/>
    <hyperlink r:id="rId4404" ref="A2204"/>
    <hyperlink r:id="rId4405" ref="I2204"/>
    <hyperlink r:id="rId4406" ref="A2205"/>
    <hyperlink r:id="rId4407" ref="I2205"/>
    <hyperlink r:id="rId4408" ref="A2206"/>
    <hyperlink r:id="rId4409" ref="I2206"/>
    <hyperlink r:id="rId4410" ref="A2207"/>
    <hyperlink r:id="rId4411" ref="I2207"/>
    <hyperlink r:id="rId4412" ref="A2208"/>
    <hyperlink r:id="rId4413" ref="I2208"/>
    <hyperlink r:id="rId4414" ref="A2209"/>
    <hyperlink r:id="rId4415" ref="I2209"/>
    <hyperlink r:id="rId4416" ref="A2210"/>
    <hyperlink r:id="rId4417" ref="I2210"/>
    <hyperlink r:id="rId4418" ref="A2211"/>
    <hyperlink r:id="rId4419" ref="I2211"/>
    <hyperlink r:id="rId4420" ref="A2212"/>
    <hyperlink r:id="rId4421" ref="I2212"/>
    <hyperlink r:id="rId4422" ref="A2213"/>
    <hyperlink r:id="rId4423" ref="I2213"/>
    <hyperlink r:id="rId4424" ref="A2214"/>
    <hyperlink r:id="rId4425" ref="I2214"/>
    <hyperlink r:id="rId4426" ref="A2215"/>
    <hyperlink r:id="rId4427" ref="I2215"/>
    <hyperlink r:id="rId4428" ref="A2216"/>
    <hyperlink r:id="rId4429" ref="I2216"/>
    <hyperlink r:id="rId4430" ref="A2217"/>
    <hyperlink r:id="rId4431" ref="I2217"/>
    <hyperlink r:id="rId4432" ref="A2218"/>
    <hyperlink r:id="rId4433" ref="I2218"/>
    <hyperlink r:id="rId4434" ref="A2219"/>
    <hyperlink r:id="rId4435" ref="I2219"/>
    <hyperlink r:id="rId4436" ref="A2220"/>
    <hyperlink r:id="rId4437" ref="I2220"/>
    <hyperlink r:id="rId4438" ref="A2221"/>
    <hyperlink r:id="rId4439" ref="I2221"/>
    <hyperlink r:id="rId4440" ref="A2222"/>
    <hyperlink r:id="rId4441" ref="I2222"/>
    <hyperlink r:id="rId4442" ref="A2223"/>
    <hyperlink r:id="rId4443" ref="I2223"/>
    <hyperlink r:id="rId4444" ref="A2224"/>
    <hyperlink r:id="rId4445" ref="I2224"/>
    <hyperlink r:id="rId4446" ref="A2225"/>
    <hyperlink r:id="rId4447" ref="I2225"/>
    <hyperlink r:id="rId4448" ref="A2226"/>
    <hyperlink r:id="rId4449" ref="I2226"/>
    <hyperlink r:id="rId4450" ref="A2227"/>
    <hyperlink r:id="rId4451" ref="I2227"/>
    <hyperlink r:id="rId4452" ref="A2228"/>
    <hyperlink r:id="rId4453" ref="I2228"/>
    <hyperlink r:id="rId4454" ref="A2229"/>
    <hyperlink r:id="rId4455" ref="I2229"/>
    <hyperlink r:id="rId4456" ref="A2230"/>
    <hyperlink r:id="rId4457" ref="I2230"/>
    <hyperlink r:id="rId4458" ref="A2231"/>
    <hyperlink r:id="rId4459" ref="I2231"/>
    <hyperlink r:id="rId4460" ref="A2232"/>
    <hyperlink r:id="rId4461" ref="I2232"/>
    <hyperlink r:id="rId4462" ref="A2233"/>
    <hyperlink r:id="rId4463" ref="I2233"/>
    <hyperlink r:id="rId4464" ref="A2234"/>
    <hyperlink r:id="rId4465" ref="I2234"/>
    <hyperlink r:id="rId4466" ref="A2235"/>
    <hyperlink r:id="rId4467" ref="I2235"/>
    <hyperlink r:id="rId4468" ref="A2236"/>
    <hyperlink r:id="rId4469" ref="I2236"/>
    <hyperlink r:id="rId4470" ref="A2237"/>
    <hyperlink r:id="rId4471" ref="I2237"/>
    <hyperlink r:id="rId4472" ref="A2238"/>
    <hyperlink r:id="rId4473" ref="I2238"/>
    <hyperlink r:id="rId4474" ref="A2239"/>
    <hyperlink r:id="rId4475" ref="I2239"/>
    <hyperlink r:id="rId4476" ref="A2240"/>
    <hyperlink r:id="rId4477" ref="I2240"/>
    <hyperlink r:id="rId4478" ref="A2241"/>
    <hyperlink r:id="rId4479" ref="I2241"/>
    <hyperlink r:id="rId4480" ref="A2242"/>
    <hyperlink r:id="rId4481" ref="I2242"/>
    <hyperlink r:id="rId4482" ref="A2243"/>
    <hyperlink r:id="rId4483" ref="I2243"/>
    <hyperlink r:id="rId4484" ref="A2244"/>
    <hyperlink r:id="rId4485" ref="I2244"/>
    <hyperlink r:id="rId4486" ref="A2245"/>
    <hyperlink r:id="rId4487" ref="I2245"/>
    <hyperlink r:id="rId4488" ref="A2246"/>
    <hyperlink r:id="rId4489" ref="I2246"/>
    <hyperlink r:id="rId4490" ref="A2247"/>
    <hyperlink r:id="rId4491" ref="I2247"/>
    <hyperlink r:id="rId4492" ref="A2248"/>
    <hyperlink r:id="rId4493" ref="I2248"/>
    <hyperlink r:id="rId4494" ref="A2249"/>
    <hyperlink r:id="rId4495" ref="I2249"/>
    <hyperlink r:id="rId4496" ref="A2250"/>
    <hyperlink r:id="rId4497" ref="I2250"/>
    <hyperlink r:id="rId4498" ref="A2251"/>
    <hyperlink r:id="rId4499" ref="I2251"/>
    <hyperlink r:id="rId4500" ref="A2252"/>
    <hyperlink r:id="rId4501" ref="I2252"/>
    <hyperlink r:id="rId4502" ref="A2253"/>
    <hyperlink r:id="rId4503" ref="I2253"/>
    <hyperlink r:id="rId4504" ref="A2254"/>
    <hyperlink r:id="rId4505" ref="I2254"/>
    <hyperlink r:id="rId4506" ref="A2255"/>
    <hyperlink r:id="rId4507" ref="I2255"/>
    <hyperlink r:id="rId4508" ref="A2256"/>
    <hyperlink r:id="rId4509" ref="I2256"/>
    <hyperlink r:id="rId4510" ref="A2257"/>
    <hyperlink r:id="rId4511" ref="I2257"/>
    <hyperlink r:id="rId4512" ref="A2258"/>
    <hyperlink r:id="rId4513" ref="I2258"/>
    <hyperlink r:id="rId4514" ref="A2259"/>
    <hyperlink r:id="rId4515" ref="I2259"/>
    <hyperlink r:id="rId4516" ref="A2260"/>
    <hyperlink r:id="rId4517" ref="I2260"/>
    <hyperlink r:id="rId4518" ref="A2261"/>
    <hyperlink r:id="rId4519" ref="I2261"/>
    <hyperlink r:id="rId4520" ref="A2262"/>
    <hyperlink r:id="rId4521" ref="I2262"/>
    <hyperlink r:id="rId4522" ref="A2263"/>
    <hyperlink r:id="rId4523" ref="I2263"/>
    <hyperlink r:id="rId4524" ref="A2264"/>
    <hyperlink r:id="rId4525" ref="I2264"/>
    <hyperlink r:id="rId4526" ref="A2265"/>
    <hyperlink r:id="rId4527" ref="I2265"/>
    <hyperlink r:id="rId4528" ref="A2266"/>
    <hyperlink r:id="rId4529" ref="I2266"/>
    <hyperlink r:id="rId4530" ref="A2267"/>
    <hyperlink r:id="rId4531" ref="I2267"/>
    <hyperlink r:id="rId4532" ref="A2268"/>
    <hyperlink r:id="rId4533" ref="I2268"/>
    <hyperlink r:id="rId4534" ref="A2269"/>
    <hyperlink r:id="rId4535" ref="I2269"/>
    <hyperlink r:id="rId4536" ref="A2270"/>
    <hyperlink r:id="rId4537" ref="I2270"/>
    <hyperlink r:id="rId4538" ref="A2271"/>
    <hyperlink r:id="rId4539" ref="I2271"/>
    <hyperlink r:id="rId4540" ref="A2272"/>
    <hyperlink r:id="rId4541" ref="I2272"/>
    <hyperlink r:id="rId4542" ref="A2273"/>
    <hyperlink r:id="rId4543" ref="I2273"/>
    <hyperlink r:id="rId4544" ref="A2274"/>
    <hyperlink r:id="rId4545" ref="I2274"/>
    <hyperlink r:id="rId4546" ref="A2275"/>
    <hyperlink r:id="rId4547" ref="I2275"/>
    <hyperlink r:id="rId4548" ref="A2276"/>
    <hyperlink r:id="rId4549" ref="I2276"/>
    <hyperlink r:id="rId4550" ref="A2277"/>
    <hyperlink r:id="rId4551" ref="I2277"/>
    <hyperlink r:id="rId4552" ref="A2278"/>
    <hyperlink r:id="rId4553" ref="I2278"/>
    <hyperlink r:id="rId4554" ref="A2279"/>
    <hyperlink r:id="rId4555" ref="I2279"/>
    <hyperlink r:id="rId4556" ref="A2280"/>
    <hyperlink r:id="rId4557" ref="I2280"/>
    <hyperlink r:id="rId4558" ref="A2281"/>
    <hyperlink r:id="rId4559" ref="I2281"/>
    <hyperlink r:id="rId4560" ref="A2282"/>
    <hyperlink r:id="rId4561" ref="I2282"/>
    <hyperlink r:id="rId4562" ref="A2283"/>
    <hyperlink r:id="rId4563" ref="I2283"/>
    <hyperlink r:id="rId4564" ref="A2284"/>
    <hyperlink r:id="rId4565" ref="I2284"/>
    <hyperlink r:id="rId4566" ref="A2285"/>
    <hyperlink r:id="rId4567" ref="I2285"/>
    <hyperlink r:id="rId4568" ref="A2286"/>
    <hyperlink r:id="rId4569" ref="I2286"/>
    <hyperlink r:id="rId4570" ref="A2287"/>
    <hyperlink r:id="rId4571" ref="I2287"/>
    <hyperlink r:id="rId4572" ref="A2288"/>
    <hyperlink r:id="rId4573" ref="I2288"/>
    <hyperlink r:id="rId4574" ref="A2289"/>
    <hyperlink r:id="rId4575" ref="I2289"/>
    <hyperlink r:id="rId4576" ref="A2290"/>
    <hyperlink r:id="rId4577" ref="I2290"/>
    <hyperlink r:id="rId4578" ref="A2291"/>
    <hyperlink r:id="rId4579" ref="I2291"/>
    <hyperlink r:id="rId4580" ref="A2292"/>
    <hyperlink r:id="rId4581" ref="I2292"/>
    <hyperlink r:id="rId4582" ref="A2293"/>
    <hyperlink r:id="rId4583" ref="I2293"/>
    <hyperlink r:id="rId4584" ref="A2294"/>
    <hyperlink r:id="rId4585" ref="I2294"/>
    <hyperlink r:id="rId4586" ref="A2295"/>
    <hyperlink r:id="rId4587" ref="I2295"/>
    <hyperlink r:id="rId4588" ref="A2296"/>
    <hyperlink r:id="rId4589" ref="I2296"/>
    <hyperlink r:id="rId4590" ref="A2297"/>
    <hyperlink r:id="rId4591" ref="I2297"/>
    <hyperlink r:id="rId4592" ref="A2298"/>
    <hyperlink r:id="rId4593" ref="I2298"/>
    <hyperlink r:id="rId4594" ref="A2299"/>
    <hyperlink r:id="rId4595" ref="I2299"/>
    <hyperlink r:id="rId4596" ref="A2300"/>
    <hyperlink r:id="rId4597" ref="I2300"/>
    <hyperlink r:id="rId4598" ref="A2301"/>
    <hyperlink r:id="rId4599" ref="I2301"/>
    <hyperlink r:id="rId4600" ref="A2302"/>
    <hyperlink r:id="rId4601" ref="I2302"/>
    <hyperlink r:id="rId4602" ref="A2303"/>
    <hyperlink r:id="rId4603" ref="I2303"/>
    <hyperlink r:id="rId4604" ref="A2304"/>
    <hyperlink r:id="rId4605" ref="I2304"/>
    <hyperlink r:id="rId4606" ref="A2305"/>
    <hyperlink r:id="rId4607" ref="I2305"/>
    <hyperlink r:id="rId4608" ref="A2306"/>
    <hyperlink r:id="rId4609" ref="I2306"/>
    <hyperlink r:id="rId4610" ref="A2307"/>
    <hyperlink r:id="rId4611" ref="I2307"/>
    <hyperlink r:id="rId4612" ref="A2308"/>
    <hyperlink r:id="rId4613" ref="I2308"/>
    <hyperlink r:id="rId4614" ref="A2309"/>
    <hyperlink r:id="rId4615" ref="I2309"/>
    <hyperlink r:id="rId4616" ref="A2310"/>
    <hyperlink r:id="rId4617" ref="I2310"/>
    <hyperlink r:id="rId4618" ref="A2311"/>
    <hyperlink r:id="rId4619" ref="I2311"/>
    <hyperlink r:id="rId4620" ref="A2312"/>
    <hyperlink r:id="rId4621" ref="I2312"/>
    <hyperlink r:id="rId4622" ref="A2313"/>
    <hyperlink r:id="rId4623" ref="I2313"/>
    <hyperlink r:id="rId4624" ref="A2314"/>
    <hyperlink r:id="rId4625" ref="I2314"/>
    <hyperlink r:id="rId4626" ref="A2315"/>
    <hyperlink r:id="rId4627" ref="I2315"/>
    <hyperlink r:id="rId4628" ref="A2316"/>
    <hyperlink r:id="rId4629" ref="I2316"/>
    <hyperlink r:id="rId4630" ref="A2317"/>
    <hyperlink r:id="rId4631" ref="I2317"/>
    <hyperlink r:id="rId4632" ref="A2318"/>
    <hyperlink r:id="rId4633" ref="I2318"/>
    <hyperlink r:id="rId4634" ref="A2319"/>
    <hyperlink r:id="rId4635" ref="I2319"/>
    <hyperlink r:id="rId4636" ref="A2320"/>
    <hyperlink r:id="rId4637" ref="I2320"/>
    <hyperlink r:id="rId4638" ref="A2321"/>
    <hyperlink r:id="rId4639" ref="I2321"/>
    <hyperlink r:id="rId4640" ref="A2322"/>
    <hyperlink r:id="rId4641" ref="I2322"/>
    <hyperlink r:id="rId4642" ref="A2323"/>
    <hyperlink r:id="rId4643" ref="I2323"/>
    <hyperlink r:id="rId4644" ref="A2324"/>
    <hyperlink r:id="rId4645" ref="I2324"/>
    <hyperlink r:id="rId4646" ref="A2325"/>
    <hyperlink r:id="rId4647" ref="I2325"/>
    <hyperlink r:id="rId4648" ref="A2326"/>
    <hyperlink r:id="rId4649" ref="I2326"/>
    <hyperlink r:id="rId4650" ref="A2327"/>
    <hyperlink r:id="rId4651" ref="I2327"/>
    <hyperlink r:id="rId4652" ref="A2328"/>
    <hyperlink r:id="rId4653" ref="I2328"/>
    <hyperlink r:id="rId4654" ref="A2329"/>
    <hyperlink r:id="rId4655" ref="I2329"/>
    <hyperlink r:id="rId4656" ref="A2330"/>
    <hyperlink r:id="rId4657" ref="I2330"/>
    <hyperlink r:id="rId4658" ref="A2331"/>
    <hyperlink r:id="rId4659" ref="I2331"/>
    <hyperlink r:id="rId4660" ref="A2332"/>
    <hyperlink r:id="rId4661" ref="I2332"/>
    <hyperlink r:id="rId4662" ref="A2333"/>
    <hyperlink r:id="rId4663" ref="I2333"/>
    <hyperlink r:id="rId4664" ref="A2334"/>
    <hyperlink r:id="rId4665" ref="I2334"/>
    <hyperlink r:id="rId4666" ref="A2335"/>
    <hyperlink r:id="rId4667" ref="I2335"/>
    <hyperlink r:id="rId4668" ref="A2336"/>
    <hyperlink r:id="rId4669" ref="I2336"/>
    <hyperlink r:id="rId4670" ref="A2337"/>
    <hyperlink r:id="rId4671" ref="I2337"/>
    <hyperlink r:id="rId4672" ref="A2338"/>
    <hyperlink r:id="rId4673" ref="I2338"/>
    <hyperlink r:id="rId4674" ref="A2339"/>
    <hyperlink r:id="rId4675" ref="I2339"/>
    <hyperlink r:id="rId4676" ref="A2340"/>
    <hyperlink r:id="rId4677" ref="I2340"/>
    <hyperlink r:id="rId4678" ref="A2341"/>
    <hyperlink r:id="rId4679" ref="I2341"/>
    <hyperlink r:id="rId4680" ref="A2342"/>
    <hyperlink r:id="rId4681" ref="I2342"/>
    <hyperlink r:id="rId4682" ref="A2343"/>
    <hyperlink r:id="rId4683" ref="I2343"/>
    <hyperlink r:id="rId4684" ref="A2344"/>
    <hyperlink r:id="rId4685" ref="I2344"/>
    <hyperlink r:id="rId4686" ref="A2345"/>
    <hyperlink r:id="rId4687" ref="I2345"/>
    <hyperlink r:id="rId4688" ref="A2346"/>
    <hyperlink r:id="rId4689" ref="I2346"/>
    <hyperlink r:id="rId4690" ref="A2347"/>
    <hyperlink r:id="rId4691" ref="I2347"/>
    <hyperlink r:id="rId4692" ref="A2348"/>
    <hyperlink r:id="rId4693" ref="I2348"/>
    <hyperlink r:id="rId4694" ref="A2349"/>
    <hyperlink r:id="rId4695" ref="I2349"/>
    <hyperlink r:id="rId4696" ref="A2350"/>
    <hyperlink r:id="rId4697" ref="I2350"/>
    <hyperlink r:id="rId4698" ref="A2351"/>
    <hyperlink r:id="rId4699" ref="I2351"/>
    <hyperlink r:id="rId4700" ref="A2352"/>
    <hyperlink r:id="rId4701" ref="I2352"/>
    <hyperlink r:id="rId4702" ref="A2353"/>
    <hyperlink r:id="rId4703" ref="I2353"/>
    <hyperlink r:id="rId4704" ref="A2354"/>
    <hyperlink r:id="rId4705" ref="I2354"/>
    <hyperlink r:id="rId4706" ref="A2355"/>
    <hyperlink r:id="rId4707" ref="I2355"/>
    <hyperlink r:id="rId4708" ref="A2356"/>
    <hyperlink r:id="rId4709" ref="I2356"/>
    <hyperlink r:id="rId4710" ref="A2357"/>
    <hyperlink r:id="rId4711" ref="I2357"/>
    <hyperlink r:id="rId4712" ref="A2358"/>
    <hyperlink r:id="rId4713" ref="I2358"/>
    <hyperlink r:id="rId4714" ref="A2359"/>
    <hyperlink r:id="rId4715" ref="I2359"/>
    <hyperlink r:id="rId4716" ref="A2360"/>
    <hyperlink r:id="rId4717" ref="I2360"/>
    <hyperlink r:id="rId4718" ref="A2361"/>
    <hyperlink r:id="rId4719" ref="I2361"/>
    <hyperlink r:id="rId4720" ref="A2362"/>
    <hyperlink r:id="rId4721" ref="I2362"/>
    <hyperlink r:id="rId4722" ref="A2363"/>
    <hyperlink r:id="rId4723" ref="I2363"/>
    <hyperlink r:id="rId4724" ref="A2364"/>
    <hyperlink r:id="rId4725" ref="I2364"/>
    <hyperlink r:id="rId4726" ref="A2365"/>
    <hyperlink r:id="rId4727" ref="I2365"/>
    <hyperlink r:id="rId4728" ref="A2366"/>
    <hyperlink r:id="rId4729" ref="I2366"/>
    <hyperlink r:id="rId4730" ref="A2367"/>
    <hyperlink r:id="rId4731" ref="I2367"/>
    <hyperlink r:id="rId4732" ref="A2368"/>
    <hyperlink r:id="rId4733" ref="I2368"/>
    <hyperlink r:id="rId4734" ref="A2369"/>
    <hyperlink r:id="rId4735" ref="I2369"/>
    <hyperlink r:id="rId4736" ref="A2370"/>
    <hyperlink r:id="rId4737" ref="I2370"/>
    <hyperlink r:id="rId4738" ref="A2371"/>
    <hyperlink r:id="rId4739" ref="I2371"/>
    <hyperlink r:id="rId4740" ref="A2372"/>
    <hyperlink r:id="rId4741" ref="I2372"/>
    <hyperlink r:id="rId4742" ref="A2373"/>
    <hyperlink r:id="rId4743" ref="I2373"/>
    <hyperlink r:id="rId4744" ref="A2374"/>
    <hyperlink r:id="rId4745" ref="I2374"/>
    <hyperlink r:id="rId4746" ref="A2375"/>
    <hyperlink r:id="rId4747" ref="I2375"/>
    <hyperlink r:id="rId4748" ref="A2376"/>
    <hyperlink r:id="rId4749" ref="I2376"/>
    <hyperlink r:id="rId4750" ref="A2377"/>
    <hyperlink r:id="rId4751" ref="I2377"/>
    <hyperlink r:id="rId4752" ref="A2378"/>
    <hyperlink r:id="rId4753" ref="I2378"/>
    <hyperlink r:id="rId4754" ref="A2379"/>
    <hyperlink r:id="rId4755" ref="I2379"/>
    <hyperlink r:id="rId4756" ref="A2380"/>
    <hyperlink r:id="rId4757" ref="I2380"/>
    <hyperlink r:id="rId4758" ref="A2381"/>
    <hyperlink r:id="rId4759" ref="I2381"/>
    <hyperlink r:id="rId4760" ref="A2382"/>
    <hyperlink r:id="rId4761" ref="I2382"/>
    <hyperlink r:id="rId4762" ref="A2383"/>
    <hyperlink r:id="rId4763" ref="I2383"/>
    <hyperlink r:id="rId4764" ref="A2384"/>
    <hyperlink r:id="rId4765" ref="I2384"/>
    <hyperlink r:id="rId4766" ref="A2385"/>
    <hyperlink r:id="rId4767" ref="I2385"/>
    <hyperlink r:id="rId4768" ref="A2386"/>
    <hyperlink r:id="rId4769" ref="I2386"/>
    <hyperlink r:id="rId4770" ref="A2387"/>
    <hyperlink r:id="rId4771" ref="I2387"/>
    <hyperlink r:id="rId4772" ref="A2388"/>
    <hyperlink r:id="rId4773" ref="I2388"/>
    <hyperlink r:id="rId4774" ref="A2389"/>
    <hyperlink r:id="rId4775" ref="I2389"/>
    <hyperlink r:id="rId4776" ref="A2390"/>
    <hyperlink r:id="rId4777" ref="I2390"/>
    <hyperlink r:id="rId4778" ref="A2391"/>
    <hyperlink r:id="rId4779" ref="I2391"/>
    <hyperlink r:id="rId4780" ref="A2392"/>
    <hyperlink r:id="rId4781" ref="I2392"/>
    <hyperlink r:id="rId4782" ref="A2393"/>
    <hyperlink r:id="rId4783" ref="I2393"/>
    <hyperlink r:id="rId4784" ref="A2394"/>
    <hyperlink r:id="rId4785" ref="I2394"/>
    <hyperlink r:id="rId4786" ref="A2395"/>
    <hyperlink r:id="rId4787" ref="I2395"/>
    <hyperlink r:id="rId4788" ref="A2396"/>
    <hyperlink r:id="rId4789" ref="I2396"/>
    <hyperlink r:id="rId4790" ref="A2397"/>
    <hyperlink r:id="rId4791" ref="I2397"/>
    <hyperlink r:id="rId4792" ref="A2398"/>
    <hyperlink r:id="rId4793" ref="I2398"/>
    <hyperlink r:id="rId4794" ref="A2399"/>
    <hyperlink r:id="rId4795" ref="I2399"/>
    <hyperlink r:id="rId4796" ref="A2400"/>
    <hyperlink r:id="rId4797" ref="I2400"/>
    <hyperlink r:id="rId4798" ref="A2401"/>
    <hyperlink r:id="rId4799" ref="I2401"/>
    <hyperlink r:id="rId4800" ref="A2402"/>
    <hyperlink r:id="rId4801" ref="I2402"/>
    <hyperlink r:id="rId4802" ref="A2403"/>
    <hyperlink r:id="rId4803" ref="I2403"/>
    <hyperlink r:id="rId4804" ref="A2404"/>
    <hyperlink r:id="rId4805" ref="I2404"/>
    <hyperlink r:id="rId4806" ref="A2405"/>
    <hyperlink r:id="rId4807" ref="I2405"/>
    <hyperlink r:id="rId4808" ref="A2406"/>
    <hyperlink r:id="rId4809" ref="I2406"/>
    <hyperlink r:id="rId4810" ref="A2407"/>
    <hyperlink r:id="rId4811" ref="I2407"/>
    <hyperlink r:id="rId4812" ref="A2408"/>
    <hyperlink r:id="rId4813" ref="I2408"/>
    <hyperlink r:id="rId4814" ref="A2409"/>
    <hyperlink r:id="rId4815" ref="I2409"/>
    <hyperlink r:id="rId4816" ref="A2410"/>
    <hyperlink r:id="rId4817" ref="I2410"/>
    <hyperlink r:id="rId4818" ref="A2411"/>
    <hyperlink r:id="rId4819" ref="I2411"/>
    <hyperlink r:id="rId4820" ref="A2412"/>
    <hyperlink r:id="rId4821" ref="I2412"/>
    <hyperlink r:id="rId4822" ref="A2413"/>
    <hyperlink r:id="rId4823" ref="I2413"/>
    <hyperlink r:id="rId4824" ref="A2414"/>
    <hyperlink r:id="rId4825" ref="I2414"/>
    <hyperlink r:id="rId4826" ref="A2415"/>
    <hyperlink r:id="rId4827" ref="I2415"/>
    <hyperlink r:id="rId4828" ref="A2416"/>
    <hyperlink r:id="rId4829" ref="I2416"/>
    <hyperlink r:id="rId4830" ref="A2417"/>
    <hyperlink r:id="rId4831" ref="I2417"/>
    <hyperlink r:id="rId4832" ref="A2418"/>
    <hyperlink r:id="rId4833" ref="I2418"/>
    <hyperlink r:id="rId4834" ref="A2419"/>
    <hyperlink r:id="rId4835" ref="I2419"/>
    <hyperlink r:id="rId4836" ref="A2420"/>
    <hyperlink r:id="rId4837" ref="I2420"/>
    <hyperlink r:id="rId4838" ref="A2421"/>
    <hyperlink r:id="rId4839" ref="I2421"/>
    <hyperlink r:id="rId4840" ref="A2422"/>
    <hyperlink r:id="rId4841" ref="I2422"/>
    <hyperlink r:id="rId4842" ref="A2423"/>
    <hyperlink r:id="rId4843" ref="I2423"/>
    <hyperlink r:id="rId4844" ref="A2424"/>
    <hyperlink r:id="rId4845" ref="I2424"/>
    <hyperlink r:id="rId4846" ref="A2425"/>
    <hyperlink r:id="rId4847" ref="I2425"/>
    <hyperlink r:id="rId4848" ref="A2426"/>
    <hyperlink r:id="rId4849" ref="I2426"/>
    <hyperlink r:id="rId4850" ref="A2427"/>
    <hyperlink r:id="rId4851" ref="I2427"/>
    <hyperlink r:id="rId4852" ref="A2428"/>
    <hyperlink r:id="rId4853" ref="I2428"/>
    <hyperlink r:id="rId4854" ref="A2429"/>
    <hyperlink r:id="rId4855" ref="I2429"/>
    <hyperlink r:id="rId4856" ref="A2430"/>
    <hyperlink r:id="rId4857" ref="I2430"/>
    <hyperlink r:id="rId4858" ref="A2431"/>
    <hyperlink r:id="rId4859" ref="I2431"/>
    <hyperlink r:id="rId4860" ref="A2432"/>
    <hyperlink r:id="rId4861" ref="I2432"/>
    <hyperlink r:id="rId4862" ref="A2433"/>
    <hyperlink r:id="rId4863" ref="I2433"/>
    <hyperlink r:id="rId4864" ref="A2434"/>
    <hyperlink r:id="rId4865" ref="I2434"/>
    <hyperlink r:id="rId4866" ref="A2435"/>
    <hyperlink r:id="rId4867" ref="I2435"/>
    <hyperlink r:id="rId4868" ref="A2436"/>
    <hyperlink r:id="rId4869" ref="I2436"/>
    <hyperlink r:id="rId4870" ref="A2437"/>
    <hyperlink r:id="rId4871" ref="I2437"/>
    <hyperlink r:id="rId4872" ref="A2438"/>
    <hyperlink r:id="rId4873" ref="I2438"/>
    <hyperlink r:id="rId4874" ref="A2439"/>
    <hyperlink r:id="rId4875" ref="I2439"/>
    <hyperlink r:id="rId4876" ref="A2440"/>
    <hyperlink r:id="rId4877" ref="I2440"/>
    <hyperlink r:id="rId4878" ref="A2441"/>
    <hyperlink r:id="rId4879" ref="I2441"/>
    <hyperlink r:id="rId4880" ref="A2442"/>
    <hyperlink r:id="rId4881" ref="I2442"/>
    <hyperlink r:id="rId4882" ref="A2443"/>
    <hyperlink r:id="rId4883" ref="I2443"/>
    <hyperlink r:id="rId4884" ref="A2444"/>
    <hyperlink r:id="rId4885" ref="I2444"/>
    <hyperlink r:id="rId4886" ref="A2445"/>
    <hyperlink r:id="rId4887" ref="I2445"/>
    <hyperlink r:id="rId4888" ref="A2446"/>
    <hyperlink r:id="rId4889" ref="I2446"/>
    <hyperlink r:id="rId4890" ref="A2447"/>
    <hyperlink r:id="rId4891" ref="I2447"/>
    <hyperlink r:id="rId4892" ref="A2448"/>
    <hyperlink r:id="rId4893" ref="I2448"/>
    <hyperlink r:id="rId4894" ref="A2449"/>
    <hyperlink r:id="rId4895" ref="I2449"/>
    <hyperlink r:id="rId4896" ref="A2450"/>
    <hyperlink r:id="rId4897" ref="I2450"/>
    <hyperlink r:id="rId4898" ref="A2451"/>
    <hyperlink r:id="rId4899" ref="I2451"/>
    <hyperlink r:id="rId4900" ref="A2452"/>
    <hyperlink r:id="rId4901" ref="I2452"/>
    <hyperlink r:id="rId4902" ref="A2453"/>
    <hyperlink r:id="rId4903" ref="I2453"/>
    <hyperlink r:id="rId4904" ref="A2454"/>
    <hyperlink r:id="rId4905" ref="I2454"/>
    <hyperlink r:id="rId4906" ref="A2455"/>
    <hyperlink r:id="rId4907" ref="I2455"/>
    <hyperlink r:id="rId4908" ref="A2456"/>
    <hyperlink r:id="rId4909" ref="I2456"/>
    <hyperlink r:id="rId4910" ref="A2457"/>
    <hyperlink r:id="rId4911" ref="I2457"/>
    <hyperlink r:id="rId4912" ref="A2458"/>
    <hyperlink r:id="rId4913" ref="I2458"/>
    <hyperlink r:id="rId4914" ref="A2459"/>
    <hyperlink r:id="rId4915" ref="I2459"/>
    <hyperlink r:id="rId4916" ref="A2460"/>
    <hyperlink r:id="rId4917" ref="I2460"/>
    <hyperlink r:id="rId4918" ref="A2461"/>
    <hyperlink r:id="rId4919" ref="I2461"/>
    <hyperlink r:id="rId4920" ref="A2462"/>
    <hyperlink r:id="rId4921" ref="I2462"/>
    <hyperlink r:id="rId4922" ref="A2463"/>
    <hyperlink r:id="rId4923" ref="I2463"/>
    <hyperlink r:id="rId4924" ref="A2464"/>
    <hyperlink r:id="rId4925" ref="I2464"/>
    <hyperlink r:id="rId4926" ref="A2465"/>
    <hyperlink r:id="rId4927" ref="I2465"/>
    <hyperlink r:id="rId4928" ref="A2466"/>
    <hyperlink r:id="rId4929" ref="I2466"/>
    <hyperlink r:id="rId4930" ref="A2467"/>
    <hyperlink r:id="rId4931" ref="I2467"/>
    <hyperlink r:id="rId4932" ref="A2468"/>
    <hyperlink r:id="rId4933" ref="I2468"/>
    <hyperlink r:id="rId4934" ref="A2469"/>
    <hyperlink r:id="rId4935" ref="I2469"/>
    <hyperlink r:id="rId4936" ref="A2470"/>
    <hyperlink r:id="rId4937" ref="I2470"/>
    <hyperlink r:id="rId4938" ref="A2471"/>
    <hyperlink r:id="rId4939" ref="I2471"/>
    <hyperlink r:id="rId4940" ref="A2472"/>
    <hyperlink r:id="rId4941" ref="I2472"/>
    <hyperlink r:id="rId4942" ref="A2473"/>
    <hyperlink r:id="rId4943" ref="I2473"/>
    <hyperlink r:id="rId4944" ref="A2474"/>
    <hyperlink r:id="rId4945" ref="I2474"/>
    <hyperlink r:id="rId4946" ref="A2475"/>
    <hyperlink r:id="rId4947" ref="I2475"/>
    <hyperlink r:id="rId4948" ref="A2476"/>
    <hyperlink r:id="rId4949" ref="I2476"/>
    <hyperlink r:id="rId4950" ref="A2477"/>
    <hyperlink r:id="rId4951" ref="I2477"/>
    <hyperlink r:id="rId4952" ref="A2478"/>
    <hyperlink r:id="rId4953" ref="I2478"/>
    <hyperlink r:id="rId4954" ref="A2479"/>
    <hyperlink r:id="rId4955" ref="I2479"/>
    <hyperlink r:id="rId4956" ref="A2480"/>
    <hyperlink r:id="rId4957" ref="I2480"/>
    <hyperlink r:id="rId4958" ref="A2481"/>
    <hyperlink r:id="rId4959" ref="I2481"/>
    <hyperlink r:id="rId4960" ref="A2482"/>
    <hyperlink r:id="rId4961" ref="I2482"/>
    <hyperlink r:id="rId4962" ref="A2483"/>
    <hyperlink r:id="rId4963" ref="I2483"/>
    <hyperlink r:id="rId4964" ref="A2484"/>
    <hyperlink r:id="rId4965" ref="I2484"/>
    <hyperlink r:id="rId4966" ref="A2485"/>
    <hyperlink r:id="rId4967" ref="I2485"/>
    <hyperlink r:id="rId4968" ref="A2486"/>
    <hyperlink r:id="rId4969" ref="I2486"/>
    <hyperlink r:id="rId4970" ref="A2487"/>
    <hyperlink r:id="rId4971" ref="I2487"/>
    <hyperlink r:id="rId4972" ref="A2488"/>
    <hyperlink r:id="rId4973" ref="I2488"/>
    <hyperlink r:id="rId4974" ref="A2489"/>
    <hyperlink r:id="rId4975" ref="I2489"/>
    <hyperlink r:id="rId4976" ref="A2490"/>
    <hyperlink r:id="rId4977" ref="I2490"/>
    <hyperlink r:id="rId4978" ref="A2491"/>
    <hyperlink r:id="rId4979" ref="I2491"/>
    <hyperlink r:id="rId4980" ref="A2492"/>
    <hyperlink r:id="rId4981" ref="I2492"/>
    <hyperlink r:id="rId4982" ref="A2493"/>
    <hyperlink r:id="rId4983" ref="I2493"/>
    <hyperlink r:id="rId4984" ref="A2494"/>
    <hyperlink r:id="rId4985" ref="I2494"/>
    <hyperlink r:id="rId4986" ref="A2495"/>
    <hyperlink r:id="rId4987" ref="I2495"/>
    <hyperlink r:id="rId4988" ref="A2496"/>
    <hyperlink r:id="rId4989" ref="I2496"/>
    <hyperlink r:id="rId4990" ref="A2497"/>
    <hyperlink r:id="rId4991" ref="I2497"/>
    <hyperlink r:id="rId4992" ref="A2498"/>
    <hyperlink r:id="rId4993" ref="I2498"/>
    <hyperlink r:id="rId4994" ref="A2499"/>
    <hyperlink r:id="rId4995" ref="I2499"/>
    <hyperlink r:id="rId4996" ref="A2500"/>
    <hyperlink r:id="rId4997" ref="I2500"/>
    <hyperlink r:id="rId4998" ref="A2501"/>
    <hyperlink r:id="rId4999" ref="I2501"/>
    <hyperlink r:id="rId5000" ref="A2502"/>
    <hyperlink r:id="rId5001" ref="I2502"/>
    <hyperlink r:id="rId5002" ref="A2503"/>
    <hyperlink r:id="rId5003" ref="I2503"/>
    <hyperlink r:id="rId5004" ref="A2504"/>
    <hyperlink r:id="rId5005" ref="I2504"/>
    <hyperlink r:id="rId5006" ref="A2505"/>
    <hyperlink r:id="rId5007" ref="I2505"/>
    <hyperlink r:id="rId5008" ref="A2506"/>
    <hyperlink r:id="rId5009" ref="I2506"/>
    <hyperlink r:id="rId5010" ref="A2507"/>
    <hyperlink r:id="rId5011" ref="I2507"/>
    <hyperlink r:id="rId5012" ref="A2508"/>
    <hyperlink r:id="rId5013" ref="I2508"/>
    <hyperlink r:id="rId5014" ref="A2509"/>
    <hyperlink r:id="rId5015" ref="I2509"/>
    <hyperlink r:id="rId5016" ref="A2510"/>
    <hyperlink r:id="rId5017" ref="I2510"/>
    <hyperlink r:id="rId5018" ref="A2511"/>
    <hyperlink r:id="rId5019" ref="I2511"/>
    <hyperlink r:id="rId5020" ref="A2512"/>
    <hyperlink r:id="rId5021" ref="I2512"/>
    <hyperlink r:id="rId5022" ref="A2513"/>
    <hyperlink r:id="rId5023" ref="I2513"/>
    <hyperlink r:id="rId5024" ref="A2514"/>
    <hyperlink r:id="rId5025" ref="I2514"/>
    <hyperlink r:id="rId5026" ref="A2515"/>
    <hyperlink r:id="rId5027" ref="I2515"/>
    <hyperlink r:id="rId5028" ref="A2516"/>
    <hyperlink r:id="rId5029" ref="I2516"/>
    <hyperlink r:id="rId5030" ref="A2517"/>
    <hyperlink r:id="rId5031" ref="I2517"/>
    <hyperlink r:id="rId5032" ref="A2518"/>
    <hyperlink r:id="rId5033" ref="I2518"/>
    <hyperlink r:id="rId5034" ref="A2519"/>
    <hyperlink r:id="rId5035" ref="I2519"/>
    <hyperlink r:id="rId5036" ref="A2520"/>
    <hyperlink r:id="rId5037" ref="I2520"/>
    <hyperlink r:id="rId5038" ref="A2521"/>
    <hyperlink r:id="rId5039" ref="I2521"/>
    <hyperlink r:id="rId5040" ref="A2522"/>
    <hyperlink r:id="rId5041" ref="I2522"/>
    <hyperlink r:id="rId5042" ref="A2523"/>
    <hyperlink r:id="rId5043" ref="I2523"/>
    <hyperlink r:id="rId5044" ref="A2524"/>
    <hyperlink r:id="rId5045" ref="I2524"/>
    <hyperlink r:id="rId5046" ref="A2525"/>
    <hyperlink r:id="rId5047" ref="I2525"/>
    <hyperlink r:id="rId5048" ref="A2526"/>
    <hyperlink r:id="rId5049" ref="I2526"/>
    <hyperlink r:id="rId5050" ref="A2527"/>
    <hyperlink r:id="rId5051" ref="I2527"/>
    <hyperlink r:id="rId5052" ref="A2528"/>
    <hyperlink r:id="rId5053" ref="I2528"/>
    <hyperlink r:id="rId5054" ref="A2529"/>
    <hyperlink r:id="rId5055" ref="I2529"/>
    <hyperlink r:id="rId5056" ref="A2530"/>
    <hyperlink r:id="rId5057" ref="I2530"/>
    <hyperlink r:id="rId5058" ref="A2531"/>
    <hyperlink r:id="rId5059" ref="I2531"/>
    <hyperlink r:id="rId5060" ref="A2532"/>
    <hyperlink r:id="rId5061" ref="I2532"/>
    <hyperlink r:id="rId5062" ref="A2533"/>
    <hyperlink r:id="rId5063" ref="I2533"/>
    <hyperlink r:id="rId5064" ref="A2534"/>
    <hyperlink r:id="rId5065" ref="I2534"/>
    <hyperlink r:id="rId5066" ref="A2535"/>
    <hyperlink r:id="rId5067" ref="I2535"/>
    <hyperlink r:id="rId5068" ref="A2536"/>
    <hyperlink r:id="rId5069" ref="I2536"/>
    <hyperlink r:id="rId5070" ref="A2537"/>
    <hyperlink r:id="rId5071" ref="I2537"/>
    <hyperlink r:id="rId5072" ref="A2538"/>
    <hyperlink r:id="rId5073" ref="I2538"/>
    <hyperlink r:id="rId5074" ref="A2539"/>
    <hyperlink r:id="rId5075" ref="I2539"/>
    <hyperlink r:id="rId5076" ref="A2540"/>
    <hyperlink r:id="rId5077" ref="I2540"/>
    <hyperlink r:id="rId5078" ref="A2541"/>
    <hyperlink r:id="rId5079" ref="I2541"/>
    <hyperlink r:id="rId5080" ref="A2542"/>
    <hyperlink r:id="rId5081" ref="I2542"/>
    <hyperlink r:id="rId5082" ref="A2543"/>
    <hyperlink r:id="rId5083" ref="I2543"/>
    <hyperlink r:id="rId5084" ref="A2544"/>
    <hyperlink r:id="rId5085" ref="I2544"/>
    <hyperlink r:id="rId5086" ref="A2545"/>
    <hyperlink r:id="rId5087" ref="I2545"/>
    <hyperlink r:id="rId5088" ref="A2546"/>
    <hyperlink r:id="rId5089" ref="I2546"/>
    <hyperlink r:id="rId5090" ref="A2547"/>
    <hyperlink r:id="rId5091" ref="I2547"/>
    <hyperlink r:id="rId5092" ref="A2548"/>
    <hyperlink r:id="rId5093" ref="I2548"/>
    <hyperlink r:id="rId5094" ref="A2549"/>
    <hyperlink r:id="rId5095" ref="I2549"/>
    <hyperlink r:id="rId5096" ref="A2550"/>
    <hyperlink r:id="rId5097" ref="I2550"/>
    <hyperlink r:id="rId5098" ref="A2551"/>
    <hyperlink r:id="rId5099" ref="I2551"/>
    <hyperlink r:id="rId5100" ref="A2552"/>
    <hyperlink r:id="rId5101" ref="I2552"/>
    <hyperlink r:id="rId5102" ref="A2553"/>
    <hyperlink r:id="rId5103" ref="I2553"/>
    <hyperlink r:id="rId5104" ref="A2554"/>
    <hyperlink r:id="rId5105" ref="I2554"/>
    <hyperlink r:id="rId5106" ref="A2555"/>
    <hyperlink r:id="rId5107" ref="I2555"/>
    <hyperlink r:id="rId5108" ref="A2556"/>
    <hyperlink r:id="rId5109" ref="I2556"/>
    <hyperlink r:id="rId5110" ref="A2557"/>
    <hyperlink r:id="rId5111" ref="I2557"/>
    <hyperlink r:id="rId5112" ref="A2558"/>
    <hyperlink r:id="rId5113" ref="I2558"/>
    <hyperlink r:id="rId5114" ref="A2559"/>
    <hyperlink r:id="rId5115" ref="I2559"/>
    <hyperlink r:id="rId5116" ref="A2560"/>
    <hyperlink r:id="rId5117" ref="I2560"/>
    <hyperlink r:id="rId5118" ref="A2561"/>
    <hyperlink r:id="rId5119" ref="I2561"/>
    <hyperlink r:id="rId5120" ref="A2562"/>
    <hyperlink r:id="rId5121" ref="I2562"/>
    <hyperlink r:id="rId5122" ref="A2563"/>
    <hyperlink r:id="rId5123" ref="I2563"/>
    <hyperlink r:id="rId5124" ref="A2564"/>
    <hyperlink r:id="rId5125" ref="I2564"/>
    <hyperlink r:id="rId5126" ref="A2565"/>
    <hyperlink r:id="rId5127" ref="I2565"/>
    <hyperlink r:id="rId5128" ref="A2566"/>
    <hyperlink r:id="rId5129" ref="I2566"/>
    <hyperlink r:id="rId5130" ref="A2567"/>
    <hyperlink r:id="rId5131" ref="I2567"/>
    <hyperlink r:id="rId5132" ref="A2568"/>
    <hyperlink r:id="rId5133" ref="I2568"/>
    <hyperlink r:id="rId5134" ref="A2569"/>
    <hyperlink r:id="rId5135" ref="I2569"/>
    <hyperlink r:id="rId5136" ref="A2570"/>
    <hyperlink r:id="rId5137" ref="I2570"/>
    <hyperlink r:id="rId5138" ref="A2571"/>
    <hyperlink r:id="rId5139" ref="I2571"/>
    <hyperlink r:id="rId5140" ref="A2572"/>
    <hyperlink r:id="rId5141" ref="I2572"/>
    <hyperlink r:id="rId5142" ref="A2573"/>
    <hyperlink r:id="rId5143" ref="I2573"/>
    <hyperlink r:id="rId5144" ref="A2574"/>
    <hyperlink r:id="rId5145" ref="I2574"/>
    <hyperlink r:id="rId5146" ref="A2575"/>
    <hyperlink r:id="rId5147" ref="I2575"/>
    <hyperlink r:id="rId5148" ref="A2576"/>
    <hyperlink r:id="rId5149" ref="I2576"/>
    <hyperlink r:id="rId5150" ref="A2577"/>
    <hyperlink r:id="rId5151" ref="I2577"/>
    <hyperlink r:id="rId5152" ref="A2578"/>
    <hyperlink r:id="rId5153" ref="I2578"/>
    <hyperlink r:id="rId5154" ref="A2579"/>
    <hyperlink r:id="rId5155" ref="I2579"/>
    <hyperlink r:id="rId5156" ref="A2580"/>
    <hyperlink r:id="rId5157" ref="I2580"/>
    <hyperlink r:id="rId5158" ref="A2581"/>
    <hyperlink r:id="rId5159" ref="I2581"/>
    <hyperlink r:id="rId5160" ref="A2582"/>
    <hyperlink r:id="rId5161" ref="I2582"/>
    <hyperlink r:id="rId5162" ref="A2583"/>
    <hyperlink r:id="rId5163" ref="I2583"/>
    <hyperlink r:id="rId5164" ref="A2584"/>
    <hyperlink r:id="rId5165" ref="I2584"/>
    <hyperlink r:id="rId5166" ref="A2585"/>
    <hyperlink r:id="rId5167" ref="I2585"/>
    <hyperlink r:id="rId5168" ref="A2586"/>
    <hyperlink r:id="rId5169" ref="I2586"/>
    <hyperlink r:id="rId5170" ref="A2587"/>
    <hyperlink r:id="rId5171" ref="I2587"/>
    <hyperlink r:id="rId5172" ref="A2588"/>
    <hyperlink r:id="rId5173" ref="I2588"/>
    <hyperlink r:id="rId5174" ref="A2589"/>
    <hyperlink r:id="rId5175" ref="I2589"/>
    <hyperlink r:id="rId5176" ref="A2590"/>
    <hyperlink r:id="rId5177" ref="I2590"/>
    <hyperlink r:id="rId5178" ref="A2591"/>
    <hyperlink r:id="rId5179" ref="I2591"/>
    <hyperlink r:id="rId5180" ref="A2592"/>
    <hyperlink r:id="rId5181" ref="I2592"/>
    <hyperlink r:id="rId5182" ref="A2593"/>
    <hyperlink r:id="rId5183" ref="I2593"/>
    <hyperlink r:id="rId5184" ref="A2594"/>
    <hyperlink r:id="rId5185" ref="I2594"/>
    <hyperlink r:id="rId5186" ref="A2595"/>
    <hyperlink r:id="rId5187" ref="I2595"/>
    <hyperlink r:id="rId5188" ref="A2596"/>
    <hyperlink r:id="rId5189" ref="I2596"/>
    <hyperlink r:id="rId5190" ref="A2597"/>
    <hyperlink r:id="rId5191" ref="I2597"/>
    <hyperlink r:id="rId5192" ref="A2598"/>
    <hyperlink r:id="rId5193" ref="I2598"/>
    <hyperlink r:id="rId5194" ref="A2599"/>
    <hyperlink r:id="rId5195" ref="I2599"/>
    <hyperlink r:id="rId5196" ref="A2600"/>
    <hyperlink r:id="rId5197" ref="I2600"/>
    <hyperlink r:id="rId5198" ref="A2601"/>
    <hyperlink r:id="rId5199" ref="I2601"/>
    <hyperlink r:id="rId5200" ref="A2602"/>
    <hyperlink r:id="rId5201" ref="I2602"/>
    <hyperlink r:id="rId5202" ref="A2603"/>
    <hyperlink r:id="rId5203" ref="I2603"/>
    <hyperlink r:id="rId5204" ref="A2604"/>
    <hyperlink r:id="rId5205" ref="I2604"/>
    <hyperlink r:id="rId5206" ref="A2605"/>
    <hyperlink r:id="rId5207" ref="I2605"/>
    <hyperlink r:id="rId5208" ref="A2606"/>
    <hyperlink r:id="rId5209" ref="I2606"/>
    <hyperlink r:id="rId5210" ref="A2607"/>
    <hyperlink r:id="rId5211" ref="I2607"/>
    <hyperlink r:id="rId5212" ref="A2608"/>
    <hyperlink r:id="rId5213" ref="I2608"/>
    <hyperlink r:id="rId5214" ref="A2609"/>
    <hyperlink r:id="rId5215" ref="I2609"/>
    <hyperlink r:id="rId5216" ref="A2610"/>
    <hyperlink r:id="rId5217" ref="I2610"/>
    <hyperlink r:id="rId5218" ref="A2611"/>
    <hyperlink r:id="rId5219" ref="I2611"/>
    <hyperlink r:id="rId5220" ref="A2612"/>
    <hyperlink r:id="rId5221" ref="I2612"/>
    <hyperlink r:id="rId5222" ref="A2613"/>
    <hyperlink r:id="rId5223" ref="I2613"/>
    <hyperlink r:id="rId5224" ref="A2614"/>
    <hyperlink r:id="rId5225" ref="I2614"/>
    <hyperlink r:id="rId5226" ref="A2615"/>
    <hyperlink r:id="rId5227" ref="I2615"/>
    <hyperlink r:id="rId5228" ref="A2616"/>
    <hyperlink r:id="rId5229" ref="I2616"/>
    <hyperlink r:id="rId5230" ref="A2617"/>
    <hyperlink r:id="rId5231" ref="I2617"/>
    <hyperlink r:id="rId5232" ref="A2618"/>
    <hyperlink r:id="rId5233" ref="I2618"/>
    <hyperlink r:id="rId5234" ref="A2619"/>
    <hyperlink r:id="rId5235" ref="I2619"/>
    <hyperlink r:id="rId5236" ref="A2620"/>
    <hyperlink r:id="rId5237" ref="I2620"/>
    <hyperlink r:id="rId5238" ref="A2621"/>
    <hyperlink r:id="rId5239" ref="I2621"/>
    <hyperlink r:id="rId5240" ref="A2622"/>
    <hyperlink r:id="rId5241" ref="I2622"/>
    <hyperlink r:id="rId5242" ref="A2623"/>
    <hyperlink r:id="rId5243" ref="I2623"/>
    <hyperlink r:id="rId5244" ref="A2624"/>
    <hyperlink r:id="rId5245" ref="I2624"/>
    <hyperlink r:id="rId5246" ref="A2625"/>
    <hyperlink r:id="rId5247" ref="I2625"/>
    <hyperlink r:id="rId5248" ref="A2626"/>
    <hyperlink r:id="rId5249" ref="I2626"/>
    <hyperlink r:id="rId5250" ref="A2627"/>
    <hyperlink r:id="rId5251" ref="I2627"/>
    <hyperlink r:id="rId5252" ref="A2628"/>
    <hyperlink r:id="rId5253" ref="I2628"/>
    <hyperlink r:id="rId5254" ref="A2629"/>
    <hyperlink r:id="rId5255" ref="I2629"/>
    <hyperlink r:id="rId5256" ref="A2630"/>
    <hyperlink r:id="rId5257" ref="I2630"/>
    <hyperlink r:id="rId5258" ref="A2631"/>
    <hyperlink r:id="rId5259" ref="I2631"/>
    <hyperlink r:id="rId5260" ref="A2632"/>
    <hyperlink r:id="rId5261" ref="I2632"/>
    <hyperlink r:id="rId5262" ref="A2633"/>
    <hyperlink r:id="rId5263" ref="I2633"/>
    <hyperlink r:id="rId5264" ref="A2634"/>
    <hyperlink r:id="rId5265" ref="I2634"/>
    <hyperlink r:id="rId5266" ref="A2635"/>
    <hyperlink r:id="rId5267" ref="I2635"/>
    <hyperlink r:id="rId5268" ref="A2636"/>
    <hyperlink r:id="rId5269" ref="I2636"/>
    <hyperlink r:id="rId5270" ref="A2637"/>
    <hyperlink r:id="rId5271" ref="I2637"/>
    <hyperlink r:id="rId5272" ref="A2638"/>
    <hyperlink r:id="rId5273" ref="I2638"/>
    <hyperlink r:id="rId5274" ref="A2639"/>
    <hyperlink r:id="rId5275" ref="I2639"/>
    <hyperlink r:id="rId5276" ref="A2640"/>
    <hyperlink r:id="rId5277" ref="I2640"/>
    <hyperlink r:id="rId5278" ref="A2641"/>
    <hyperlink r:id="rId5279" ref="I2641"/>
    <hyperlink r:id="rId5280" ref="A2642"/>
    <hyperlink r:id="rId5281" ref="I2642"/>
    <hyperlink r:id="rId5282" ref="A2643"/>
    <hyperlink r:id="rId5283" ref="I2643"/>
    <hyperlink r:id="rId5284" ref="A2644"/>
    <hyperlink r:id="rId5285" ref="I2644"/>
    <hyperlink r:id="rId5286" ref="A2645"/>
    <hyperlink r:id="rId5287" ref="I2645"/>
    <hyperlink r:id="rId5288" ref="A2646"/>
    <hyperlink r:id="rId5289" ref="I2646"/>
    <hyperlink r:id="rId5290" ref="A2647"/>
    <hyperlink r:id="rId5291" ref="I2647"/>
    <hyperlink r:id="rId5292" ref="A2648"/>
    <hyperlink r:id="rId5293" ref="I2648"/>
    <hyperlink r:id="rId5294" ref="A2649"/>
    <hyperlink r:id="rId5295" ref="I2649"/>
    <hyperlink r:id="rId5296" ref="A2650"/>
    <hyperlink r:id="rId5297" ref="I2650"/>
    <hyperlink r:id="rId5298" ref="A2651"/>
    <hyperlink r:id="rId5299" ref="I2651"/>
    <hyperlink r:id="rId5300" ref="A2652"/>
    <hyperlink r:id="rId5301" ref="I2652"/>
    <hyperlink r:id="rId5302" ref="A2653"/>
    <hyperlink r:id="rId5303" ref="I2653"/>
    <hyperlink r:id="rId5304" ref="A2654"/>
    <hyperlink r:id="rId5305" ref="I2654"/>
    <hyperlink r:id="rId5306" ref="A2655"/>
    <hyperlink r:id="rId5307" ref="I2655"/>
    <hyperlink r:id="rId5308" ref="A2656"/>
    <hyperlink r:id="rId5309" ref="I2656"/>
    <hyperlink r:id="rId5310" ref="A2657"/>
    <hyperlink r:id="rId5311" ref="I2657"/>
    <hyperlink r:id="rId5312" ref="A2658"/>
    <hyperlink r:id="rId5313" ref="I2658"/>
    <hyperlink r:id="rId5314" ref="A2659"/>
    <hyperlink r:id="rId5315" ref="I2659"/>
    <hyperlink r:id="rId5316" ref="A2660"/>
    <hyperlink r:id="rId5317" ref="I2660"/>
    <hyperlink r:id="rId5318" ref="A2661"/>
    <hyperlink r:id="rId5319" ref="I2661"/>
    <hyperlink r:id="rId5320" ref="A2662"/>
    <hyperlink r:id="rId5321" ref="I2662"/>
    <hyperlink r:id="rId5322" ref="A2663"/>
    <hyperlink r:id="rId5323" ref="I2663"/>
    <hyperlink r:id="rId5324" ref="A2664"/>
    <hyperlink r:id="rId5325" ref="I2664"/>
    <hyperlink r:id="rId5326" ref="A2665"/>
    <hyperlink r:id="rId5327" ref="I2665"/>
    <hyperlink r:id="rId5328" ref="A2666"/>
    <hyperlink r:id="rId5329" ref="I2666"/>
    <hyperlink r:id="rId5330" ref="A2667"/>
    <hyperlink r:id="rId5331" ref="I2667"/>
    <hyperlink r:id="rId5332" ref="A2668"/>
    <hyperlink r:id="rId5333" ref="I2668"/>
    <hyperlink r:id="rId5334" ref="A2669"/>
    <hyperlink r:id="rId5335" ref="I2669"/>
    <hyperlink r:id="rId5336" ref="A2670"/>
    <hyperlink r:id="rId5337" ref="I2670"/>
    <hyperlink r:id="rId5338" ref="A2671"/>
    <hyperlink r:id="rId5339" ref="I2671"/>
    <hyperlink r:id="rId5340" ref="A2672"/>
    <hyperlink r:id="rId5341" ref="I2672"/>
    <hyperlink r:id="rId5342" ref="A2673"/>
    <hyperlink r:id="rId5343" ref="I2673"/>
    <hyperlink r:id="rId5344" ref="A2674"/>
    <hyperlink r:id="rId5345" ref="I2674"/>
    <hyperlink r:id="rId5346" ref="A2675"/>
    <hyperlink r:id="rId5347" ref="I2675"/>
    <hyperlink r:id="rId5348" ref="A2676"/>
    <hyperlink r:id="rId5349" ref="I2676"/>
    <hyperlink r:id="rId5350" ref="A2677"/>
    <hyperlink r:id="rId5351" ref="I2677"/>
    <hyperlink r:id="rId5352" ref="A2678"/>
    <hyperlink r:id="rId5353" ref="I2678"/>
    <hyperlink r:id="rId5354" ref="A2679"/>
    <hyperlink r:id="rId5355" ref="I2679"/>
    <hyperlink r:id="rId5356" ref="A2680"/>
    <hyperlink r:id="rId5357" ref="I2680"/>
    <hyperlink r:id="rId5358" ref="A2681"/>
    <hyperlink r:id="rId5359" ref="I2681"/>
    <hyperlink r:id="rId5360" ref="A2682"/>
    <hyperlink r:id="rId5361" ref="I2682"/>
    <hyperlink r:id="rId5362" ref="A2683"/>
    <hyperlink r:id="rId5363" ref="I2683"/>
    <hyperlink r:id="rId5364" ref="A2684"/>
    <hyperlink r:id="rId5365" ref="I2684"/>
    <hyperlink r:id="rId5366" ref="A2685"/>
    <hyperlink r:id="rId5367" ref="I2685"/>
    <hyperlink r:id="rId5368" ref="A2686"/>
    <hyperlink r:id="rId5369" ref="I2686"/>
    <hyperlink r:id="rId5370" ref="A2687"/>
    <hyperlink r:id="rId5371" ref="I2687"/>
    <hyperlink r:id="rId5372" ref="A2688"/>
    <hyperlink r:id="rId5373" ref="I2688"/>
    <hyperlink r:id="rId5374" ref="A2689"/>
    <hyperlink r:id="rId5375" ref="I2689"/>
    <hyperlink r:id="rId5376" ref="A2690"/>
    <hyperlink r:id="rId5377" ref="I2690"/>
    <hyperlink r:id="rId5378" ref="A2691"/>
    <hyperlink r:id="rId5379" ref="I2691"/>
    <hyperlink r:id="rId5380" ref="A2692"/>
    <hyperlink r:id="rId5381" ref="I2692"/>
    <hyperlink r:id="rId5382" ref="A2693"/>
    <hyperlink r:id="rId5383" ref="I2693"/>
    <hyperlink r:id="rId5384" ref="A2694"/>
    <hyperlink r:id="rId5385" ref="I2694"/>
    <hyperlink r:id="rId5386" ref="A2695"/>
    <hyperlink r:id="rId5387" ref="I2695"/>
    <hyperlink r:id="rId5388" ref="A2696"/>
    <hyperlink r:id="rId5389" ref="I2696"/>
    <hyperlink r:id="rId5390" ref="A2697"/>
    <hyperlink r:id="rId5391" ref="I2697"/>
    <hyperlink r:id="rId5392" ref="A2698"/>
    <hyperlink r:id="rId5393" ref="I2698"/>
    <hyperlink r:id="rId5394" ref="A2699"/>
    <hyperlink r:id="rId5395" ref="I2699"/>
    <hyperlink r:id="rId5396" ref="A2700"/>
    <hyperlink r:id="rId5397" ref="I2700"/>
    <hyperlink r:id="rId5398" ref="A2701"/>
    <hyperlink r:id="rId5399" ref="I2701"/>
    <hyperlink r:id="rId5400" ref="A2702"/>
    <hyperlink r:id="rId5401" ref="I2702"/>
    <hyperlink r:id="rId5402" ref="A2703"/>
    <hyperlink r:id="rId5403" ref="I2703"/>
    <hyperlink r:id="rId5404" ref="A2704"/>
    <hyperlink r:id="rId5405" ref="I2704"/>
    <hyperlink r:id="rId5406" ref="A2705"/>
    <hyperlink r:id="rId5407" ref="I2705"/>
    <hyperlink r:id="rId5408" ref="A2706"/>
    <hyperlink r:id="rId5409" ref="I2706"/>
    <hyperlink r:id="rId5410" ref="A2707"/>
    <hyperlink r:id="rId5411" ref="I2707"/>
    <hyperlink r:id="rId5412" ref="A2708"/>
    <hyperlink r:id="rId5413" ref="I2708"/>
    <hyperlink r:id="rId5414" ref="A2709"/>
    <hyperlink r:id="rId5415" ref="I2709"/>
    <hyperlink r:id="rId5416" ref="A2710"/>
    <hyperlink r:id="rId5417" ref="I2710"/>
    <hyperlink r:id="rId5418" ref="A2711"/>
    <hyperlink r:id="rId5419" ref="I2711"/>
    <hyperlink r:id="rId5420" ref="A2712"/>
    <hyperlink r:id="rId5421" ref="I2712"/>
    <hyperlink r:id="rId5422" ref="A2713"/>
    <hyperlink r:id="rId5423" ref="I2713"/>
    <hyperlink r:id="rId5424" ref="A2714"/>
    <hyperlink r:id="rId5425" ref="I2714"/>
    <hyperlink r:id="rId5426" ref="A2715"/>
    <hyperlink r:id="rId5427" ref="I2715"/>
    <hyperlink r:id="rId5428" ref="A2716"/>
    <hyperlink r:id="rId5429" ref="I2716"/>
    <hyperlink r:id="rId5430" ref="A2717"/>
    <hyperlink r:id="rId5431" ref="I2717"/>
    <hyperlink r:id="rId5432" ref="A2718"/>
    <hyperlink r:id="rId5433" ref="I2718"/>
    <hyperlink r:id="rId5434" ref="A2719"/>
    <hyperlink r:id="rId5435" ref="I2719"/>
    <hyperlink r:id="rId5436" ref="A2720"/>
    <hyperlink r:id="rId5437" ref="I2720"/>
    <hyperlink r:id="rId5438" ref="A2721"/>
    <hyperlink r:id="rId5439" ref="I2721"/>
    <hyperlink r:id="rId5440" ref="A2722"/>
    <hyperlink r:id="rId5441" ref="I2722"/>
    <hyperlink r:id="rId5442" ref="A2723"/>
    <hyperlink r:id="rId5443" ref="I2723"/>
    <hyperlink r:id="rId5444" ref="A2724"/>
    <hyperlink r:id="rId5445" ref="I2724"/>
    <hyperlink r:id="rId5446" ref="A2725"/>
    <hyperlink r:id="rId5447" ref="I2725"/>
    <hyperlink r:id="rId5448" ref="A2726"/>
    <hyperlink r:id="rId5449" ref="I2726"/>
    <hyperlink r:id="rId5450" ref="A2727"/>
    <hyperlink r:id="rId5451" ref="I2727"/>
    <hyperlink r:id="rId5452" ref="A2728"/>
    <hyperlink r:id="rId5453" ref="I2728"/>
    <hyperlink r:id="rId5454" ref="A2729"/>
    <hyperlink r:id="rId5455" ref="I2729"/>
    <hyperlink r:id="rId5456" ref="A2730"/>
    <hyperlink r:id="rId5457" ref="I2730"/>
    <hyperlink r:id="rId5458" ref="A2731"/>
    <hyperlink r:id="rId5459" ref="I2731"/>
    <hyperlink r:id="rId5460" ref="A2732"/>
    <hyperlink r:id="rId5461" ref="I2732"/>
    <hyperlink r:id="rId5462" ref="A2733"/>
    <hyperlink r:id="rId5463" ref="I2733"/>
    <hyperlink r:id="rId5464" ref="A2734"/>
    <hyperlink r:id="rId5465" ref="I2734"/>
    <hyperlink r:id="rId5466" ref="A2735"/>
    <hyperlink r:id="rId5467" ref="I2735"/>
    <hyperlink r:id="rId5468" ref="A2736"/>
    <hyperlink r:id="rId5469" ref="I2736"/>
    <hyperlink r:id="rId5470" ref="A2737"/>
    <hyperlink r:id="rId5471" ref="I2737"/>
    <hyperlink r:id="rId5472" ref="A2738"/>
    <hyperlink r:id="rId5473" ref="I2738"/>
    <hyperlink r:id="rId5474" ref="A2739"/>
    <hyperlink r:id="rId5475" ref="I2739"/>
    <hyperlink r:id="rId5476" ref="A2740"/>
    <hyperlink r:id="rId5477" ref="I2740"/>
    <hyperlink r:id="rId5478" ref="A2741"/>
    <hyperlink r:id="rId5479" ref="I2741"/>
    <hyperlink r:id="rId5480" ref="A2742"/>
    <hyperlink r:id="rId5481" ref="I2742"/>
    <hyperlink r:id="rId5482" ref="A2743"/>
    <hyperlink r:id="rId5483" ref="I2743"/>
    <hyperlink r:id="rId5484" ref="A2744"/>
    <hyperlink r:id="rId5485" ref="I2744"/>
    <hyperlink r:id="rId5486" ref="A2745"/>
    <hyperlink r:id="rId5487" ref="I2745"/>
    <hyperlink r:id="rId5488" ref="A2746"/>
    <hyperlink r:id="rId5489" ref="I2746"/>
    <hyperlink r:id="rId5490" ref="A2747"/>
    <hyperlink r:id="rId5491" ref="I2747"/>
    <hyperlink r:id="rId5492" ref="A2748"/>
    <hyperlink r:id="rId5493" ref="I2748"/>
    <hyperlink r:id="rId5494" ref="A2749"/>
    <hyperlink r:id="rId5495" ref="I2749"/>
    <hyperlink r:id="rId5496" ref="A2750"/>
    <hyperlink r:id="rId5497" ref="I2750"/>
    <hyperlink r:id="rId5498" ref="A2751"/>
    <hyperlink r:id="rId5499" ref="I2751"/>
    <hyperlink r:id="rId5500" ref="A2752"/>
    <hyperlink r:id="rId5501" ref="I2752"/>
    <hyperlink r:id="rId5502" ref="A2753"/>
    <hyperlink r:id="rId5503" ref="I2753"/>
    <hyperlink r:id="rId5504" ref="A2754"/>
    <hyperlink r:id="rId5505" ref="I2754"/>
    <hyperlink r:id="rId5506" ref="A2755"/>
    <hyperlink r:id="rId5507" ref="I2755"/>
    <hyperlink r:id="rId5508" ref="A2756"/>
    <hyperlink r:id="rId5509" ref="I2756"/>
    <hyperlink r:id="rId5510" ref="A2757"/>
    <hyperlink r:id="rId5511" ref="I2757"/>
    <hyperlink r:id="rId5512" ref="A2758"/>
    <hyperlink r:id="rId5513" ref="I2758"/>
    <hyperlink r:id="rId5514" ref="A2759"/>
    <hyperlink r:id="rId5515" ref="I2759"/>
    <hyperlink r:id="rId5516" ref="A2760"/>
    <hyperlink r:id="rId5517" ref="I2760"/>
    <hyperlink r:id="rId5518" ref="A2761"/>
    <hyperlink r:id="rId5519" ref="I2761"/>
    <hyperlink r:id="rId5520" ref="A2762"/>
    <hyperlink r:id="rId5521" ref="I2762"/>
    <hyperlink r:id="rId5522" ref="A2763"/>
    <hyperlink r:id="rId5523" ref="I2763"/>
    <hyperlink r:id="rId5524" ref="A2764"/>
    <hyperlink r:id="rId5525" ref="I2764"/>
    <hyperlink r:id="rId5526" ref="A2765"/>
    <hyperlink r:id="rId5527" ref="I2765"/>
    <hyperlink r:id="rId5528" ref="A2766"/>
    <hyperlink r:id="rId5529" ref="I2766"/>
    <hyperlink r:id="rId5530" ref="A2767"/>
    <hyperlink r:id="rId5531" ref="I2767"/>
    <hyperlink r:id="rId5532" ref="A2768"/>
    <hyperlink r:id="rId5533" ref="I2768"/>
    <hyperlink r:id="rId5534" ref="A2769"/>
    <hyperlink r:id="rId5535" ref="I2769"/>
    <hyperlink r:id="rId5536" ref="A2770"/>
    <hyperlink r:id="rId5537" ref="I2770"/>
    <hyperlink r:id="rId5538" ref="A2771"/>
    <hyperlink r:id="rId5539" ref="I2771"/>
    <hyperlink r:id="rId5540" ref="A2772"/>
    <hyperlink r:id="rId5541" ref="I2772"/>
    <hyperlink r:id="rId5542" ref="A2773"/>
    <hyperlink r:id="rId5543" ref="I2773"/>
    <hyperlink r:id="rId5544" ref="A2774"/>
    <hyperlink r:id="rId5545" ref="I2774"/>
    <hyperlink r:id="rId5546" ref="A2775"/>
    <hyperlink r:id="rId5547" ref="I2775"/>
    <hyperlink r:id="rId5548" ref="A2776"/>
    <hyperlink r:id="rId5549" ref="I2776"/>
    <hyperlink r:id="rId5550" ref="A2777"/>
    <hyperlink r:id="rId5551" ref="I2777"/>
    <hyperlink r:id="rId5552" ref="A2778"/>
    <hyperlink r:id="rId5553" ref="I2778"/>
    <hyperlink r:id="rId5554" ref="A2779"/>
    <hyperlink r:id="rId5555" ref="I2779"/>
    <hyperlink r:id="rId5556" ref="A2780"/>
    <hyperlink r:id="rId5557" ref="I2780"/>
    <hyperlink r:id="rId5558" ref="A2781"/>
    <hyperlink r:id="rId5559" ref="I2781"/>
    <hyperlink r:id="rId5560" ref="A2782"/>
    <hyperlink r:id="rId5561" ref="I2782"/>
    <hyperlink r:id="rId5562" ref="A2783"/>
    <hyperlink r:id="rId5563" ref="I2783"/>
    <hyperlink r:id="rId5564" ref="A2784"/>
    <hyperlink r:id="rId5565" ref="I2784"/>
    <hyperlink r:id="rId5566" ref="A2785"/>
    <hyperlink r:id="rId5567" ref="I2785"/>
    <hyperlink r:id="rId5568" ref="A2786"/>
    <hyperlink r:id="rId5569" ref="I2786"/>
    <hyperlink r:id="rId5570" ref="A2787"/>
    <hyperlink r:id="rId5571" ref="I2787"/>
    <hyperlink r:id="rId5572" ref="A2788"/>
    <hyperlink r:id="rId5573" ref="I2788"/>
    <hyperlink r:id="rId5574" ref="A2789"/>
    <hyperlink r:id="rId5575" ref="I2789"/>
    <hyperlink r:id="rId5576" ref="A2790"/>
    <hyperlink r:id="rId5577" ref="I2790"/>
    <hyperlink r:id="rId5578" ref="A2791"/>
    <hyperlink r:id="rId5579" ref="I2791"/>
    <hyperlink r:id="rId5580" ref="A2792"/>
    <hyperlink r:id="rId5581" ref="I2792"/>
    <hyperlink r:id="rId5582" ref="A2793"/>
    <hyperlink r:id="rId5583" ref="I2793"/>
    <hyperlink r:id="rId5584" ref="A2794"/>
    <hyperlink r:id="rId5585" ref="I2794"/>
    <hyperlink r:id="rId5586" ref="A2795"/>
    <hyperlink r:id="rId5587" ref="I2795"/>
    <hyperlink r:id="rId5588" ref="A2796"/>
    <hyperlink r:id="rId5589" ref="I2796"/>
    <hyperlink r:id="rId5590" ref="A2797"/>
    <hyperlink r:id="rId5591" ref="I2797"/>
    <hyperlink r:id="rId5592" ref="A2798"/>
    <hyperlink r:id="rId5593" ref="I2798"/>
    <hyperlink r:id="rId5594" ref="A2799"/>
    <hyperlink r:id="rId5595" ref="I2799"/>
    <hyperlink r:id="rId5596" ref="A2800"/>
    <hyperlink r:id="rId5597" ref="I2800"/>
    <hyperlink r:id="rId5598" ref="A2801"/>
    <hyperlink r:id="rId5599" ref="I2801"/>
    <hyperlink r:id="rId5600" ref="A2802"/>
    <hyperlink r:id="rId5601" ref="I2802"/>
    <hyperlink r:id="rId5602" ref="A2803"/>
    <hyperlink r:id="rId5603" ref="I2803"/>
    <hyperlink r:id="rId5604" ref="A2804"/>
    <hyperlink r:id="rId5605" ref="I2804"/>
    <hyperlink r:id="rId5606" ref="A2805"/>
    <hyperlink r:id="rId5607" ref="I2805"/>
    <hyperlink r:id="rId5608" ref="A2806"/>
    <hyperlink r:id="rId5609" ref="I2806"/>
    <hyperlink r:id="rId5610" ref="A2807"/>
    <hyperlink r:id="rId5611" ref="I2807"/>
    <hyperlink r:id="rId5612" ref="A2808"/>
    <hyperlink r:id="rId5613" ref="I2808"/>
    <hyperlink r:id="rId5614" ref="A2809"/>
    <hyperlink r:id="rId5615" ref="I2809"/>
    <hyperlink r:id="rId5616" ref="A2810"/>
    <hyperlink r:id="rId5617" ref="I2810"/>
    <hyperlink r:id="rId5618" ref="A2811"/>
    <hyperlink r:id="rId5619" ref="I2811"/>
    <hyperlink r:id="rId5620" ref="A2812"/>
    <hyperlink r:id="rId5621" ref="I2812"/>
    <hyperlink r:id="rId5622" ref="A2813"/>
    <hyperlink r:id="rId5623" ref="I2813"/>
    <hyperlink r:id="rId5624" ref="A2814"/>
    <hyperlink r:id="rId5625" ref="I2814"/>
    <hyperlink r:id="rId5626" ref="A2815"/>
    <hyperlink r:id="rId5627" ref="I2815"/>
    <hyperlink r:id="rId5628" ref="A2816"/>
    <hyperlink r:id="rId5629" ref="I2816"/>
    <hyperlink r:id="rId5630" ref="A2817"/>
    <hyperlink r:id="rId5631" ref="I2817"/>
    <hyperlink r:id="rId5632" ref="A2818"/>
    <hyperlink r:id="rId5633" ref="I2818"/>
    <hyperlink r:id="rId5634" ref="A2819"/>
    <hyperlink r:id="rId5635" ref="I2819"/>
    <hyperlink r:id="rId5636" ref="A2820"/>
    <hyperlink r:id="rId5637" ref="I2820"/>
    <hyperlink r:id="rId5638" ref="A2821"/>
    <hyperlink r:id="rId5639" ref="I2821"/>
    <hyperlink r:id="rId5640" ref="A2822"/>
    <hyperlink r:id="rId5641" ref="I2822"/>
    <hyperlink r:id="rId5642" ref="A2823"/>
    <hyperlink r:id="rId5643" ref="I2823"/>
    <hyperlink r:id="rId5644" ref="A2824"/>
    <hyperlink r:id="rId5645" ref="I2824"/>
    <hyperlink r:id="rId5646" ref="A2825"/>
    <hyperlink r:id="rId5647" ref="I2825"/>
    <hyperlink r:id="rId5648" ref="A2826"/>
    <hyperlink r:id="rId5649" ref="I2826"/>
    <hyperlink r:id="rId5650" ref="A2827"/>
    <hyperlink r:id="rId5651" ref="I2827"/>
    <hyperlink r:id="rId5652" ref="A2828"/>
    <hyperlink r:id="rId5653" ref="I2828"/>
    <hyperlink r:id="rId5654" ref="A2829"/>
    <hyperlink r:id="rId5655" ref="I2829"/>
    <hyperlink r:id="rId5656" ref="A2830"/>
    <hyperlink r:id="rId5657" ref="I2830"/>
    <hyperlink r:id="rId5658" ref="A2831"/>
    <hyperlink r:id="rId5659" ref="I2831"/>
    <hyperlink r:id="rId5660" ref="A2832"/>
    <hyperlink r:id="rId5661" ref="I2832"/>
    <hyperlink r:id="rId5662" ref="A2833"/>
    <hyperlink r:id="rId5663" ref="I2833"/>
    <hyperlink r:id="rId5664" ref="A2834"/>
    <hyperlink r:id="rId5665" ref="I2834"/>
    <hyperlink r:id="rId5666" ref="A2835"/>
    <hyperlink r:id="rId5667" ref="I2835"/>
    <hyperlink r:id="rId5668" ref="A2836"/>
    <hyperlink r:id="rId5669" ref="I2836"/>
    <hyperlink r:id="rId5670" ref="A2837"/>
    <hyperlink r:id="rId5671" ref="I2837"/>
    <hyperlink r:id="rId5672" ref="A2838"/>
    <hyperlink r:id="rId5673" ref="I2838"/>
    <hyperlink r:id="rId5674" ref="A2839"/>
    <hyperlink r:id="rId5675" ref="I2839"/>
    <hyperlink r:id="rId5676" ref="A2840"/>
    <hyperlink r:id="rId5677" ref="I2840"/>
    <hyperlink r:id="rId5678" ref="A2841"/>
    <hyperlink r:id="rId5679" ref="I2841"/>
    <hyperlink r:id="rId5680" ref="A2842"/>
    <hyperlink r:id="rId5681" ref="I2842"/>
    <hyperlink r:id="rId5682" ref="A2843"/>
    <hyperlink r:id="rId5683" ref="I2843"/>
    <hyperlink r:id="rId5684" ref="A2844"/>
    <hyperlink r:id="rId5685" ref="I2844"/>
    <hyperlink r:id="rId5686" ref="A2845"/>
    <hyperlink r:id="rId5687" ref="I2845"/>
    <hyperlink r:id="rId5688" ref="A2846"/>
    <hyperlink r:id="rId5689" ref="I2846"/>
    <hyperlink r:id="rId5690" ref="A2847"/>
    <hyperlink r:id="rId5691" ref="I2847"/>
    <hyperlink r:id="rId5692" ref="A2848"/>
    <hyperlink r:id="rId5693" ref="I2848"/>
    <hyperlink r:id="rId5694" ref="A2849"/>
    <hyperlink r:id="rId5695" ref="I2849"/>
    <hyperlink r:id="rId5696" ref="A2850"/>
    <hyperlink r:id="rId5697" ref="I2850"/>
    <hyperlink r:id="rId5698" ref="A2851"/>
    <hyperlink r:id="rId5699" ref="I2851"/>
    <hyperlink r:id="rId5700" ref="A2852"/>
    <hyperlink r:id="rId5701" ref="I2852"/>
    <hyperlink r:id="rId5702" ref="A2853"/>
    <hyperlink r:id="rId5703" ref="I2853"/>
    <hyperlink r:id="rId5704" ref="A2854"/>
    <hyperlink r:id="rId5705" ref="I2854"/>
    <hyperlink r:id="rId5706" ref="A2855"/>
    <hyperlink r:id="rId5707" ref="I2855"/>
    <hyperlink r:id="rId5708" ref="A2856"/>
    <hyperlink r:id="rId5709" ref="I2856"/>
    <hyperlink r:id="rId5710" ref="A2857"/>
    <hyperlink r:id="rId5711" ref="I2857"/>
    <hyperlink r:id="rId5712" ref="A2858"/>
    <hyperlink r:id="rId5713" ref="I2858"/>
    <hyperlink r:id="rId5714" ref="A2859"/>
    <hyperlink r:id="rId5715" ref="I2859"/>
    <hyperlink r:id="rId5716" ref="A2860"/>
    <hyperlink r:id="rId5717" ref="I2860"/>
    <hyperlink r:id="rId5718" ref="A2861"/>
    <hyperlink r:id="rId5719" ref="I2861"/>
    <hyperlink r:id="rId5720" ref="A2862"/>
    <hyperlink r:id="rId5721" ref="I2862"/>
    <hyperlink r:id="rId5722" ref="A2863"/>
    <hyperlink r:id="rId5723" ref="I2863"/>
    <hyperlink r:id="rId5724" ref="A2864"/>
    <hyperlink r:id="rId5725" ref="I2864"/>
    <hyperlink r:id="rId5726" ref="A2865"/>
    <hyperlink r:id="rId5727" ref="I2865"/>
    <hyperlink r:id="rId5728" ref="A2866"/>
    <hyperlink r:id="rId5729" ref="I2866"/>
    <hyperlink r:id="rId5730" ref="A2867"/>
    <hyperlink r:id="rId5731" ref="I2867"/>
    <hyperlink r:id="rId5732" ref="A2868"/>
    <hyperlink r:id="rId5733" ref="I2868"/>
    <hyperlink r:id="rId5734" ref="A2869"/>
    <hyperlink r:id="rId5735" ref="I2869"/>
    <hyperlink r:id="rId5736" ref="A2870"/>
    <hyperlink r:id="rId5737" ref="I2870"/>
    <hyperlink r:id="rId5738" ref="A2871"/>
    <hyperlink r:id="rId5739" ref="I2871"/>
    <hyperlink r:id="rId5740" ref="A2872"/>
    <hyperlink r:id="rId5741" ref="I2872"/>
    <hyperlink r:id="rId5742" ref="A2873"/>
    <hyperlink r:id="rId5743" ref="I2873"/>
    <hyperlink r:id="rId5744" ref="A2874"/>
    <hyperlink r:id="rId5745" ref="I2874"/>
    <hyperlink r:id="rId5746" ref="A2875"/>
    <hyperlink r:id="rId5747" ref="I2875"/>
    <hyperlink r:id="rId5748" ref="A2876"/>
    <hyperlink r:id="rId5749" ref="I2876"/>
    <hyperlink r:id="rId5750" ref="A2877"/>
    <hyperlink r:id="rId5751" ref="I2877"/>
    <hyperlink r:id="rId5752" ref="A2878"/>
    <hyperlink r:id="rId5753" ref="I2878"/>
    <hyperlink r:id="rId5754" ref="A2879"/>
    <hyperlink r:id="rId5755" ref="I2879"/>
    <hyperlink r:id="rId5756" ref="A2880"/>
    <hyperlink r:id="rId5757" ref="I2880"/>
    <hyperlink r:id="rId5758" ref="A2881"/>
    <hyperlink r:id="rId5759" ref="I2881"/>
    <hyperlink r:id="rId5760" ref="A2882"/>
    <hyperlink r:id="rId5761" ref="I2882"/>
    <hyperlink r:id="rId5762" ref="A2883"/>
    <hyperlink r:id="rId5763" ref="I2883"/>
    <hyperlink r:id="rId5764" ref="A2884"/>
    <hyperlink r:id="rId5765" ref="I2884"/>
    <hyperlink r:id="rId5766" ref="A2885"/>
    <hyperlink r:id="rId5767" ref="I2885"/>
    <hyperlink r:id="rId5768" ref="A2886"/>
    <hyperlink r:id="rId5769" ref="I2886"/>
    <hyperlink r:id="rId5770" ref="A2887"/>
    <hyperlink r:id="rId5771" ref="I2887"/>
    <hyperlink r:id="rId5772" ref="A2888"/>
    <hyperlink r:id="rId5773" ref="I2888"/>
    <hyperlink r:id="rId5774" ref="A2889"/>
    <hyperlink r:id="rId5775" ref="I2889"/>
    <hyperlink r:id="rId5776" ref="A2890"/>
    <hyperlink r:id="rId5777" ref="I2890"/>
    <hyperlink r:id="rId5778" ref="A2891"/>
    <hyperlink r:id="rId5779" ref="I2891"/>
    <hyperlink r:id="rId5780" ref="A2892"/>
    <hyperlink r:id="rId5781" ref="I2892"/>
    <hyperlink r:id="rId5782" ref="A2893"/>
    <hyperlink r:id="rId5783" ref="I2893"/>
    <hyperlink r:id="rId5784" ref="A2894"/>
    <hyperlink r:id="rId5785" ref="I2894"/>
    <hyperlink r:id="rId5786" ref="A2895"/>
    <hyperlink r:id="rId5787" ref="I2895"/>
    <hyperlink r:id="rId5788" ref="A2896"/>
    <hyperlink r:id="rId5789" ref="I2896"/>
    <hyperlink r:id="rId5790" ref="A2897"/>
    <hyperlink r:id="rId5791" ref="I2897"/>
    <hyperlink r:id="rId5792" ref="A2898"/>
    <hyperlink r:id="rId5793" ref="I2898"/>
    <hyperlink r:id="rId5794" ref="A2899"/>
    <hyperlink r:id="rId5795" ref="I2899"/>
    <hyperlink r:id="rId5796" ref="A2900"/>
    <hyperlink r:id="rId5797" ref="I2900"/>
    <hyperlink r:id="rId5798" ref="A2901"/>
    <hyperlink r:id="rId5799" ref="I2901"/>
    <hyperlink r:id="rId5800" ref="A2902"/>
    <hyperlink r:id="rId5801" ref="I2902"/>
    <hyperlink r:id="rId5802" ref="A2903"/>
    <hyperlink r:id="rId5803" ref="I2903"/>
    <hyperlink r:id="rId5804" ref="A2904"/>
    <hyperlink r:id="rId5805" ref="I2904"/>
    <hyperlink r:id="rId5806" ref="A2905"/>
    <hyperlink r:id="rId5807" ref="I2905"/>
    <hyperlink r:id="rId5808" ref="A2906"/>
    <hyperlink r:id="rId5809" ref="I2906"/>
    <hyperlink r:id="rId5810" ref="A2907"/>
    <hyperlink r:id="rId5811" ref="I2907"/>
    <hyperlink r:id="rId5812" ref="A2908"/>
    <hyperlink r:id="rId5813" ref="I2908"/>
    <hyperlink r:id="rId5814" ref="A2909"/>
    <hyperlink r:id="rId5815" ref="I2909"/>
    <hyperlink r:id="rId5816" ref="A2910"/>
    <hyperlink r:id="rId5817" ref="I2910"/>
    <hyperlink r:id="rId5818" ref="A2911"/>
    <hyperlink r:id="rId5819" ref="I2911"/>
    <hyperlink r:id="rId5820" ref="A2912"/>
    <hyperlink r:id="rId5821" ref="I2912"/>
    <hyperlink r:id="rId5822" ref="A2913"/>
    <hyperlink r:id="rId5823" ref="I2913"/>
    <hyperlink r:id="rId5824" ref="A2914"/>
    <hyperlink r:id="rId5825" ref="I2914"/>
    <hyperlink r:id="rId5826" ref="A2915"/>
    <hyperlink r:id="rId5827" ref="I2915"/>
    <hyperlink r:id="rId5828" ref="A2916"/>
    <hyperlink r:id="rId5829" ref="I2916"/>
    <hyperlink r:id="rId5830" ref="A2917"/>
    <hyperlink r:id="rId5831" ref="I2917"/>
    <hyperlink r:id="rId5832" ref="A2918"/>
    <hyperlink r:id="rId5833" ref="I2918"/>
    <hyperlink r:id="rId5834" ref="A2919"/>
    <hyperlink r:id="rId5835" ref="I2919"/>
    <hyperlink r:id="rId5836" ref="A2920"/>
    <hyperlink r:id="rId5837" ref="I2920"/>
    <hyperlink r:id="rId5838" ref="A2921"/>
    <hyperlink r:id="rId5839" ref="I2921"/>
    <hyperlink r:id="rId5840" ref="A2922"/>
    <hyperlink r:id="rId5841" ref="I2922"/>
    <hyperlink r:id="rId5842" ref="A2923"/>
    <hyperlink r:id="rId5843" ref="I2923"/>
    <hyperlink r:id="rId5844" ref="A2924"/>
    <hyperlink r:id="rId5845" ref="I2924"/>
    <hyperlink r:id="rId5846" ref="A2925"/>
    <hyperlink r:id="rId5847" ref="I2925"/>
    <hyperlink r:id="rId5848" ref="A2926"/>
    <hyperlink r:id="rId5849" ref="I2926"/>
    <hyperlink r:id="rId5850" ref="A2927"/>
    <hyperlink r:id="rId5851" ref="I2927"/>
    <hyperlink r:id="rId5852" ref="A2928"/>
    <hyperlink r:id="rId5853" ref="I2928"/>
    <hyperlink r:id="rId5854" ref="A2929"/>
    <hyperlink r:id="rId5855" ref="I2929"/>
    <hyperlink r:id="rId5856" ref="A2930"/>
    <hyperlink r:id="rId5857" ref="I2930"/>
    <hyperlink r:id="rId5858" ref="A2931"/>
    <hyperlink r:id="rId5859" ref="I2931"/>
    <hyperlink r:id="rId5860" ref="A2932"/>
    <hyperlink r:id="rId5861" ref="I2932"/>
    <hyperlink r:id="rId5862" ref="A2933"/>
    <hyperlink r:id="rId5863" ref="I2933"/>
    <hyperlink r:id="rId5864" ref="A2934"/>
    <hyperlink r:id="rId5865" ref="I2934"/>
    <hyperlink r:id="rId5866" ref="A2935"/>
    <hyperlink r:id="rId5867" ref="I2935"/>
    <hyperlink r:id="rId5868" ref="A2936"/>
    <hyperlink r:id="rId5869" ref="I2936"/>
    <hyperlink r:id="rId5870" ref="A2937"/>
    <hyperlink r:id="rId5871" ref="I2937"/>
    <hyperlink r:id="rId5872" ref="A2938"/>
    <hyperlink r:id="rId5873" ref="I2938"/>
    <hyperlink r:id="rId5874" ref="A2939"/>
    <hyperlink r:id="rId5875" ref="I2939"/>
    <hyperlink r:id="rId5876" ref="A2940"/>
    <hyperlink r:id="rId5877" ref="I2940"/>
    <hyperlink r:id="rId5878" ref="A2941"/>
    <hyperlink r:id="rId5879" ref="I2941"/>
    <hyperlink r:id="rId5880" ref="A2942"/>
    <hyperlink r:id="rId5881" ref="I2942"/>
    <hyperlink r:id="rId5882" ref="A2943"/>
    <hyperlink r:id="rId5883" ref="I2943"/>
    <hyperlink r:id="rId5884" ref="A2944"/>
    <hyperlink r:id="rId5885" ref="I2944"/>
    <hyperlink r:id="rId5886" ref="A2945"/>
    <hyperlink r:id="rId5887" ref="I2945"/>
    <hyperlink r:id="rId5888" ref="A2946"/>
    <hyperlink r:id="rId5889" ref="I2946"/>
    <hyperlink r:id="rId5890" ref="A2947"/>
    <hyperlink r:id="rId5891" ref="I2947"/>
    <hyperlink r:id="rId5892" ref="A2948"/>
    <hyperlink r:id="rId5893" ref="I2948"/>
    <hyperlink r:id="rId5894" ref="A2949"/>
    <hyperlink r:id="rId5895" ref="I2949"/>
    <hyperlink r:id="rId5896" ref="A2950"/>
    <hyperlink r:id="rId5897" ref="I2950"/>
    <hyperlink r:id="rId5898" ref="A2951"/>
    <hyperlink r:id="rId5899" ref="I2951"/>
    <hyperlink r:id="rId5900" ref="A2952"/>
    <hyperlink r:id="rId5901" ref="I2952"/>
    <hyperlink r:id="rId5902" ref="A2953"/>
    <hyperlink r:id="rId5903" ref="I2953"/>
    <hyperlink r:id="rId5904" ref="A2954"/>
    <hyperlink r:id="rId5905" ref="I2954"/>
    <hyperlink r:id="rId5906" ref="A2955"/>
    <hyperlink r:id="rId5907" ref="I2955"/>
    <hyperlink r:id="rId5908" ref="A2956"/>
    <hyperlink r:id="rId5909" ref="I2956"/>
    <hyperlink r:id="rId5910" ref="A2957"/>
    <hyperlink r:id="rId5911" ref="I2957"/>
    <hyperlink r:id="rId5912" ref="A2958"/>
    <hyperlink r:id="rId5913" ref="I2958"/>
    <hyperlink r:id="rId5914" ref="A2959"/>
    <hyperlink r:id="rId5915" ref="I2959"/>
    <hyperlink r:id="rId5916" ref="A2960"/>
    <hyperlink r:id="rId5917" ref="I2960"/>
    <hyperlink r:id="rId5918" ref="A2961"/>
    <hyperlink r:id="rId5919" ref="I2961"/>
    <hyperlink r:id="rId5920" ref="A2962"/>
    <hyperlink r:id="rId5921" ref="I2962"/>
    <hyperlink r:id="rId5922" ref="A2963"/>
    <hyperlink r:id="rId5923" ref="I2963"/>
    <hyperlink r:id="rId5924" ref="A2964"/>
    <hyperlink r:id="rId5925" ref="I2964"/>
    <hyperlink r:id="rId5926" ref="A2965"/>
    <hyperlink r:id="rId5927" ref="I2965"/>
    <hyperlink r:id="rId5928" ref="A2966"/>
    <hyperlink r:id="rId5929" ref="I2966"/>
    <hyperlink r:id="rId5930" ref="A2967"/>
    <hyperlink r:id="rId5931" ref="I2967"/>
    <hyperlink r:id="rId5932" ref="A2968"/>
    <hyperlink r:id="rId5933" ref="I2968"/>
    <hyperlink r:id="rId5934" ref="A2969"/>
    <hyperlink r:id="rId5935" ref="I2969"/>
    <hyperlink r:id="rId5936" ref="A2970"/>
    <hyperlink r:id="rId5937" ref="I2970"/>
    <hyperlink r:id="rId5938" ref="A2971"/>
    <hyperlink r:id="rId5939" ref="I2971"/>
    <hyperlink r:id="rId5940" ref="A2972"/>
    <hyperlink r:id="rId5941" ref="I2972"/>
    <hyperlink r:id="rId5942" ref="A2973"/>
    <hyperlink r:id="rId5943" ref="I2973"/>
    <hyperlink r:id="rId5944" ref="A2974"/>
    <hyperlink r:id="rId5945" ref="I2974"/>
    <hyperlink r:id="rId5946" ref="A2975"/>
    <hyperlink r:id="rId5947" ref="I2975"/>
    <hyperlink r:id="rId5948" ref="A2976"/>
    <hyperlink r:id="rId5949" ref="I2976"/>
    <hyperlink r:id="rId5950" ref="A2977"/>
    <hyperlink r:id="rId5951" ref="I2977"/>
    <hyperlink r:id="rId5952" ref="A2978"/>
    <hyperlink r:id="rId5953" ref="I2978"/>
    <hyperlink r:id="rId5954" ref="A2979"/>
    <hyperlink r:id="rId5955" ref="I2979"/>
    <hyperlink r:id="rId5956" ref="A2980"/>
    <hyperlink r:id="rId5957" ref="I2980"/>
    <hyperlink r:id="rId5958" ref="A2981"/>
    <hyperlink r:id="rId5959" ref="I2981"/>
    <hyperlink r:id="rId5960" ref="A2982"/>
    <hyperlink r:id="rId5961" ref="I2982"/>
    <hyperlink r:id="rId5962" ref="A2983"/>
    <hyperlink r:id="rId5963" ref="I2983"/>
    <hyperlink r:id="rId5964" ref="A2984"/>
    <hyperlink r:id="rId5965" ref="I2984"/>
    <hyperlink r:id="rId5966" ref="A2985"/>
    <hyperlink r:id="rId5967" ref="I2985"/>
    <hyperlink r:id="rId5968" ref="A2986"/>
    <hyperlink r:id="rId5969" ref="I2986"/>
    <hyperlink r:id="rId5970" ref="A2987"/>
    <hyperlink r:id="rId5971" ref="I2987"/>
    <hyperlink r:id="rId5972" ref="A2988"/>
    <hyperlink r:id="rId5973" ref="I2988"/>
    <hyperlink r:id="rId5974" ref="A2989"/>
    <hyperlink r:id="rId5975" ref="I2989"/>
    <hyperlink r:id="rId5976" ref="A2990"/>
    <hyperlink r:id="rId5977" ref="I2990"/>
    <hyperlink r:id="rId5978" ref="A2991"/>
    <hyperlink r:id="rId5979" ref="I2991"/>
    <hyperlink r:id="rId5980" ref="A2992"/>
    <hyperlink r:id="rId5981" ref="I2992"/>
    <hyperlink r:id="rId5982" ref="A2993"/>
    <hyperlink r:id="rId5983" ref="I2993"/>
    <hyperlink r:id="rId5984" ref="A2994"/>
    <hyperlink r:id="rId5985" ref="I2994"/>
    <hyperlink r:id="rId5986" ref="A2995"/>
    <hyperlink r:id="rId5987" ref="I2995"/>
    <hyperlink r:id="rId5988" ref="A2996"/>
    <hyperlink r:id="rId5989" ref="I2996"/>
    <hyperlink r:id="rId5990" ref="A2997"/>
    <hyperlink r:id="rId5991" ref="I2997"/>
    <hyperlink r:id="rId5992" ref="A2998"/>
    <hyperlink r:id="rId5993" ref="I2998"/>
    <hyperlink r:id="rId5994" ref="A2999"/>
    <hyperlink r:id="rId5995" ref="I2999"/>
    <hyperlink r:id="rId5996" ref="A3000"/>
    <hyperlink r:id="rId5997" ref="I3000"/>
    <hyperlink r:id="rId5998" ref="A3001"/>
    <hyperlink r:id="rId5999" ref="I3001"/>
    <hyperlink r:id="rId6000" ref="A3002"/>
    <hyperlink r:id="rId6001" ref="I3002"/>
    <hyperlink r:id="rId6002" ref="A3003"/>
    <hyperlink r:id="rId6003" ref="I3003"/>
    <hyperlink r:id="rId6004" ref="A3004"/>
    <hyperlink r:id="rId6005" ref="I3004"/>
    <hyperlink r:id="rId6006" ref="A3005"/>
    <hyperlink r:id="rId6007" ref="I3005"/>
    <hyperlink r:id="rId6008" ref="A3006"/>
    <hyperlink r:id="rId6009" ref="I3006"/>
    <hyperlink r:id="rId6010" ref="A3007"/>
    <hyperlink r:id="rId6011" ref="I3007"/>
    <hyperlink r:id="rId6012" ref="A3008"/>
    <hyperlink r:id="rId6013" ref="I3008"/>
    <hyperlink r:id="rId6014" ref="A3009"/>
    <hyperlink r:id="rId6015" ref="I3009"/>
    <hyperlink r:id="rId6016" ref="A3010"/>
    <hyperlink r:id="rId6017" ref="I3010"/>
    <hyperlink r:id="rId6018" ref="A3011"/>
    <hyperlink r:id="rId6019" ref="I3011"/>
    <hyperlink r:id="rId6020" ref="A3012"/>
    <hyperlink r:id="rId6021" ref="I3012"/>
    <hyperlink r:id="rId6022" ref="A3013"/>
    <hyperlink r:id="rId6023" ref="I3013"/>
    <hyperlink r:id="rId6024" ref="A3014"/>
    <hyperlink r:id="rId6025" ref="I3014"/>
    <hyperlink r:id="rId6026" ref="A3015"/>
    <hyperlink r:id="rId6027" ref="I3015"/>
    <hyperlink r:id="rId6028" ref="A3016"/>
    <hyperlink r:id="rId6029" ref="I3016"/>
    <hyperlink r:id="rId6030" ref="A3017"/>
    <hyperlink r:id="rId6031" ref="I3017"/>
    <hyperlink r:id="rId6032" ref="A3018"/>
    <hyperlink r:id="rId6033" ref="I3018"/>
    <hyperlink r:id="rId6034" ref="A3019"/>
    <hyperlink r:id="rId6035" ref="I3019"/>
    <hyperlink r:id="rId6036" ref="A3020"/>
    <hyperlink r:id="rId6037" ref="I3020"/>
    <hyperlink r:id="rId6038" ref="A3021"/>
    <hyperlink r:id="rId6039" ref="I3021"/>
    <hyperlink r:id="rId6040" ref="A3022"/>
    <hyperlink r:id="rId6041" ref="I3022"/>
    <hyperlink r:id="rId6042" ref="A3023"/>
    <hyperlink r:id="rId6043" ref="I3023"/>
    <hyperlink r:id="rId6044" ref="A3024"/>
    <hyperlink r:id="rId6045" ref="I3024"/>
    <hyperlink r:id="rId6046" ref="A3025"/>
    <hyperlink r:id="rId6047" ref="I3025"/>
    <hyperlink r:id="rId6048" ref="A3026"/>
    <hyperlink r:id="rId6049" ref="I3026"/>
    <hyperlink r:id="rId6050" ref="A3027"/>
    <hyperlink r:id="rId6051" ref="I3027"/>
    <hyperlink r:id="rId6052" ref="A3028"/>
    <hyperlink r:id="rId6053" ref="I3028"/>
    <hyperlink r:id="rId6054" ref="A3029"/>
    <hyperlink r:id="rId6055" ref="I3029"/>
    <hyperlink r:id="rId6056" ref="A3030"/>
    <hyperlink r:id="rId6057" ref="I3030"/>
    <hyperlink r:id="rId6058" ref="A3031"/>
    <hyperlink r:id="rId6059" ref="I3031"/>
    <hyperlink r:id="rId6060" ref="A3032"/>
    <hyperlink r:id="rId6061" ref="I3032"/>
    <hyperlink r:id="rId6062" ref="A3033"/>
    <hyperlink r:id="rId6063" ref="I3033"/>
    <hyperlink r:id="rId6064" ref="A3034"/>
    <hyperlink r:id="rId6065" ref="I3034"/>
    <hyperlink r:id="rId6066" ref="A3035"/>
    <hyperlink r:id="rId6067" ref="I3035"/>
    <hyperlink r:id="rId6068" ref="A3036"/>
    <hyperlink r:id="rId6069" ref="I3036"/>
    <hyperlink r:id="rId6070" ref="A3037"/>
    <hyperlink r:id="rId6071" ref="I3037"/>
    <hyperlink r:id="rId6072" ref="A3038"/>
    <hyperlink r:id="rId6073" ref="I3038"/>
    <hyperlink r:id="rId6074" ref="A3039"/>
    <hyperlink r:id="rId6075" ref="I3039"/>
    <hyperlink r:id="rId6076" ref="A3040"/>
    <hyperlink r:id="rId6077" ref="I3040"/>
    <hyperlink r:id="rId6078" ref="A3041"/>
    <hyperlink r:id="rId6079" ref="I3041"/>
    <hyperlink r:id="rId6080" ref="A3042"/>
    <hyperlink r:id="rId6081" ref="I3042"/>
    <hyperlink r:id="rId6082" ref="A3043"/>
    <hyperlink r:id="rId6083" ref="I3043"/>
    <hyperlink r:id="rId6084" ref="A3044"/>
    <hyperlink r:id="rId6085" ref="I3044"/>
    <hyperlink r:id="rId6086" ref="A3045"/>
    <hyperlink r:id="rId6087" ref="I3045"/>
    <hyperlink r:id="rId6088" ref="A3046"/>
    <hyperlink r:id="rId6089" ref="I3046"/>
    <hyperlink r:id="rId6090" ref="A3047"/>
    <hyperlink r:id="rId6091" ref="I3047"/>
    <hyperlink r:id="rId6092" ref="A3048"/>
    <hyperlink r:id="rId6093" ref="I3048"/>
    <hyperlink r:id="rId6094" ref="A3049"/>
    <hyperlink r:id="rId6095" ref="I3049"/>
    <hyperlink r:id="rId6096" ref="A3050"/>
    <hyperlink r:id="rId6097" ref="I3050"/>
    <hyperlink r:id="rId6098" ref="A3051"/>
    <hyperlink r:id="rId6099" ref="I3051"/>
    <hyperlink r:id="rId6100" ref="A3052"/>
    <hyperlink r:id="rId6101" ref="I3052"/>
    <hyperlink r:id="rId6102" ref="A3053"/>
    <hyperlink r:id="rId6103" ref="I3053"/>
    <hyperlink r:id="rId6104" ref="A3054"/>
    <hyperlink r:id="rId6105" ref="I3054"/>
    <hyperlink r:id="rId6106" ref="A3055"/>
    <hyperlink r:id="rId6107" ref="I3055"/>
    <hyperlink r:id="rId6108" ref="A3056"/>
    <hyperlink r:id="rId6109" ref="I3056"/>
    <hyperlink r:id="rId6110" ref="A3057"/>
    <hyperlink r:id="rId6111" ref="I3057"/>
    <hyperlink r:id="rId6112" ref="A3058"/>
    <hyperlink r:id="rId6113" ref="I3058"/>
    <hyperlink r:id="rId6114" ref="A3059"/>
    <hyperlink r:id="rId6115" ref="I3059"/>
    <hyperlink r:id="rId6116" ref="A3060"/>
    <hyperlink r:id="rId6117" ref="I3060"/>
    <hyperlink r:id="rId6118" ref="A3061"/>
    <hyperlink r:id="rId6119" ref="I3061"/>
    <hyperlink r:id="rId6120" ref="A3062"/>
    <hyperlink r:id="rId6121" ref="I3062"/>
    <hyperlink r:id="rId6122" ref="A3063"/>
    <hyperlink r:id="rId6123" ref="I3063"/>
    <hyperlink r:id="rId6124" ref="A3064"/>
    <hyperlink r:id="rId6125" ref="I3064"/>
    <hyperlink r:id="rId6126" ref="A3065"/>
    <hyperlink r:id="rId6127" ref="I3065"/>
    <hyperlink r:id="rId6128" ref="A3066"/>
    <hyperlink r:id="rId6129" ref="I3066"/>
    <hyperlink r:id="rId6130" ref="A3067"/>
    <hyperlink r:id="rId6131" ref="I3067"/>
    <hyperlink r:id="rId6132" ref="A3068"/>
    <hyperlink r:id="rId6133" ref="I3068"/>
    <hyperlink r:id="rId6134" ref="A3069"/>
    <hyperlink r:id="rId6135" ref="I3069"/>
    <hyperlink r:id="rId6136" ref="A3070"/>
    <hyperlink r:id="rId6137" ref="I3070"/>
    <hyperlink r:id="rId6138" ref="A3071"/>
    <hyperlink r:id="rId6139" ref="I3071"/>
    <hyperlink r:id="rId6140" ref="A3072"/>
    <hyperlink r:id="rId6141" ref="I3072"/>
    <hyperlink r:id="rId6142" ref="A3073"/>
    <hyperlink r:id="rId6143" ref="I3073"/>
    <hyperlink r:id="rId6144" ref="A3074"/>
    <hyperlink r:id="rId6145" ref="I3074"/>
    <hyperlink r:id="rId6146" ref="A3075"/>
    <hyperlink r:id="rId6147" ref="I3075"/>
    <hyperlink r:id="rId6148" ref="A3076"/>
    <hyperlink r:id="rId6149" ref="I3076"/>
    <hyperlink r:id="rId6150" ref="A3077"/>
    <hyperlink r:id="rId6151" ref="I3077"/>
    <hyperlink r:id="rId6152" ref="A3078"/>
    <hyperlink r:id="rId6153" ref="I3078"/>
    <hyperlink r:id="rId6154" ref="A3079"/>
    <hyperlink r:id="rId6155" ref="I3079"/>
    <hyperlink r:id="rId6156" ref="A3080"/>
    <hyperlink r:id="rId6157" ref="I3080"/>
    <hyperlink r:id="rId6158" ref="A3081"/>
    <hyperlink r:id="rId6159" ref="I3081"/>
    <hyperlink r:id="rId6160" ref="A3082"/>
    <hyperlink r:id="rId6161" ref="I3082"/>
    <hyperlink r:id="rId6162" ref="A3083"/>
    <hyperlink r:id="rId6163" ref="I3083"/>
    <hyperlink r:id="rId6164" ref="A3084"/>
    <hyperlink r:id="rId6165" ref="I3084"/>
    <hyperlink r:id="rId6166" ref="A3085"/>
    <hyperlink r:id="rId6167" ref="I3085"/>
    <hyperlink r:id="rId6168" ref="A3086"/>
    <hyperlink r:id="rId6169" ref="I3086"/>
    <hyperlink r:id="rId6170" ref="A3087"/>
    <hyperlink r:id="rId6171" ref="I3087"/>
    <hyperlink r:id="rId6172" ref="A3088"/>
    <hyperlink r:id="rId6173" ref="I3088"/>
    <hyperlink r:id="rId6174" ref="A3089"/>
    <hyperlink r:id="rId6175" ref="I3089"/>
    <hyperlink r:id="rId6176" ref="A3090"/>
    <hyperlink r:id="rId6177" ref="I3090"/>
    <hyperlink r:id="rId6178" ref="A3091"/>
    <hyperlink r:id="rId6179" ref="I3091"/>
    <hyperlink r:id="rId6180" ref="A3092"/>
    <hyperlink r:id="rId6181" ref="I3092"/>
    <hyperlink r:id="rId6182" ref="A3093"/>
    <hyperlink r:id="rId6183" ref="I3093"/>
    <hyperlink r:id="rId6184" ref="A3094"/>
    <hyperlink r:id="rId6185" ref="I3094"/>
    <hyperlink r:id="rId6186" ref="A3095"/>
    <hyperlink r:id="rId6187" ref="I3095"/>
    <hyperlink r:id="rId6188" ref="A3096"/>
    <hyperlink r:id="rId6189" ref="I3096"/>
    <hyperlink r:id="rId6190" ref="A3097"/>
    <hyperlink r:id="rId6191" ref="I3097"/>
    <hyperlink r:id="rId6192" ref="A3098"/>
    <hyperlink r:id="rId6193" ref="I3098"/>
    <hyperlink r:id="rId6194" ref="A3099"/>
    <hyperlink r:id="rId6195" ref="I3099"/>
    <hyperlink r:id="rId6196" ref="A3100"/>
    <hyperlink r:id="rId6197" ref="I3100"/>
    <hyperlink r:id="rId6198" ref="A3101"/>
    <hyperlink r:id="rId6199" ref="I3101"/>
    <hyperlink r:id="rId6200" ref="A3102"/>
    <hyperlink r:id="rId6201" ref="I3102"/>
    <hyperlink r:id="rId6202" ref="A3103"/>
    <hyperlink r:id="rId6203" ref="I3103"/>
    <hyperlink r:id="rId6204" ref="A3104"/>
    <hyperlink r:id="rId6205" ref="I3104"/>
    <hyperlink r:id="rId6206" ref="A3105"/>
    <hyperlink r:id="rId6207" ref="I3105"/>
    <hyperlink r:id="rId6208" ref="A3106"/>
    <hyperlink r:id="rId6209" ref="I3106"/>
    <hyperlink r:id="rId6210" ref="A3107"/>
    <hyperlink r:id="rId6211" ref="I3107"/>
    <hyperlink r:id="rId6212" ref="A3108"/>
    <hyperlink r:id="rId6213" ref="I3108"/>
    <hyperlink r:id="rId6214" ref="A3109"/>
    <hyperlink r:id="rId6215" ref="I3109"/>
    <hyperlink r:id="rId6216" ref="A3110"/>
    <hyperlink r:id="rId6217" ref="I3110"/>
    <hyperlink r:id="rId6218" ref="A3111"/>
    <hyperlink r:id="rId6219" ref="I3111"/>
    <hyperlink r:id="rId6220" ref="A3112"/>
    <hyperlink r:id="rId6221" ref="I3112"/>
    <hyperlink r:id="rId6222" ref="A3113"/>
    <hyperlink r:id="rId6223" ref="I3113"/>
    <hyperlink r:id="rId6224" ref="A3114"/>
    <hyperlink r:id="rId6225" ref="I3114"/>
    <hyperlink r:id="rId6226" ref="A3115"/>
    <hyperlink r:id="rId6227" ref="I3115"/>
    <hyperlink r:id="rId6228" ref="A3116"/>
    <hyperlink r:id="rId6229" ref="I3116"/>
  </hyperlinks>
  <drawing r:id="rId6230"/>
</worksheet>
</file>